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C6DC502-B8B5-429E-A1AD-01EC94E3462E}" xr6:coauthVersionLast="36" xr6:coauthVersionMax="36" xr10:uidLastSave="{00000000-0000-0000-0000-000000000000}"/>
  <bookViews>
    <workbookView xWindow="2037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 i="7" l="1"/>
  <c r="E16" i="7"/>
  <c r="E11" i="7"/>
  <c r="E14" i="7"/>
  <c r="E12" i="7"/>
  <c r="E10" i="7"/>
  <c r="E7" i="7"/>
  <c r="E8" i="7"/>
  <c r="E5" i="7"/>
  <c r="E6" i="7"/>
  <c r="G5" i="29"/>
  <c r="F5" i="29"/>
  <c r="E5" i="29"/>
  <c r="H94" i="29"/>
  <c r="C264" i="5"/>
  <c r="E61" i="29" l="1"/>
  <c r="E60" i="29"/>
  <c r="E44" i="29"/>
  <c r="G14" i="5"/>
  <c r="C107" i="5"/>
  <c r="C14"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C14" i="4" s="1"/>
  <c r="B2558" i="106" s="1"/>
  <c r="D2558" i="106" s="1"/>
  <c r="K130" i="29"/>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B6997" i="106" s="1"/>
  <c r="D6997" i="106" s="1"/>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E26" i="108"/>
  <c r="F26" i="108"/>
  <c r="G26" i="108"/>
  <c r="E27" i="108"/>
  <c r="G27" i="108"/>
  <c r="E28" i="108"/>
  <c r="F36" i="108"/>
  <c r="G28" i="108"/>
  <c r="D31" i="108"/>
  <c r="D37" i="108"/>
  <c r="E31" i="108"/>
  <c r="G31" i="108"/>
  <c r="G33" i="108"/>
  <c r="G34"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F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D24" i="37"/>
  <c r="B4270" i="106" s="1"/>
  <c r="D4270" i="106" s="1"/>
  <c r="L22" i="37" l="1"/>
  <c r="F14" i="4"/>
  <c r="B2597" i="106" s="1"/>
  <c r="D2597" i="106" s="1"/>
  <c r="B7727" i="106"/>
  <c r="D7727" i="106" s="1"/>
  <c r="E38" i="108"/>
  <c r="D36" i="108"/>
  <c r="E30" i="108"/>
  <c r="F37" i="108"/>
  <c r="F28" i="108"/>
  <c r="F41" i="108" s="1"/>
  <c r="G43" i="108" s="1"/>
  <c r="H342" i="29"/>
  <c r="B6995" i="106"/>
  <c r="D6995" i="106" s="1"/>
  <c r="B2724" i="106"/>
  <c r="D2724" i="106" s="1"/>
  <c r="G39" i="108"/>
  <c r="D9" i="7"/>
  <c r="B1767" i="106" s="1"/>
  <c r="D1767" i="106" s="1"/>
  <c r="G14" i="4"/>
  <c r="B2609" i="106" s="1"/>
  <c r="D2609" i="106" s="1"/>
  <c r="F72" i="34"/>
  <c r="F42" i="34"/>
  <c r="F37" i="34"/>
  <c r="D69" i="36"/>
  <c r="H112" i="29"/>
  <c r="B7018" i="106" s="1"/>
  <c r="D7018" i="106" s="1"/>
  <c r="H28" i="118"/>
  <c r="J77" i="4"/>
  <c r="B6262" i="106" s="1"/>
  <c r="D6262" i="106" s="1"/>
  <c r="B2805" i="106"/>
  <c r="D2805" i="106" s="1"/>
  <c r="F49" i="34"/>
  <c r="G35" i="108"/>
  <c r="G29" i="108"/>
  <c r="F71" i="34"/>
  <c r="F56" i="34"/>
  <c r="F50" i="34"/>
  <c r="E35" i="108"/>
  <c r="E29" i="108"/>
  <c r="B6289" i="106"/>
  <c r="D6289" i="106" s="1"/>
  <c r="B3647" i="106"/>
  <c r="D3647" i="106" s="1"/>
  <c r="K76" i="4"/>
  <c r="B3586" i="106" s="1"/>
  <c r="D3586" i="106" s="1"/>
  <c r="N22" i="3"/>
  <c r="B283" i="106" s="1"/>
  <c r="D283" i="106" s="1"/>
  <c r="D54" i="36"/>
  <c r="D68" i="36"/>
  <c r="L5" i="11"/>
  <c r="B2056" i="106" s="1"/>
  <c r="D2056" i="106" s="1"/>
  <c r="F19" i="7"/>
  <c r="B1807" i="106" s="1"/>
  <c r="D1807" i="106" s="1"/>
  <c r="L342" i="29"/>
  <c r="H33" i="118"/>
  <c r="H29" i="118"/>
  <c r="D11" i="37"/>
  <c r="G30" i="108"/>
  <c r="D27" i="108"/>
  <c r="D41" i="108" s="1"/>
  <c r="E43" i="108" s="1"/>
  <c r="D17" i="7"/>
  <c r="B4104" i="106" s="1"/>
  <c r="D4104" i="106" s="1"/>
  <c r="F46" i="34"/>
  <c r="H76" i="4"/>
  <c r="B3298" i="106" s="1"/>
  <c r="D3298" i="106" s="1"/>
  <c r="F44" i="34"/>
  <c r="J352" i="29"/>
  <c r="J367" i="29" s="1"/>
  <c r="B7245" i="106" s="1"/>
  <c r="D7245" i="106" s="1"/>
  <c r="D6103" i="106"/>
  <c r="K41" i="3"/>
  <c r="L15" i="11"/>
  <c r="B3459" i="106" s="1"/>
  <c r="D3459" i="106" s="1"/>
  <c r="L13" i="11"/>
  <c r="B2060" i="106" s="1"/>
  <c r="D2060" i="106" s="1"/>
  <c r="C129" i="29"/>
  <c r="C151" i="29" s="1"/>
  <c r="B1226" i="106" s="1"/>
  <c r="D1226" i="106" s="1"/>
  <c r="C342" i="29"/>
  <c r="B7216" i="106" s="1"/>
  <c r="D7216" i="106" s="1"/>
  <c r="J41" i="3"/>
  <c r="D51" i="36" s="1"/>
  <c r="H365" i="29"/>
  <c r="B7242" i="106" s="1"/>
  <c r="D7242" i="106" s="1"/>
  <c r="F77" i="4"/>
  <c r="B3255" i="106" s="1"/>
  <c r="D3255" i="106" s="1"/>
  <c r="K184" i="29"/>
  <c r="F13" i="4" s="1"/>
  <c r="B2596" i="106" s="1"/>
  <c r="D2596" i="106" s="1"/>
  <c r="G210" i="29"/>
  <c r="G15" i="145"/>
  <c r="L367"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B7215" i="106"/>
  <c r="D7215" i="106" s="1"/>
  <c r="B1225" i="106"/>
  <c r="D1225" i="106" s="1"/>
  <c r="B6216" i="106"/>
  <c r="D6216" i="106" s="1"/>
  <c r="N23" i="3"/>
  <c r="B284" i="106" s="1"/>
  <c r="D284" i="106" s="1"/>
  <c r="K28" i="118"/>
  <c r="O27" i="118" s="1"/>
  <c r="O29" i="118" s="1"/>
  <c r="H77" i="4"/>
  <c r="B3299" i="106" s="1"/>
  <c r="D3299" i="106" s="1"/>
  <c r="D7255" i="106"/>
  <c r="D7252" i="106"/>
  <c r="B7235" i="106"/>
  <c r="D7235" i="106" s="1"/>
  <c r="L16" i="11"/>
  <c r="B2061" i="106" s="1"/>
  <c r="D2061" i="106" s="1"/>
  <c r="L114" i="29"/>
  <c r="D44" i="36"/>
  <c r="B1381" i="106"/>
  <c r="D1381" i="106" s="1"/>
  <c r="B1317" i="106"/>
  <c r="D1317" i="106" s="1"/>
  <c r="B5527" i="106"/>
  <c r="D5527" i="106" s="1"/>
  <c r="D7256" i="106"/>
  <c r="C114" i="29"/>
  <c r="B757" i="106" s="1"/>
  <c r="D757" i="106" s="1"/>
  <c r="B3568" i="106"/>
  <c r="D3568" i="106" s="1"/>
  <c r="D52" i="36"/>
  <c r="D7251" i="106"/>
  <c r="D7253" i="106"/>
  <c r="F174" i="34"/>
  <c r="D7254" i="106"/>
  <c r="D7250" i="106"/>
  <c r="B5778" i="106"/>
  <c r="D5778" i="106" s="1"/>
  <c r="G6" i="4"/>
  <c r="B2604" i="106" s="1"/>
  <c r="D2604" i="106" s="1"/>
  <c r="K342" i="29"/>
  <c r="F13" i="34" s="1"/>
  <c r="B5770" i="106"/>
  <c r="D5770" i="106" s="1"/>
  <c r="B1365" i="106"/>
  <c r="D1365" i="106" s="1"/>
  <c r="F65" i="34"/>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F24" i="37"/>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K19" i="4" s="1"/>
  <c r="B4144" i="106" s="1"/>
  <c r="D4144" i="106" s="1"/>
  <c r="J20" i="4"/>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78"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<sst xmlns="http://schemas.openxmlformats.org/spreadsheetml/2006/main" count="5085" uniqueCount="2100">
  <si>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</si>
  <si>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</si>
  <si>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</si>
  <si>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</si>
  <si>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</si>
  <si>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</si>
  <si>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</si>
  <si>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</si>
  <si>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</si>
  <si>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</si>
  <si>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</si>
  <si>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</si>
  <si>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</si>
  <si>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</si>
  <si>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</si>
  <si>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</si>
  <si>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</si>
  <si>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</si>
  <si>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</si>
  <si>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</si>
  <si>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</si>
  <si>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</si>
  <si>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</si>
  <si>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</si>
  <si>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</si>
  <si>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</si>
  <si>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</si>
  <si>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</si>
  <si>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</si>
  <si>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</si>
  <si>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</si>
  <si>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</si>
  <si>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</si>
  <si>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</si>
  <si>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</si>
  <si>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</si>
  <si>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</si>
  <si>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</si>
  <si>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</si>
  <si>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</si>
  <si>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</si>
  <si>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</si>
  <si>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</si>
  <si>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</si>
  <si>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</si>
  <si>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</si>
  <si>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</si>
  <si>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</si>
  <si>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</si>
  <si>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</si>
  <si>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</si>
  <si>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</si>
  <si>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</si>
  <si>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</si>
  <si>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</si>
  <si>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</si>
  <si>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</si>
  <si>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</si>
  <si>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</si>
  <si>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</si>
  <si>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</si>
  <si>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</si>
  <si>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</si>
  <si>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</si>
  <si>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</si>
  <si>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</si>
  <si>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</si>
  <si>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</si>
  <si>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</si>
  <si>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</si>
  <si>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</si>
  <si>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</si>
  <si>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</si>
  <si>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</si>
  <si>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</si>
  <si>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</si>
  <si>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</si>
  <si>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</si>
  <si>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</si>
  <si>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</si>
  <si>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</si>
  <si>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</si>
  <si>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</si>
  <si>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</si>
  <si>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</si>
  <si>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</si>
  <si>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</si>
  <si>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</si>
  <si>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</si>
  <si>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</si>
  <si>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</si>
  <si>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</si>
  <si>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</si>
  <si>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</si>
  <si>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</si>
  <si>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</si>
  <si>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</si>
  <si>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</si>
  <si>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</si>
  <si>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</si>
  <si>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</si>
  <si>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</si>
  <si>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</si>
  <si>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</si>
  <si>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</si>
  <si>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</si>
  <si>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</si>
  <si>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</si>
  <si>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</si>
  <si>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</si>
  <si>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</si>
  <si>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</si>
  <si>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</si>
  <si>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</si>
  <si>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</si>
  <si>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</si>
  <si>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</si>
  <si>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</si>
  <si>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</si>
  <si>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</si>
  <si>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</si>
  <si>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</si>
  <si>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</si>
  <si>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</si>
  <si>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</si>
  <si>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</si>
  <si>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</si>
  <si>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</si>
  <si>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</si>
  <si>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</si>
  <si>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</si>
  <si>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</si>
  <si>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</si>
  <si>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</si>
  <si>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</si>
  <si>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</si>
  <si>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</si>
  <si>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</si>
  <si>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</si>
  <si>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</si>
  <si>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</si>
  <si>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</si>
  <si>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</si>
  <si>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</si>
  <si>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</si>
  <si>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</si>
  <si>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</si>
  <si>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</si>
  <si>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</si>
  <si>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</si>
  <si>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</si>
  <si>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</si>
  <si>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</si>
  <si>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</si>
  <si>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</si>
  <si>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</si>
  <si>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</si>
  <si>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</si>
  <si>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</si>
  <si>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</si>
  <si>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</si>
  <si>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</si>
  <si>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</si>
  <si>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</si>
  <si>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</si>
  <si>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</si>
  <si>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</si>
  <si>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</si>
  <si>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</si>
  <si>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</si>
  <si>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</si>
  <si>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</si>
  <si>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</si>
  <si>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</si>
  <si>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</si>
  <si>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</si>
  <si>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</si>
  <si>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</si>
  <si>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</si>
  <si>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</si>
  <si>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</si>
  <si>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</si>
  <si>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</si>
  <si>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</si>
  <si>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</si>
  <si>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</si>
  <si>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</si>
  <si>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</si>
  <si>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</si>
  <si>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</si>
  <si>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</si>
  <si>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</si>
  <si>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</si>
  <si>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</si>
  <si>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</si>
  <si>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</si>
  <si>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</si>
  <si>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</si>
  <si>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</si>
  <si>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</si>
  <si>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</si>
  <si>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</si>
  <si>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</si>
  <si>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</si>
  <si>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</si>
  <si>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</si>
  <si>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</si>
  <si>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</si>
  <si>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</si>
  <si>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</si>
  <si>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</si>
  <si>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</si>
  <si>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</si>
  <si>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</si>
  <si>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</si>
  <si>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</si>
  <si>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</si>
  <si>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</si>
  <si>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</si>
  <si>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</si>
  <si>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</si>
  <si>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</si>
  <si>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</si>
  <si>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</si>
  <si>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</si>
  <si>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</si>
  <si>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</si>
  <si>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</si>
  <si>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</si>
  <si>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</si>
  <si>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</si>
  <si>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</si>
  <si>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</si>
  <si>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</si>
  <si>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</si>
  <si>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</si>
  <si>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</si>
  <si>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</si>
  <si>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</si>
  <si>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</si>
  <si>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</si>
  <si>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</si>
  <si>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</si>
  <si>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</si>
  <si>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</si>
  <si>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</si>
  <si>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</si>
  <si>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</si>
  <si>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</si>
  <si>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</si>
  <si>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</si>
  <si>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</si>
  <si>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</si>
  <si>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</si>
  <si>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</si>
  <si>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</si>
  <si>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</si>
  <si>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</si>
  <si>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</si>
  <si>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</si>
  <si>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</si>
  <si>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</si>
  <si>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</si>
  <si>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</si>
  <si>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</si>
  <si>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</si>
  <si>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</si>
  <si>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</si>
  <si>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</si>
  <si>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</si>
  <si>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</si>
  <si>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</si>
  <si>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</si>
  <si>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</si>
  <si>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</si>
  <si>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</si>
  <si>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</si>
  <si>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</si>
  <si>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</si>
  <si>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</si>
  <si>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</si>
  <si>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</si>
  <si>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</si>
  <si>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</si>
  <si>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</si>
  <si>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</si>
  <si>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</si>
  <si>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</si>
  <si>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</si>
  <si>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</si>
  <si>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</si>
  <si>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</si>
  <si>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</si>
  <si>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</si>
  <si>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</si>
  <si>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</si>
  <si>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</si>
  <si>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</si>
  <si>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</si>
  <si>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</si>
  <si>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</si>
  <si>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</si>
  <si>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</si>
  <si>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</si>
  <si>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</si>
  <si>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</si>
  <si>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</si>
  <si>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</si>
  <si>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</si>
  <si>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</si>
  <si>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</si>
  <si>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</si>
  <si>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</si>
  <si>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</si>
  <si>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</si>
  <si>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</si>
  <si>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</si>
  <si>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</si>
  <si>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</si>
  <si>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</si>
  <si>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</si>
  <si>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</si>
  <si>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</si>
  <si>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</si>
  <si>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</si>
  <si>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</si>
  <si>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</si>
  <si>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</si>
  <si>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</si>
  <si>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</si>
  <si>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</si>
  <si>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</si>
  <si>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</si>
  <si>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</si>
  <si>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</si>
  <si>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</si>
  <si>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</si>
  <si>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</si>
  <si>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</si>
  <si>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</si>
  <si>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</si>
  <si>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</si>
  <si>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</si>
  <si>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</si>
  <si>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</si>
  <si>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</si>
  <si>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</si>
  <si>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</si>
  <si>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</si>
  <si>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</si>
  <si>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</si>
  <si>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</si>
  <si>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</si>
  <si>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</si>
  <si>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</si>
  <si>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</si>
  <si>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</si>
  <si>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</si>
  <si>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</si>
  <si>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</si>
  <si>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</si>
  <si>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</si>
  <si>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</si>
  <si>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</si>
  <si>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</si>
  <si>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</si>
  <si>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</si>
  <si>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</si>
  <si>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</si>
  <si>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</si>
  <si>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</si>
  <si>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</si>
  <si>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</si>
  <si>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</si>
  <si>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</si>
  <si>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</si>
  <si>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</si>
  <si>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</si>
  <si>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</si>
  <si>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</si>
  <si>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</si>
  <si>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</si>
  <si>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</si>
  <si>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</si>
  <si>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</si>
  <si>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</si>
  <si>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</si>
  <si>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</si>
  <si>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</si>
  <si>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</si>
  <si>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</si>
  <si>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</si>
  <si>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</si>
  <si>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</si>
  <si>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</si>
  <si>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</si>
  <si>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</si>
  <si>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</si>
  <si>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</si>
  <si>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</si>
  <si>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</si>
  <si>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</si>
  <si>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</si>
  <si>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</si>
  <si>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</si>
  <si>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</si>
  <si>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</si>
  <si>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</si>
  <si>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</si>
  <si>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</si>
  <si>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</si>
  <si>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</si>
  <si>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</si>
  <si>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</si>
  <si>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</si>
  <si>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</si>
  <si>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</si>
  <si>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</si>
  <si>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</si>
  <si>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</si>
  <si>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</si>
  <si>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</si>
  <si>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</si>
  <si>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</si>
  <si>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</si>
  <si>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</si>
  <si>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</si>
  <si>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</si>
  <si>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</si>
  <si>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</si>
  <si>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</si>
  <si>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</si>
  <si>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</si>
  <si>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</si>
  <si>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</si>
  <si>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</si>
  <si>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</si>
  <si>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</si>
  <si>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</si>
  <si>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</si>
  <si>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</si>
  <si>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</si>
  <si>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</si>
  <si>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</si>
  <si>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</si>
  <si>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</si>
  <si>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</si>
  <si>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</si>
  <si>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</si>
  <si>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</si>
  <si>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</si>
  <si>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</si>
  <si>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</si>
  <si>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</si>
  <si>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</si>
  <si>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</si>
  <si>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</si>
  <si>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</si>
  <si>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</si>
  <si>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</si>
  <si>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</si>
  <si>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</si>
  <si>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</si>
  <si>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</si>
  <si>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</si>
  <si>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</si>
  <si>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</si>
  <si>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</si>
  <si>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</si>
  <si>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</si>
  <si>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</si>
  <si>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</si>
  <si>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</si>
  <si>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</si>
  <si>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</si>
  <si>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</si>
  <si>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</si>
  <si>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</si>
  <si>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</si>
  <si>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</si>
  <si>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</si>
  <si>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</si>
  <si>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</si>
  <si>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</si>
  <si>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</si>
  <si>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</si>
  <si>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</si>
  <si>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</si>
  <si>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</si>
  <si>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</si>
  <si>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</si>
  <si>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</si>
  <si>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</si>
  <si>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</si>
  <si>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</si>
  <si>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</si>
  <si>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</si>
  <si>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</si>
  <si>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</si>
  <si>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</si>
  <si>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</si>
  <si>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</si>
  <si>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</si>
  <si>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</si>
  <si>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</si>
  <si>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</si>
  <si>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</si>
  <si>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</si>
  <si>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</si>
  <si>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</si>
  <si>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</si>
  <si>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</si>
  <si>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</si>
  <si>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</si>
  <si>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</si>
  <si>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</si>
  <si>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</si>
  <si>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</si>
  <si>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</si>
  <si>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</si>
  <si>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</si>
  <si>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</si>
  <si>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</si>
  <si>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</si>
  <si>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</si>
  <si>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</si>
  <si>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</si>
  <si>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</si>
  <si>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</si>
  <si>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</si>
  <si>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</si>
  <si>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</si>
  <si>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</si>
  <si>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</si>
  <si>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</si>
  <si>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</si>
  <si>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</si>
  <si>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</si>
  <si>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</si>
  <si>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</si>
  <si>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</si>
  <si>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</si>
  <si>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</si>
  <si>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</si>
  <si>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</si>
  <si>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</si>
  <si>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</si>
  <si>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</si>
  <si>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</si>
  <si>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</si>
  <si>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</si>
  <si>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</si>
  <si>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</si>
  <si>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</si>
  <si>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</si>
  <si>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</si>
  <si>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</si>
  <si>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</si>
  <si>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</si>
  <si>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</si>
  <si>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</si>
  <si>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</si>
  <si>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</si>
  <si>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</si>
  <si>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</si>
  <si>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</si>
  <si>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</si>
  <si>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</si>
  <si>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</si>
  <si>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</si>
  <si>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</si>
  <si>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</si>
  <si>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</si>
  <si>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</si>
  <si>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</si>
  <si>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</si>
  <si>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</si>
  <si>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</si>
  <si>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</si>
  <si>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</si>
  <si>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</si>
  <si>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</si>
  <si>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</si>
  <si>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</si>
  <si>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</si>
  <si>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</si>
  <si>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</si>
  <si>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</si>
  <si>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</si>
  <si>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</si>
  <si>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</si>
  <si>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</si>
  <si>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</si>
  <si>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</si>
  <si>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</si>
  <si>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</si>
  <si>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</si>
  <si>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</si>
  <si>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</si>
  <si>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</si>
  <si>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</si>
  <si>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</si>
  <si>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</si>
  <si>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</si>
  <si>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</si>
  <si>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</si>
  <si>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</si>
  <si>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</si>
  <si>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</si>
  <si>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</si>
  <si>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</si>
  <si>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</si>
  <si>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</si>
  <si>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</si>
  <si>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</si>
  <si>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</si>
  <si>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</si>
  <si>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</si>
  <si>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</si>
  <si>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</si>
  <si>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</si>
  <si>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</si>
  <si>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</si>
  <si>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</si>
  <si>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</si>
  <si>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</si>
  <si>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</si>
  <si>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</si>
  <si>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</si>
  <si>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</si>
  <si>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</si>
  <si>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</si>
  <si>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</si>
  <si>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</si>
  <si>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</si>
  <si>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</si>
  <si>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</si>
  <si>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</si>
  <si>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</si>
  <si>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</si>
  <si>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</si>
  <si>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</si>
  <si>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</si>
  <si>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</si>
  <si>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</si>
  <si>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</si>
  <si>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</si>
  <si>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</si>
  <si>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</si>
  <si>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</si>
  <si>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</si>
  <si>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</si>
  <si>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</si>
  <si>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</si>
  <si>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</si>
  <si>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</si>
  <si>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</si>
  <si>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</si>
  <si>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</si>
  <si>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</si>
  <si>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</si>
  <si>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</si>
  <si>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</si>
  <si>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</si>
  <si>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</si>
  <si>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</si>
  <si>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</si>
  <si>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</si>
  <si>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</si>
  <si>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</si>
  <si>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</si>
  <si>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</si>
  <si>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</si>
  <si>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</si>
  <si>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</si>
  <si>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</si>
  <si>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</si>
  <si>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</si>
  <si>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</si>
  <si>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</si>
  <si>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</si>
  <si>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</si>
  <si>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</si>
  <si>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</si>
  <si>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</si>
  <si>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</si>
  <si>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</si>
  <si>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</si>
  <si>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</si>
  <si>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</si>
  <si>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</si>
  <si>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</si>
  <si>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</si>
  <si>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</si>
  <si>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</si>
  <si>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</si>
  <si>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</si>
  <si>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</si>
  <si>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</si>
  <si>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</si>
  <si>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</si>
  <si>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</si>
  <si>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</si>
  <si>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</si>
  <si>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</si>
  <si>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</si>
  <si>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</si>
  <si>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</si>
  <si>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</si>
  <si>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</si>
  <si>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</si>
  <si>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</si>
  <si>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</si>
  <si>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</si>
  <si>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</si>
  <si>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</si>
  <si>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</si>
  <si>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</si>
  <si>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</si>
  <si>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</si>
  <si>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</si>
  <si>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</si>
  <si>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</si>
  <si>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</si>
  <si>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</si>
  <si>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</si>
  <si>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</si>
  <si>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</si>
  <si>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</si>
  <si>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</si>
  <si>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</si>
  <si>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</si>
  <si>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</si>
  <si>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</si>
  <si>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</si>
  <si>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</si>
  <si>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</si>
  <si>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</si>
  <si>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</si>
  <si>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</si>
  <si>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</si>
  <si>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</si>
  <si>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</si>
  <si>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</si>
  <si>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</si>
  <si>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</si>
  <si>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</si>
  <si>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</si>
  <si>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</si>
  <si>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</si>
  <si>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</si>
  <si>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</si>
  <si>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</si>
  <si>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</si>
  <si>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</si>
  <si>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</si>
  <si>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</si>
  <si>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</si>
  <si>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</si>
  <si>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</si>
  <si>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</si>
  <si>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</si>
  <si>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</si>
  <si>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</si>
  <si>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</si>
  <si>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</si>
  <si>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</si>
  <si>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</si>
  <si>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</si>
  <si>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</si>
  <si>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</si>
  <si>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</si>
  <si>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</si>
  <si>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</si>
  <si>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</si>
  <si>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</si>
  <si>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</si>
  <si>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</si>
  <si>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</si>
  <si>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</si>
  <si>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</si>
  <si>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</si>
  <si>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</si>
  <si>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</si>
  <si>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</si>
  <si>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</si>
  <si>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</si>
  <si>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</si>
  <si>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</si>
  <si>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</si>
  <si>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</si>
  <si>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</si>
  <si>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</si>
  <si>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</si>
  <si>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</si>
  <si>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</si>
  <si>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</si>
  <si>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</si>
  <si>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</si>
  <si>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</si>
  <si>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</si>
  <si>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</si>
  <si>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</si>
  <si>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</si>
  <si>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</si>
  <si>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</si>
  <si>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</si>
  <si>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</si>
  <si>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</si>
  <si>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</si>
  <si>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</si>
  <si>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</si>
  <si>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</si>
  <si>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</si>
  <si>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</si>
  <si>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</si>
  <si>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</si>
  <si>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</si>
  <si>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</si>
  <si>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</si>
  <si>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</si>
  <si>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</si>
  <si>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</si>
  <si>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</si>
  <si>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</si>
  <si>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</si>
  <si>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</si>
  <si>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</si>
  <si>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</si>
  <si>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</si>
  <si>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</si>
  <si>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</si>
  <si>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</si>
  <si>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</si>
  <si>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</si>
  <si>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</si>
  <si>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</si>
  <si>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</si>
  <si>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</si>
  <si>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</si>
  <si>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</si>
  <si>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</si>
  <si>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</si>
  <si>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</si>
  <si>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</si>
  <si>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</si>
  <si>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</si>
  <si>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</si>
  <si>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</si>
  <si>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</si>
  <si>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</si>
  <si>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</si>
  <si>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</si>
  <si>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</si>
  <si>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</si>
  <si>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</si>
  <si>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</si>
  <si>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</si>
  <si>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</si>
  <si>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</si>
  <si>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</si>
  <si>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</si>
  <si>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</si>
  <si>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</si>
  <si>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</si>
  <si>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</si>
  <si>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</si>
  <si>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</si>
  <si>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</si>
  <si>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</si>
  <si>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</si>
  <si>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</si>
  <si>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</si>
  <si>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</si>
  <si>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</si>
  <si>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</si>
  <si>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</si>
  <si>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</si>
  <si>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</si>
  <si>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</si>
  <si>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</si>
  <si>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</si>
  <si>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</si>
  <si>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</si>
  <si>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</si>
  <si>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</si>
  <si>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</si>
  <si>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</si>
  <si>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</si>
  <si>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</si>
  <si>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</si>
  <si>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</si>
  <si>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</si>
  <si>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</si>
  <si>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</si>
  <si>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</si>
  <si>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</si>
  <si>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</si>
  <si>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</si>
  <si>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</si>
  <si>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</si>
  <si>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</si>
  <si>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</si>
  <si>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</si>
  <si>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</si>
  <si>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</si>
  <si>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</si>
  <si>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</si>
  <si>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</si>
  <si>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</si>
  <si>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</si>
  <si>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</si>
  <si>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</si>
  <si>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</si>
  <si>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</si>
  <si>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</si>
  <si>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</si>
  <si>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</si>
  <si>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</si>
  <si>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</si>
  <si>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</si>
  <si>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</si>
  <si>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</si>
  <si>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</si>
  <si>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</si>
  <si>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</si>
  <si>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</si>
  <si>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</si>
  <si>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</si>
  <si>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</si>
  <si>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</si>
  <si>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</si>
  <si>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</si>
  <si>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</si>
  <si>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</si>
  <si>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</si>
  <si>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</si>
  <si>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</si>
  <si>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</si>
  <si>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</si>
  <si>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</si>
  <si>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</si>
  <si>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</si>
  <si>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</si>
  <si>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</si>
  <si>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</si>
  <si>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</si>
  <si>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</si>
  <si>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</si>
  <si>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</si>
  <si>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</si>
  <si>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</si>
  <si>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</si>
  <si>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</si>
  <si>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</si>
  <si>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</si>
  <si>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</si>
  <si>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</si>
  <si>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</si>
  <si>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</si>
  <si>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</si>
  <si>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</si>
  <si>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</si>
  <si>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</si>
  <si>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</si>
  <si>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</si>
  <si>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</si>
  <si>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</si>
  <si>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</si>
  <si>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</si>
  <si>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</si>
  <si>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</si>
  <si>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</si>
  <si>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</si>
  <si>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</si>
  <si>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</si>
  <si>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</si>
  <si>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</si>
  <si>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</si>
  <si>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</si>
  <si>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</si>
  <si>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</si>
  <si>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</si>
  <si>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</si>
  <si>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</si>
  <si>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</si>
  <si>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</si>
  <si>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</si>
  <si>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</si>
  <si>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</si>
  <si>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</si>
  <si>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</si>
  <si>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</si>
  <si>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</si>
  <si>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</si>
  <si>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</si>
  <si>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</si>
  <si>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</si>
  <si>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</si>
  <si>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</si>
  <si>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</si>
  <si>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</si>
  <si>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</si>
  <si>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</si>
  <si>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</si>
  <si>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</si>
  <si>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</si>
  <si>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</si>
  <si>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</si>
  <si>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</si>
  <si>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</si>
  <si>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</si>
  <si>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</si>
  <si>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</si>
  <si>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</si>
  <si>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</si>
  <si>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</si>
  <si>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</si>
  <si>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</si>
  <si>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</si>
  <si>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</si>
  <si>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</si>
  <si>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</si>
  <si>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</si>
  <si>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</si>
  <si>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</si>
  <si>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</si>
  <si>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</si>
  <si>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</si>
  <si>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</si>
  <si>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</si>
  <si>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</si>
  <si>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</si>
  <si>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</si>
  <si>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</si>
  <si>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</si>
  <si>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</si>
  <si>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</si>
  <si>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</si>
  <si>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</si>
  <si>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</si>
  <si>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</si>
  <si>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</si>
  <si>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</si>
  <si>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</si>
  <si>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</si>
  <si>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</si>
  <si>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</si>
  <si>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</si>
  <si>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</si>
  <si>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</si>
  <si>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</si>
  <si>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</si>
  <si>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</si>
  <si>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</si>
  <si>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</si>
  <si>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</si>
  <si>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</si>
  <si>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</si>
  <si>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</si>
  <si>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</si>
  <si>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</si>
  <si>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</si>
  <si>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</si>
  <si>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</si>
  <si>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</si>
  <si>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</si>
  <si>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</si>
  <si>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</si>
  <si>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</si>
  <si>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</si>
  <si>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</si>
  <si>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</si>
  <si>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</si>
  <si>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</si>
  <si>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</si>
  <si>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</si>
  <si>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</si>
  <si>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</si>
  <si>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</si>
  <si>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</si>
  <si>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</si>
  <si>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</si>
  <si>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</si>
  <si>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</si>
  <si>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</si>
  <si>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</si>
  <si>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</si>
  <si>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</si>
  <si>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</si>
  <si>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</si>
  <si>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</si>
  <si>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</si>
  <si>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</si>
  <si>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</si>
  <si>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</si>
  <si>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</si>
  <si>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</si>
  <si>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</si>
  <si>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</si>
  <si>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</si>
  <si>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</si>
  <si>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</si>
  <si>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</si>
  <si>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</si>
  <si>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</si>
  <si>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</si>
  <si>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</si>
  <si>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</si>
  <si>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</si>
  <si>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</si>
  <si>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</si>
  <si>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</si>
  <si>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</si>
  <si>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</si>
  <si>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</si>
  <si>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</si>
  <si>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</si>
  <si>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</si>
  <si>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</si>
  <si>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</si>
  <si>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</si>
  <si>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</si>
  <si>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</si>
  <si>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</si>
  <si>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</si>
  <si>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</si>
  <si>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</si>
  <si>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</si>
  <si>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</si>
  <si>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</si>
  <si>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</si>
  <si>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</si>
  <si>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</si>
  <si>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</si>
  <si>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</si>
  <si>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</si>
  <si>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</si>
  <si>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</si>
  <si>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</si>
  <si>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</si>
  <si>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</si>
  <si>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</si>
  <si>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</si>
  <si>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</si>
  <si>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</si>
  <si>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</si>
  <si>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</si>
  <si>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</si>
  <si>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</si>
  <si>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</si>
  <si>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</si>
  <si>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</si>
  <si>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</si>
  <si>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</si>
  <si>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</si>
  <si>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</si>
  <si>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</si>
  <si>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</si>
  <si>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</si>
  <si>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</si>
  <si>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</si>
  <si>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</si>
  <si>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</si>
  <si>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</si>
  <si>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</si>
  <si>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</si>
  <si>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</si>
  <si>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</si>
  <si>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</si>
  <si>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</si>
  <si>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</si>
  <si>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</si>
  <si>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</si>
  <si>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</si>
  <si>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</si>
  <si>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</si>
  <si>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</si>
  <si>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</si>
  <si>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</si>
  <si>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</si>
  <si>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</si>
  <si>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</si>
  <si>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</si>
  <si>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</si>
  <si>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</si>
  <si>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</si>
  <si>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</si>
  <si>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</si>
  <si>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</si>
  <si>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</si>
  <si>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</si>
  <si>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</si>
  <si>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</si>
  <si>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</si>
  <si>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</si>
  <si>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</si>
  <si>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</si>
  <si>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</si>
  <si>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</si>
  <si>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</si>
  <si>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</si>
  <si>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</si>
  <si>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</si>
  <si>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</si>
  <si>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</si>
  <si>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</si>
  <si>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</si>
  <si>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</si>
  <si>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</si>
  <si>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</si>
  <si>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</si>
  <si>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</si>
  <si>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</si>
  <si>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</si>
  <si>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</si>
  <si>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</si>
  <si>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</si>
  <si>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</si>
  <si>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</si>
  <si>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</si>
  <si>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</si>
  <si>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</si>
  <si>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</si>
  <si>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</si>
  <si>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</si>
  <si>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</si>
  <si>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</si>
  <si>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</si>
  <si>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</si>
  <si>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</si>
  <si>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</si>
  <si>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</si>
  <si>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</si>
  <si>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</si>
  <si>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</si>
  <si>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</si>
  <si>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</si>
  <si>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</si>
  <si>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</si>
  <si>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</si>
  <si>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</si>
  <si>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</si>
  <si>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</si>
  <si>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</si>
  <si>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</si>
  <si>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</si>
  <si>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</si>
  <si>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</si>
  <si>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</si>
  <si>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</si>
  <si>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</si>
  <si>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</si>
  <si>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</si>
  <si>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</si>
  <si>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</si>
  <si>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</si>
  <si>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</si>
  <si>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</si>
  <si>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</si>
  <si>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</si>
  <si>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</si>
  <si>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</si>
  <si>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</si>
  <si>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</si>
  <si>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</si>
  <si>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</si>
  <si>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</si>
  <si>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</si>
  <si>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</si>
  <si>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</si>
  <si>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</si>
  <si>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</si>
  <si>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</si>
  <si>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</si>
  <si>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</si>
  <si>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</si>
  <si>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</si>
  <si>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</si>
  <si>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</si>
  <si>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</si>
  <si>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</si>
  <si>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</si>
  <si>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</si>
  <si>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</si>
  <si>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</si>
  <si>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</si>
  <si>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</si>
  <si>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</si>
  <si>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</si>
  <si>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</si>
  <si>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</si>
  <si>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</si>
  <si>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</si>
  <si>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</si>
  <si>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</si>
  <si>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</si>
  <si>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</si>
  <si>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</si>
  <si>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</si>
  <si>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</si>
  <si>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</si>
  <si>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</si>
  <si>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</si>
  <si>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</si>
  <si>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</si>
  <si>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</si>
  <si>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</si>
  <si>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</si>
  <si>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</si>
  <si>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</si>
  <si>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</si>
  <si>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</si>
  <si>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</si>
  <si>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</si>
  <si>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</si>
  <si>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</si>
  <si>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</si>
  <si>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</si>
  <si>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</si>
  <si>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</si>
  <si>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</si>
  <si>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</si>
  <si>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</si>
  <si>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</si>
  <si>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</si>
  <si>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</si>
  <si>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</si>
  <si>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</si>
  <si>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</si>
  <si>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</si>
  <si>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</si>
  <si>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</si>
  <si>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</si>
  <si>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</si>
  <si>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</si>
  <si>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</si>
  <si>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</si>
  <si>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</si>
  <si>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</si>
  <si>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</si>
  <si>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</si>
  <si>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</si>
  <si>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</si>
  <si>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</si>
  <si>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</si>
  <si>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</si>
  <si>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</si>
  <si>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</si>
  <si>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</si>
  <si>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</si>
  <si>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</si>
  <si>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</si>
  <si>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</si>
  <si>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</si>
  <si>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</si>
  <si>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</si>
  <si>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</si>
  <si>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</si>
  <si>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</si>
  <si>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</si>
  <si>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</si>
  <si>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</si>
  <si>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</si>
  <si>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</si>
  <si>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</si>
  <si>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</si>
  <si>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</si>
  <si>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</si>
  <si>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</si>
  <si>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</si>
  <si>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</si>
  <si>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</si>
  <si>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</si>
  <si>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</si>
  <si>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</si>
  <si>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</si>
  <si>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</si>
  <si>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</si>
  <si>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</si>
  <si>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</si>
  <si>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</si>
  <si>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</si>
  <si>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</si>
  <si>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</si>
  <si>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</si>
  <si>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</si>
  <si>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</si>
  <si>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</si>
  <si>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</si>
  <si>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</si>
  <si>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</si>
  <si>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</si>
  <si>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</si>
  <si>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</si>
  <si>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</si>
  <si>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</si>
  <si>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</si>
  <si>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</si>
  <si>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</si>
  <si>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</si>
  <si>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</si>
  <si>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</si>
  <si>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</si>
  <si>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</si>
  <si>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</si>
  <si>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</si>
  <si>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</si>
  <si>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</si>
  <si>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</si>
  <si>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</si>
  <si>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</si>
  <si>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</si>
  <si>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</si>
  <si>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</si>
  <si>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</si>
  <si>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</si>
  <si>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</si>
  <si>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</si>
  <si>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</si>
  <si>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</si>
  <si>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</si>
  <si>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</si>
  <si>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</si>
  <si>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</si>
  <si>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</si>
  <si>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</si>
  <si>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</si>
  <si>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</si>
  <si>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</si>
  <si>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</si>
  <si>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</si>
  <si>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</si>
  <si>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</si>
  <si>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</si>
  <si>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</si>
  <si>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</si>
  <si>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</si>
  <si>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</si>
  <si>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</si>
  <si>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</si>
  <si>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</si>
  <si>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</si>
  <si>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</si>
  <si>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</si>
  <si>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</si>
  <si>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</si>
  <si>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</si>
  <si>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</si>
  <si>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</si>
  <si>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</si>
  <si>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</si>
  <si>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</si>
  <si>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</si>
  <si>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</si>
  <si>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</si>
  <si>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</si>
  <si>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</si>
  <si>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</si>
  <si>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</si>
  <si>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</si>
  <si>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</si>
  <si>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</si>
  <si>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</si>
  <si>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</si>
  <si>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</si>
  <si>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</si>
  <si>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</si>
  <si>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</si>
  <si>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</si>
  <si>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</si>
  <si>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</si>
  <si>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</si>
  <si>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</si>
  <si>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</si>
  <si>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</si>
  <si>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</si>
  <si>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</si>
  <si>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</si>
  <si>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</si>
  <si>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</si>
  <si>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</si>
  <si>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</si>
  <si>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</si>
  <si>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</si>
  <si>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</si>
  <si>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</si>
  <si>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</si>
  <si>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</si>
  <si>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</si>
  <si>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</si>
  <si>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</si>
  <si>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</si>
  <si>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</si>
  <si>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</si>
  <si>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</si>
  <si>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</si>
  <si>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</si>
  <si>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</si>
  <si>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</si>
  <si>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</si>
  <si>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</si>
  <si>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</si>
  <si>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</si>
  <si>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</si>
  <si>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</si>
  <si>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</si>
  <si>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</si>
  <si>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</si>
  <si>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</si>
  <si>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</si>
  <si>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</si>
  <si>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</si>
  <si>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</si>
  <si>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</si>
  <si>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</si>
  <si>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</si>
  <si>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</si>
  <si>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</si>
  <si>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</si>
  <si>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</si>
  <si>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</si>
  <si>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</si>
  <si>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</si>
  <si>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</si>
  <si>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</si>
  <si>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</si>
  <si>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</si>
  <si>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</si>
  <si>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</si>
  <si>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</si>
  <si>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</si>
  <si>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</si>
  <si>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</si>
  <si>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</si>
  <si>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</si>
  <si>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</si>
  <si>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</si>
  <si>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</si>
  <si>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</si>
  <si>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</si>
  <si>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</si>
  <si>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</si>
  <si>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</si>
  <si>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</si>
  <si>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</si>
  <si>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</si>
  <si>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</si>
  <si>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</si>
  <si>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</si>
  <si>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</si>
  <si>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</si>
  <si>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</si>
  <si>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</si>
  <si>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</si>
  <si>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</si>
  <si>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</si>
  <si>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</si>
  <si>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</si>
  <si>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</si>
  <si>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</si>
  <si>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</si>
  <si>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</si>
  <si>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</si>
  <si>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</si>
  <si>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</si>
  <si>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</si>
  <si>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</si>
  <si>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</si>
  <si>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</si>
  <si>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</si>
  <si>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</si>
  <si>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</si>
  <si>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</si>
  <si>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</si>
  <si>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</si>
  <si>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</si>
  <si>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</si>
  <si>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</si>
  <si>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</si>
  <si>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</si>
  <si>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</si>
  <si>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</si>
  <si>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</si>
  <si>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</si>
  <si>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</si>
  <si>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</si>
  <si>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</si>
  <si>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</si>
  <si>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</si>
  <si>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</si>
  <si>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</si>
  <si>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</si>
  <si>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</si>
  <si>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</si>
  <si>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</si>
  <si>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</si>
  <si>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</si>
  <si>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</si>
  <si>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</si>
  <si>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</si>
  <si>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</si>
  <si>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</si>
  <si>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</si>
  <si>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</si>
  <si>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</si>
  <si>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</si>
  <si>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</si>
  <si>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</si>
  <si>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</si>
  <si>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</si>
  <si>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</si>
  <si>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</si>
  <si>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</si>
  <si>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</si>
  <si>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</si>
  <si>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</si>
  <si>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</si>
  <si>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</si>
  <si>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</si>
  <si>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</si>
  <si>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</si>
  <si>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</si>
  <si>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</si>
  <si>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</si>
  <si>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</si>
  <si>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</si>
  <si>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</si>
  <si>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</si>
  <si>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</si>
  <si>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</si>
  <si>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</si>
  <si>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</si>
  <si>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</si>
  <si>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</si>
  <si>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</si>
  <si>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</si>
  <si>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</si>
  <si>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</si>
  <si>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</si>
  <si>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</si>
  <si>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</si>
  <si>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</si>
  <si>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</si>
  <si>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</si>
  <si>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</si>
  <si>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</si>
  <si>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</si>
  <si>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</si>
  <si>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</si>
  <si>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</si>
  <si>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</si>
  <si>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</si>
  <si>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</si>
  <si>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</si>
  <si>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</si>
  <si>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</si>
  <si>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</si>
  <si>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</si>
  <si>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</si>
  <si>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</si>
  <si>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</si>
  <si>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</si>
  <si>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</si>
  <si>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</si>
  <si>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</si>
  <si>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</si>
  <si>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</si>
  <si>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</si>
  <si>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</si>
  <si>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</si>
  <si>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</si>
  <si>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</si>
  <si>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</si>
  <si>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</si>
  <si>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</si>
  <si>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</si>
  <si>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</si>
  <si>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</si>
  <si>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</si>
  <si>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</si>
  <si>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</si>
  <si>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</si>
  <si>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</si>
  <si>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</si>
  <si>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</si>
  <si>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</si>
  <si>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</si>
  <si>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</si>
  <si>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</si>
  <si>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</si>
  <si>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</si>
  <si>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</si>
  <si>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</si>
  <si>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</si>
  <si>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</si>
  <si>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</si>
  <si>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</si>
  <si>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</si>
  <si>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</si>
  <si>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</si>
  <si>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</si>
  <si>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</si>
  <si>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</si>
  <si>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</si>
  <si>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</si>
  <si>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</si>
  <si>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</si>
  <si>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</si>
  <si>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</si>
  <si>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</si>
  <si>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</si>
  <si>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</si>
  <si>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</si>
  <si>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</si>
  <si>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</si>
  <si>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</si>
  <si>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</si>
  <si>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</si>
  <si>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</si>
  <si>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</si>
  <si>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</si>
  <si>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</si>
  <si>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</si>
  <si>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</si>
  <si>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</si>
  <si>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</si>
  <si>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</si>
  <si>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</si>
  <si>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</si>
  <si>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</si>
  <si>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</si>
  <si>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</si>
  <si>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</si>
  <si>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</si>
  <si>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</si>
  <si>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</si>
  <si>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</si>
  <si>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</si>
  <si>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</si>
  <si>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</si>
  <si>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</si>
  <si>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</si>
  <si>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</si>
  <si>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</si>
  <si>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</si>
  <si>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</si>
  <si>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</si>
  <si>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</si>
  <si>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</si>
  <si>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</si>
  <si>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</si>
  <si>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</si>
  <si>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</si>
  <si>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</si>
  <si>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</si>
  <si>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</si>
  <si>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</si>
  <si>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</si>
  <si>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</si>
  <si>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</si>
  <si>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</si>
  <si>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</si>
  <si>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</si>
  <si>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</si>
  <si>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</si>
  <si>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</si>
  <si>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</si>
  <si>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</si>
  <si>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</si>
  <si>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</si>
  <si>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</si>
  <si>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</si>
  <si>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</si>
  <si>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</si>
  <si>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</si>
  <si>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</si>
  <si>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</si>
  <si>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</si>
  <si>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</si>
  <si>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</si>
  <si>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</si>
  <si>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</si>
  <si>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</si>
  <si>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</si>
  <si>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</si>
  <si>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</si>
  <si>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</si>
  <si>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</si>
  <si>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</si>
  <si>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</si>
  <si>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</si>
  <si>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</si>
  <si>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</si>
  <si>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</si>
  <si>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</si>
  <si>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</si>
  <si>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</si>
  <si>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</si>
  <si>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</si>
  <si>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</si>
  <si>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</si>
  <si>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</si>
  <si>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</si>
  <si>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</si>
  <si>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</si>
  <si>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</si>
  <si>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</si>
  <si>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</si>
  <si>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</si>
  <si>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</si>
  <si>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</si>
  <si>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</si>
  <si>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</si>
  <si>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</si>
  <si>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</si>
  <si>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</si>
  <si>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</si>
  <si>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</si>
  <si>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</si>
  <si>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</si>
  <si>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</si>
  <si>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</si>
  <si>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</si>
  <si>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</si>
  <si>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</si>
  <si>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</si>
  <si>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</si>
  <si>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</si>
  <si>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</si>
  <si>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</si>
  <si>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</si>
  <si>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</si>
  <si>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</si>
  <si>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</si>
  <si>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</si>
  <si>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</si>
  <si>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</si>
  <si>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</si>
  <si>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</si>
  <si>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</si>
  <si>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</si>
  <si>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</si>
  <si>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</si>
  <si>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</si>
  <si>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</si>
  <si>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</si>
  <si>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</si>
  <si>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</si>
  <si>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</si>
  <si>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</si>
  <si>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</si>
  <si>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</si>
  <si>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</si>
  <si>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</si>
  <si>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</si>
  <si>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</si>
  <si>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</si>
  <si>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</si>
  <si>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</si>
  <si>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</si>
  <si>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</si>
  <si>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</si>
  <si>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</si>
  <si>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</si>
  <si>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</si>
  <si>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</si>
  <si>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</si>
  <si>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</si>
  <si>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</si>
  <si>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</si>
  <si>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</si>
  <si>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</si>
  <si>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</si>
  <si>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</si>
  <si>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</si>
  <si>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</si>
  <si>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</si>
  <si>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</si>
  <si>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</si>
  <si>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</si>
  <si>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</si>
  <si>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</si>
  <si>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</si>
  <si>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</si>
  <si>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</si>
  <si>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</si>
  <si>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</si>
  <si>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</si>
  <si>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</si>
  <si>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</si>
  <si>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</si>
  <si>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</si>
  <si>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</si>
  <si>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</si>
  <si>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</si>
  <si>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</si>
  <si>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</si>
  <si>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</si>
  <si>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</si>
  <si>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</si>
  <si>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</si>
  <si>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</si>
  <si>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</si>
  <si>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</si>
  <si>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</si>
  <si>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</si>
  <si>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</si>
  <si>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</si>
  <si>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</si>
  <si>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</si>
  <si>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</si>
  <si>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</si>
  <si>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</si>
  <si>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</si>
  <si>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</si>
  <si>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</si>
  <si>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</si>
  <si>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</si>
  <si>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</si>
  <si>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</si>
  <si>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</si>
  <si>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</si>
  <si>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</si>
  <si>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</si>
  <si>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</si>
  <si>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</si>
  <si>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</si>
  <si>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</si>
  <si>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</si>
  <si>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</si>
  <si>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</si>
  <si>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</si>
  <si>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</si>
  <si>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</si>
  <si>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</si>
  <si>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</si>
  <si>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</si>
  <si>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</si>
  <si>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</si>
  <si>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</si>
  <si>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</si>
  <si>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</si>
  <si>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</si>
  <si>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</si>
  <si>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</si>
  <si>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</si>
  <si>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</si>
  <si>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</si>
  <si>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</si>
  <si>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</si>
  <si>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</si>
  <si>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</si>
  <si>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</si>
  <si>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</si>
  <si>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</si>
  <si>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</si>
  <si>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</si>
  <si>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</si>
  <si>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</si>
  <si>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</si>
  <si>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</si>
  <si>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</si>
  <si>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</si>
  <si>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</si>
  <si>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</si>
  <si>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</si>
  <si>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</si>
  <si>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</si>
  <si>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</si>
  <si>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</si>
  <si>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</si>
  <si>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</si>
  <si>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</si>
  <si>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</si>
  <si>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</si>
  <si>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</si>
  <si>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</si>
  <si>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</si>
  <si>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</si>
  <si>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</si>
  <si>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</si>
  <si>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</si>
  <si>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</si>
  <si>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</si>
  <si>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</si>
  <si>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</si>
  <si>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</si>
  <si>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</si>
  <si>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</si>
  <si>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</si>
  <si>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</si>
  <si>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</si>
  <si>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</si>
  <si>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</si>
  <si>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</si>
  <si>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</si>
  <si>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</si>
  <si>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</si>
  <si>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</si>
  <si>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</si>
  <si>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</si>
  <si>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</si>
  <si>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</si>
  <si>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</si>
  <si>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</si>
  <si>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</si>
  <si>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</si>
  <si>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</si>
  <si>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</si>
  <si>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</si>
  <si>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</si>
  <si>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</si>
  <si>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</si>
  <si>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</si>
  <si>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</si>
  <si>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</si>
  <si>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</si>
  <si>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</si>
  <si>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</si>
  <si>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</si>
  <si>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</si>
  <si>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</si>
  <si>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</si>
  <si>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</si>
  <si>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</si>
  <si>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</si>
  <si>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</si>
  <si>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</si>
  <si>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</si>
  <si>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</si>
  <si>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</si>
  <si>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</si>
  <si>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</si>
  <si>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</si>
  <si>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</si>
  <si>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</si>
  <si>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</si>
  <si>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</si>
  <si>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</si>
  <si>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</si>
  <si>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</si>
  <si>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</si>
  <si>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</si>
  <si>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</si>
  <si>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</si>
  <si>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</si>
  <si>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</si>
  <si>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</si>
  <si>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</si>
  <si>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</si>
  <si>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</si>
  <si>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</si>
  <si>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</si>
  <si>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</si>
  <si>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</si>
  <si>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</si>
  <si>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</si>
  <si>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</si>
  <si>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</si>
  <si>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</si>
  <si>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</si>
  <si>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</si>
  <si>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</si>
  <si>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</si>
  <si>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Jefferson</t>
  </si>
  <si>
    <t>20941 East Divide Road</t>
  </si>
  <si>
    <t>Bluford</t>
  </si>
  <si>
    <t>Kujawa &amp; Batteau, P.C.</t>
  </si>
  <si>
    <t>Kevin Batteau</t>
  </si>
  <si>
    <t>309 S. Walnut Street</t>
  </si>
  <si>
    <t>Pinckneyville</t>
  </si>
  <si>
    <t>IL</t>
  </si>
  <si>
    <t>618-357-3000</t>
  </si>
  <si>
    <t>618-357-3654</t>
  </si>
  <si>
    <t>kbatteau@kandb-cpa.com</t>
  </si>
  <si>
    <t>x</t>
  </si>
  <si>
    <t>N/A</t>
  </si>
  <si>
    <t>Dana Waggoner</t>
  </si>
  <si>
    <t>dwaggoner@farrington99.org</t>
  </si>
  <si>
    <t>618-755-4414</t>
  </si>
  <si>
    <t>618-755-4461</t>
  </si>
  <si>
    <t>Kujawa &amp; Batteau PC</t>
  </si>
  <si>
    <t>Working Cash Bond Series 2015</t>
  </si>
  <si>
    <t>Working Cash Bond Series 2019</t>
  </si>
  <si>
    <t>Audit Services</t>
  </si>
  <si>
    <t>Erate</t>
  </si>
  <si>
    <t>Kujawa &amp; Batteau, PC</t>
  </si>
  <si>
    <t>AJD Consulting Services</t>
  </si>
  <si>
    <t>Intuit</t>
  </si>
  <si>
    <t>Software</t>
  </si>
  <si>
    <t>wabash Independent</t>
  </si>
  <si>
    <t>Southern illinois School District Coop Buying Program</t>
  </si>
  <si>
    <t>Regional Office of Education</t>
  </si>
  <si>
    <t>Franklin-Jefferson Counties Special Education District</t>
  </si>
  <si>
    <t>Quality Network Solutions</t>
  </si>
  <si>
    <t>Rounding corrections on tab 7-8</t>
  </si>
  <si>
    <t>10-2520-300</t>
  </si>
  <si>
    <t>10-2540-300</t>
  </si>
  <si>
    <t>Farrington CCSD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</si>
</sst>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614796</xdr:colOff>
          <xdr:row>1</xdr:row>
          <xdr:rowOff>112568</xdr:rowOff>
        </xdr:from>
        <xdr:to>
          <xdr:col>1</xdr:col>
          <xdr:colOff>1529196</xdr:colOff>
          <xdr:row>5</xdr:row>
          <xdr:rowOff>150668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2064</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13041099004</v>
      </c>
      <c r="B13" s="2017"/>
      <c r="C13" s="2017"/>
      <c r="D13" s="2017"/>
      <c r="E13" s="2017"/>
      <c r="F13" s="2017"/>
      <c r="G13" s="2017"/>
      <c r="H13" s="2018"/>
      <c r="I13" s="31"/>
      <c r="J13" s="30"/>
      <c r="K13" s="28"/>
      <c r="L13" s="30"/>
      <c r="M13" s="30"/>
      <c r="N13" s="30"/>
      <c r="O13" s="30"/>
      <c r="P13" s="30"/>
      <c r="Q13" s="30"/>
      <c r="R13" s="30"/>
      <c r="S13" s="30"/>
      <c r="T13" s="2021" t="s">
        <v>2068</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2065</v>
      </c>
      <c r="B15" s="2019"/>
      <c r="C15" s="2019"/>
      <c r="D15" s="2019"/>
      <c r="E15" s="2019"/>
      <c r="F15" s="2019"/>
      <c r="G15" s="2019"/>
      <c r="H15" s="2020"/>
      <c r="T15" s="2025" t="s">
        <v>2069</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2099</v>
      </c>
      <c r="B17" s="1976"/>
      <c r="C17" s="1976"/>
      <c r="D17" s="1976"/>
      <c r="E17" s="1976"/>
      <c r="F17" s="1976"/>
      <c r="G17" s="1976"/>
      <c r="H17" s="2001"/>
      <c r="T17" s="2032" t="s">
        <v>2070</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2066</v>
      </c>
      <c r="B19" s="1961"/>
      <c r="C19" s="1961"/>
      <c r="D19" s="1961"/>
      <c r="E19" s="1961"/>
      <c r="F19" s="1961"/>
      <c r="G19" s="1961"/>
      <c r="H19" s="1941"/>
      <c r="I19" s="30"/>
      <c r="J19" s="99"/>
      <c r="K19" s="40"/>
      <c r="L19" s="38"/>
      <c r="M19" s="112" t="s">
        <v>315</v>
      </c>
      <c r="P19" s="27"/>
      <c r="Q19" s="27"/>
      <c r="R19" s="27"/>
      <c r="S19" s="31"/>
      <c r="T19" s="2015" t="s">
        <v>2071</v>
      </c>
      <c r="U19" s="1940"/>
      <c r="V19" s="1940"/>
      <c r="W19" s="1941"/>
      <c r="X19" s="2030" t="s">
        <v>2072</v>
      </c>
      <c r="Y19" s="2031"/>
      <c r="Z19" s="2028">
        <v>62274</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2067</v>
      </c>
      <c r="B21" s="1940"/>
      <c r="C21" s="1940"/>
      <c r="D21" s="1940"/>
      <c r="E21" s="1940"/>
      <c r="F21" s="1940"/>
      <c r="G21" s="1940"/>
      <c r="H21" s="1941"/>
      <c r="I21" s="1995" t="s">
        <v>678</v>
      </c>
      <c r="J21" s="1990"/>
      <c r="K21" s="1990"/>
      <c r="L21" s="1990"/>
      <c r="M21" s="1990"/>
      <c r="N21" s="1990"/>
      <c r="O21" s="1990"/>
      <c r="P21" s="1990"/>
      <c r="Q21" s="1990"/>
      <c r="R21" s="1990"/>
      <c r="S21" s="1996"/>
      <c r="T21" s="2039" t="s">
        <v>2073</v>
      </c>
      <c r="U21" s="2040"/>
      <c r="V21" s="2040"/>
      <c r="W21" s="2040"/>
      <c r="X21" s="2045" t="s">
        <v>2074</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c r="B23" s="1993"/>
      <c r="C23" s="1993"/>
      <c r="D23" s="1993"/>
      <c r="E23" s="1993"/>
      <c r="F23" s="1993"/>
      <c r="G23" s="1993"/>
      <c r="H23" s="1994"/>
      <c r="T23" s="1975">
        <v>65.028419999999997</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62814</v>
      </c>
      <c r="B25" s="1940"/>
      <c r="C25" s="1940"/>
      <c r="D25" s="1940"/>
      <c r="E25" s="1940"/>
      <c r="F25" s="1940"/>
      <c r="G25" s="1940"/>
      <c r="H25" s="1941"/>
      <c r="I25" s="113"/>
      <c r="J25" s="1964"/>
      <c r="K25" s="1964"/>
      <c r="L25" s="1964"/>
      <c r="M25" s="1964"/>
      <c r="N25" s="1964"/>
      <c r="O25" s="1964"/>
      <c r="P25" s="1964"/>
      <c r="Q25" s="1964"/>
      <c r="R25" s="1964"/>
      <c r="S25" s="1965"/>
      <c r="T25" s="2035" t="s">
        <v>2075</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2076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2078</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2079</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2080</v>
      </c>
      <c r="B42" s="1959"/>
      <c r="C42" s="1960"/>
      <c r="D42" s="1958" t="s">
        <v>2081</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topLeftCell="A4" colorId="8" zoomScaleNormal="110" workbookViewId="0">
      <selection activeCell="C26" sqref="C2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70732.77</v>
      </c>
      <c r="C4" s="1524"/>
      <c r="D4" s="1752">
        <f>B4-C4</f>
        <v>70732.77</v>
      </c>
      <c r="E4" s="1524">
        <f>73057.8+2172.8-357.54</f>
        <v>74873.060000000012</v>
      </c>
      <c r="F4" s="1752">
        <f>E4-C4</f>
        <v>74873.060000000012</v>
      </c>
    </row>
    <row r="5" spans="1:6" ht="13.7" customHeight="1" x14ac:dyDescent="0.2">
      <c r="A5" s="715" t="s">
        <v>870</v>
      </c>
      <c r="B5" s="1750">
        <f>'Revenues 9-14'!D5</f>
        <v>13295.29</v>
      </c>
      <c r="C5" s="585"/>
      <c r="D5" s="1753">
        <f t="shared" ref="D5:D18" si="0">B5-C5</f>
        <v>13295.29</v>
      </c>
      <c r="E5" s="585">
        <f>13691.21+407.19</f>
        <v>14098.4</v>
      </c>
      <c r="F5" s="1753">
        <f>E5-C5</f>
        <v>14098.4</v>
      </c>
    </row>
    <row r="6" spans="1:6" ht="13.7" customHeight="1" x14ac:dyDescent="0.2">
      <c r="A6" s="715" t="s">
        <v>411</v>
      </c>
      <c r="B6" s="1750">
        <f>'Revenues 9-14'!E5</f>
        <v>54230.16</v>
      </c>
      <c r="C6" s="585"/>
      <c r="D6" s="1753">
        <f t="shared" si="0"/>
        <v>54230.16</v>
      </c>
      <c r="E6" s="585">
        <f>56080.99+1673.65</f>
        <v>57754.64</v>
      </c>
      <c r="F6" s="1753">
        <f t="shared" ref="F6:F18" si="1">E6-C6</f>
        <v>57754.64</v>
      </c>
    </row>
    <row r="7" spans="1:6" ht="13.7" customHeight="1" x14ac:dyDescent="0.2">
      <c r="A7" s="715" t="s">
        <v>155</v>
      </c>
      <c r="B7" s="1750">
        <f>'Revenues 9-14'!F5</f>
        <v>6388.54</v>
      </c>
      <c r="C7" s="585"/>
      <c r="D7" s="1753">
        <f t="shared" si="0"/>
        <v>6388.54</v>
      </c>
      <c r="E7" s="585">
        <f>6579.18+195.67</f>
        <v>6774.85</v>
      </c>
      <c r="F7" s="1753">
        <f t="shared" si="1"/>
        <v>6774.85</v>
      </c>
    </row>
    <row r="8" spans="1:6" ht="13.7" customHeight="1" x14ac:dyDescent="0.2">
      <c r="A8" s="715" t="s">
        <v>1179</v>
      </c>
      <c r="B8" s="1750">
        <f>'Revenues 9-14'!G5</f>
        <v>932.33</v>
      </c>
      <c r="C8" s="585"/>
      <c r="D8" s="1753">
        <f t="shared" si="0"/>
        <v>932.33</v>
      </c>
      <c r="E8" s="585">
        <f>960.39+28.57</f>
        <v>988.96</v>
      </c>
      <c r="F8" s="1753">
        <f t="shared" si="1"/>
        <v>988.96</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2663.08</v>
      </c>
      <c r="C10" s="585"/>
      <c r="D10" s="1753">
        <f t="shared" si="0"/>
        <v>2663.08</v>
      </c>
      <c r="E10" s="585">
        <f>2742.39+81.56</f>
        <v>2823.95</v>
      </c>
      <c r="F10" s="1753">
        <f t="shared" si="1"/>
        <v>2823.95</v>
      </c>
    </row>
    <row r="11" spans="1:6" x14ac:dyDescent="0.2">
      <c r="A11" s="715" t="s">
        <v>409</v>
      </c>
      <c r="B11" s="1750">
        <f>'Revenues 9-14'!J5</f>
        <v>15841.58</v>
      </c>
      <c r="C11" s="585"/>
      <c r="D11" s="1753">
        <f t="shared" si="0"/>
        <v>15841.58</v>
      </c>
      <c r="E11" s="585">
        <f>16313.15+485.17</f>
        <v>16798.32</v>
      </c>
      <c r="F11" s="1753">
        <f t="shared" si="1"/>
        <v>16798.32</v>
      </c>
    </row>
    <row r="12" spans="1:6" ht="13.7" customHeight="1" x14ac:dyDescent="0.2">
      <c r="A12" s="715" t="s">
        <v>157</v>
      </c>
      <c r="B12" s="1750">
        <f>'Revenues 9-14'!K5</f>
        <v>2663.08</v>
      </c>
      <c r="C12" s="585"/>
      <c r="D12" s="1753">
        <f t="shared" si="0"/>
        <v>2663.08</v>
      </c>
      <c r="E12" s="585">
        <f>2742.39+81.56</f>
        <v>2823.95</v>
      </c>
      <c r="F12" s="1753">
        <f t="shared" si="1"/>
        <v>2823.95</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1076.53</v>
      </c>
      <c r="C14" s="585"/>
      <c r="D14" s="1753">
        <f t="shared" si="0"/>
        <v>1076.53</v>
      </c>
      <c r="E14" s="585">
        <f>1108.76+32.97</f>
        <v>1141.73</v>
      </c>
      <c r="F14" s="1753">
        <f t="shared" si="1"/>
        <v>1141.73</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1863.82</v>
      </c>
      <c r="C16" s="585"/>
      <c r="D16" s="1753">
        <f t="shared" si="0"/>
        <v>1863.82</v>
      </c>
      <c r="E16" s="585">
        <f>1919.19+57.09</f>
        <v>1976.28</v>
      </c>
      <c r="F16" s="1753">
        <f t="shared" si="1"/>
        <v>1976.28</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169687.17999999996</v>
      </c>
      <c r="C19" s="1751">
        <f>SUM(C4:C18)</f>
        <v>0</v>
      </c>
      <c r="D19" s="1751">
        <f>SUM(D4:D18)</f>
        <v>169687.17999999996</v>
      </c>
      <c r="E19" s="1751">
        <f>SUM(E4:E18)</f>
        <v>180054.14000000004</v>
      </c>
      <c r="F19" s="1751">
        <f>SUM(F4:F18)</f>
        <v>180054.14000000004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integral part of these statements.&amp;CPage 23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colorId="8" zoomScaleNormal="110" workbookViewId="0">
      <selection activeCell="J37" sqref="J3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2083</v>
      </c>
      <c r="B31" s="733">
        <v>42356</v>
      </c>
      <c r="C31" s="734">
        <v>150000</v>
      </c>
      <c r="D31" s="735">
        <v>1</v>
      </c>
      <c r="E31" s="734">
        <v>52300</v>
      </c>
      <c r="F31" s="734"/>
      <c r="G31" s="734">
        <v>0</v>
      </c>
      <c r="H31" s="734">
        <v>52300</v>
      </c>
      <c r="I31" s="1756">
        <f>((E31+F31)-H31)+G31</f>
        <v>0</v>
      </c>
      <c r="J31" s="734">
        <v>0</v>
      </c>
      <c r="K31" s="736"/>
    </row>
    <row r="32" spans="1:11" ht="12" customHeight="1" x14ac:dyDescent="0.2">
      <c r="A32" s="732" t="s">
        <v>2084</v>
      </c>
      <c r="B32" s="733">
        <v>43494</v>
      </c>
      <c r="C32" s="734">
        <v>225000</v>
      </c>
      <c r="D32" s="735">
        <v>1</v>
      </c>
      <c r="E32" s="734"/>
      <c r="F32" s="734">
        <v>225000</v>
      </c>
      <c r="G32" s="734">
        <v>0</v>
      </c>
      <c r="H32" s="734"/>
      <c r="I32" s="1756">
        <f>((E32+F32)-H32)+G32</f>
        <v>225000</v>
      </c>
      <c r="J32" s="734">
        <v>10138</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375000</v>
      </c>
      <c r="D49" s="745"/>
      <c r="E49" s="1756">
        <f t="shared" ref="E49:J49" si="2">SUM(E31:E48)</f>
        <v>52300</v>
      </c>
      <c r="F49" s="1756">
        <f t="shared" si="2"/>
        <v>225000</v>
      </c>
      <c r="G49" s="1756">
        <f t="shared" si="2"/>
        <v>0</v>
      </c>
      <c r="H49" s="1756">
        <f t="shared" si="2"/>
        <v>52300</v>
      </c>
      <c r="I49" s="1756">
        <f t="shared" si="2"/>
        <v>225000</v>
      </c>
      <c r="J49" s="1756">
        <f t="shared" si="2"/>
        <v>10138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&amp;L&amp;8The notes are an integral part of these statements. &amp;CPage 24&amp;R&amp;8Page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view="pageLayout" topLeftCell="A4" colorId="8" zoomScaleNormal="110" workbookViewId="0">
      <selection activeCell="G48" sqref="G4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v>0</v>
      </c>
      <c r="H3" s="764">
        <v>0</v>
      </c>
      <c r="I3" s="764">
        <v>0</v>
      </c>
      <c r="J3" s="765">
        <v>0</v>
      </c>
      <c r="K3" s="765">
        <v>0</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1077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1077</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1077</v>
      </c>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1077</v>
      </c>
      <c r="I23" s="1758">
        <f>SUM(I14:I16,I21,I22)</f>
        <v>0</v>
      </c>
      <c r="J23" s="1758">
        <f>SUM(J14:J16,J21,J22)</f>
        <v>0</v>
      </c>
      <c r="K23" s="1758">
        <f>SUM(K14:K16,K21,K22)</f>
        <v>0</v>
      </c>
    </row>
    <row r="24" spans="1:11" ht="14.25" thickTop="1" thickBot="1" x14ac:dyDescent="0.25">
      <c r="A24" s="2246" t="s">
        <v>1965</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2076</v>
      </c>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35" right="0.17" top="0.57999999999999996" bottom="0.4" header="0.21" footer="0.2"/>
  <pageSetup scale="85"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 &amp;CPage 25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view="pageLayout" topLeftCell="A7" colorId="8" zoomScaleNormal="110" workbookViewId="0">
      <selection activeCell="I23" sqref="I2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1200</v>
      </c>
      <c r="D5" s="841"/>
      <c r="E5" s="841"/>
      <c r="F5" s="1760">
        <f>(C5+D5)-E5</f>
        <v>1200</v>
      </c>
      <c r="G5" s="837"/>
      <c r="H5" s="842"/>
      <c r="I5" s="842"/>
      <c r="J5" s="842"/>
      <c r="K5" s="793"/>
      <c r="L5" s="1769">
        <f>F5-K5</f>
        <v>1200</v>
      </c>
    </row>
    <row r="6" spans="1:14" ht="14.25" thickTop="1" thickBot="1" x14ac:dyDescent="0.25">
      <c r="A6" s="778" t="s">
        <v>1117</v>
      </c>
      <c r="B6" s="840">
        <v>222</v>
      </c>
      <c r="C6" s="765">
        <v>0</v>
      </c>
      <c r="D6" s="765"/>
      <c r="E6" s="765"/>
      <c r="F6" s="1760">
        <f>(C6+D6)-E6</f>
        <v>0</v>
      </c>
      <c r="G6" s="837">
        <v>50</v>
      </c>
      <c r="H6" s="765">
        <v>0</v>
      </c>
      <c r="I6" s="765">
        <v>0</v>
      </c>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280238</v>
      </c>
      <c r="D8" s="844"/>
      <c r="E8" s="844"/>
      <c r="F8" s="1760">
        <f>(C8+D8)-E8</f>
        <v>280238</v>
      </c>
      <c r="G8" s="843">
        <v>50</v>
      </c>
      <c r="H8" s="765">
        <v>143481</v>
      </c>
      <c r="I8" s="765">
        <v>5931</v>
      </c>
      <c r="J8" s="765"/>
      <c r="K8" s="1769">
        <f>(H8+I8)-J8</f>
        <v>149412</v>
      </c>
      <c r="L8" s="1769">
        <f>F8-K8</f>
        <v>130826</v>
      </c>
    </row>
    <row r="9" spans="1:14" ht="14.25" thickTop="1" thickBot="1" x14ac:dyDescent="0.25">
      <c r="A9" s="778" t="s">
        <v>1119</v>
      </c>
      <c r="B9" s="840">
        <v>232</v>
      </c>
      <c r="C9" s="765">
        <v>15000</v>
      </c>
      <c r="D9" s="765"/>
      <c r="E9" s="765"/>
      <c r="F9" s="1760">
        <f>(C9+D9)-E9</f>
        <v>15000</v>
      </c>
      <c r="G9" s="843">
        <v>20</v>
      </c>
      <c r="H9" s="765">
        <v>1500</v>
      </c>
      <c r="I9" s="765">
        <v>881</v>
      </c>
      <c r="J9" s="765"/>
      <c r="K9" s="1769">
        <f>(H9+I9)-J9</f>
        <v>2381</v>
      </c>
      <c r="L9" s="1769">
        <f>F9-K9</f>
        <v>12619</v>
      </c>
    </row>
    <row r="10" spans="1:14" ht="24" thickTop="1" thickBot="1" x14ac:dyDescent="0.25">
      <c r="A10" s="845" t="s">
        <v>1120</v>
      </c>
      <c r="B10" s="840">
        <v>240</v>
      </c>
      <c r="C10" s="846">
        <v>2610</v>
      </c>
      <c r="D10" s="846"/>
      <c r="E10" s="846"/>
      <c r="F10" s="1764">
        <f>(C10+D10)-E10</f>
        <v>2610</v>
      </c>
      <c r="G10" s="843">
        <v>20</v>
      </c>
      <c r="H10" s="847">
        <v>1017</v>
      </c>
      <c r="I10" s="847">
        <v>112</v>
      </c>
      <c r="J10" s="847"/>
      <c r="K10" s="1769">
        <f>(H10+I10)-J10</f>
        <v>1129</v>
      </c>
      <c r="L10" s="1769">
        <f>F10-K10</f>
        <v>1481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134065</v>
      </c>
      <c r="D12" s="844"/>
      <c r="E12" s="844"/>
      <c r="F12" s="1760">
        <f>(C12+D12)-E12</f>
        <v>134065</v>
      </c>
      <c r="G12" s="843">
        <v>10</v>
      </c>
      <c r="H12" s="765">
        <v>129983</v>
      </c>
      <c r="I12" s="765">
        <v>0</v>
      </c>
      <c r="J12" s="765"/>
      <c r="K12" s="1769">
        <f>(H12+I12)-J12</f>
        <v>129983</v>
      </c>
      <c r="L12" s="1769">
        <f>F12-K12</f>
        <v>4082</v>
      </c>
    </row>
    <row r="13" spans="1:14" ht="14.25" thickTop="1" thickBot="1" x14ac:dyDescent="0.25">
      <c r="A13" s="848" t="s">
        <v>1122</v>
      </c>
      <c r="B13" s="840">
        <v>252</v>
      </c>
      <c r="C13" s="844">
        <v>105030</v>
      </c>
      <c r="D13" s="844">
        <v>4912</v>
      </c>
      <c r="E13" s="844"/>
      <c r="F13" s="1760">
        <f>(C13+D13)-E13</f>
        <v>109942</v>
      </c>
      <c r="G13" s="843">
        <v>5</v>
      </c>
      <c r="H13" s="765">
        <v>92736</v>
      </c>
      <c r="I13" s="765">
        <v>12300</v>
      </c>
      <c r="J13" s="765"/>
      <c r="K13" s="1769">
        <f>(H13+I13)-J13</f>
        <v>105036</v>
      </c>
      <c r="L13" s="1769">
        <f>F13-K13</f>
        <v>4906</v>
      </c>
    </row>
    <row r="14" spans="1:14" ht="14.25" thickTop="1" thickBot="1" x14ac:dyDescent="0.25">
      <c r="A14" s="848" t="s">
        <v>1123</v>
      </c>
      <c r="B14" s="840">
        <v>253</v>
      </c>
      <c r="C14" s="765">
        <v>0</v>
      </c>
      <c r="D14" s="765"/>
      <c r="E14" s="765"/>
      <c r="F14" s="1760">
        <f>(C14+D14)-E14</f>
        <v>0</v>
      </c>
      <c r="G14" s="843">
        <v>3</v>
      </c>
      <c r="H14" s="765">
        <v>0</v>
      </c>
      <c r="I14" s="765">
        <v>0</v>
      </c>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538143</v>
      </c>
      <c r="D16" s="1760">
        <f>SUM(D3,D5:D6,D8:D10,D12:D15)</f>
        <v>4912</v>
      </c>
      <c r="E16" s="1760">
        <f>SUM(E3,E5:E6,E8:E10,E12:E15)</f>
        <v>0</v>
      </c>
      <c r="F16" s="1760">
        <f>SUM(F3,F5:F6,F8:F10,F12:F15)</f>
        <v>543055</v>
      </c>
      <c r="G16" s="843"/>
      <c r="H16" s="1760">
        <f>SUM(H3,H6,H8:H10,H12:H14,)</f>
        <v>368717</v>
      </c>
      <c r="I16" s="1760">
        <f>SUM(I3,I6,I8:I10,I12:I14,)</f>
        <v>19224</v>
      </c>
      <c r="J16" s="1760">
        <f>SUM(J3,J6,J8:J10,J12:J14,)</f>
        <v>0</v>
      </c>
      <c r="K16" s="1760">
        <f>(H16+I16)-J16</f>
        <v>387941</v>
      </c>
      <c r="L16" s="1760">
        <f>F16-K16</f>
        <v>155114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19224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ageMargins left="0.25" right="0.17" top="1.1000000000000001" bottom="0.66" header="0.39" footer="0.17"/>
  <pageSetup scale="83" firstPageNumber="26" orientation="landscape" useFirstPageNumber="1" r:id="rId1"/>
  <headerFooter alignWithMargins="0">
    <oddHeader>&amp;L&amp;8Page &amp;P&amp;C &amp;R&amp;8Page &amp;P</oddHeader>
    <oddFooter>&amp;L&amp;8The notes are an integral part of these statements. &amp;CPage 26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pageSetUpPr fitToPage="1"/>
  </sheetPr>
  <dimension ref="A1:H202"/>
  <sheetViews>
    <sheetView showGridLines="0" defaultGridColor="0" view="pageLayout" topLeftCell="A55" colorId="8" zoomScaleNormal="110" workbookViewId="0">
      <selection activeCell="D30" sqref="D3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485970.32</v>
      </c>
      <c r="G8" s="865"/>
    </row>
    <row r="9" spans="1:7" x14ac:dyDescent="0.2">
      <c r="A9" s="869" t="s">
        <v>460</v>
      </c>
      <c r="B9" s="870" t="s">
        <v>1877</v>
      </c>
      <c r="C9" s="871"/>
      <c r="D9" s="869" t="s">
        <v>501</v>
      </c>
      <c r="E9" s="868"/>
      <c r="F9" s="1909">
        <f>'Expenditures 15-22'!K151</f>
        <v>25574.36</v>
      </c>
      <c r="G9" s="872"/>
    </row>
    <row r="10" spans="1:7" x14ac:dyDescent="0.2">
      <c r="A10" s="869" t="s">
        <v>499</v>
      </c>
      <c r="B10" s="870" t="s">
        <v>1878</v>
      </c>
      <c r="C10" s="871"/>
      <c r="D10" s="869" t="s">
        <v>501</v>
      </c>
      <c r="E10" s="868"/>
      <c r="F10" s="1909">
        <f>'Expenditures 15-22'!K174</f>
        <v>63262.7</v>
      </c>
      <c r="G10" s="872"/>
    </row>
    <row r="11" spans="1:7" x14ac:dyDescent="0.2">
      <c r="A11" s="869" t="s">
        <v>461</v>
      </c>
      <c r="B11" s="870" t="s">
        <v>1879</v>
      </c>
      <c r="C11" s="871"/>
      <c r="D11" s="869" t="s">
        <v>501</v>
      </c>
      <c r="E11" s="868"/>
      <c r="F11" s="1909">
        <f>'Expenditures 15-22'!K210</f>
        <v>29956.35</v>
      </c>
      <c r="G11" s="872"/>
    </row>
    <row r="12" spans="1:7" x14ac:dyDescent="0.2">
      <c r="A12" s="869" t="s">
        <v>462</v>
      </c>
      <c r="B12" s="870" t="s">
        <v>1880</v>
      </c>
      <c r="C12" s="871"/>
      <c r="D12" s="869" t="s">
        <v>501</v>
      </c>
      <c r="E12" s="868"/>
      <c r="F12" s="1909">
        <f>'Expenditures 15-22'!K295</f>
        <v>7281.1100000000006</v>
      </c>
      <c r="G12" s="872"/>
    </row>
    <row r="13" spans="1:7" x14ac:dyDescent="0.2">
      <c r="A13" s="869" t="s">
        <v>106</v>
      </c>
      <c r="B13" s="870" t="s">
        <v>1881</v>
      </c>
      <c r="C13" s="871"/>
      <c r="D13" s="869" t="s">
        <v>501</v>
      </c>
      <c r="E13" s="868"/>
      <c r="F13" s="1909">
        <f>'Expenditures 15-22'!K342</f>
        <v>9433</v>
      </c>
      <c r="G13" s="873"/>
    </row>
    <row r="14" spans="1:7" ht="12" customHeight="1" thickBot="1" x14ac:dyDescent="0.25">
      <c r="A14" s="1770"/>
      <c r="B14" s="1771"/>
      <c r="C14" s="1772"/>
      <c r="D14" s="1773" t="s">
        <v>501</v>
      </c>
      <c r="E14" s="1774" t="s">
        <v>958</v>
      </c>
      <c r="F14" s="1775">
        <f>SUM(F8:F13)</f>
        <v>621477.84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1752.6599999999999</v>
      </c>
      <c r="G52" s="865"/>
    </row>
    <row r="53" spans="1:7" x14ac:dyDescent="0.2">
      <c r="A53" s="869" t="s">
        <v>459</v>
      </c>
      <c r="B53" s="869" t="s">
        <v>1475</v>
      </c>
      <c r="C53" s="889">
        <f>'Expenditures 15-22'!B102</f>
        <v>4000</v>
      </c>
      <c r="D53" s="888" t="str">
        <f>'Expenditures 15-22'!A102</f>
        <v>Total Payments to Other Govt Units</v>
      </c>
      <c r="E53" s="868"/>
      <c r="F53" s="1913">
        <f>'Expenditures 15-22'!K102</f>
        <v>58409.51</v>
      </c>
      <c r="G53" s="865"/>
    </row>
    <row r="54" spans="1:7" x14ac:dyDescent="0.2">
      <c r="A54" s="869" t="s">
        <v>459</v>
      </c>
      <c r="B54" s="869" t="s">
        <v>1476</v>
      </c>
      <c r="C54" s="889" t="s">
        <v>982</v>
      </c>
      <c r="D54" s="885" t="s">
        <v>1095</v>
      </c>
      <c r="E54" s="868"/>
      <c r="F54" s="1913">
        <f>'Expenditures 15-22'!G114</f>
        <v>4912.0600000000004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52300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117374.23</v>
      </c>
      <c r="G76" s="865"/>
    </row>
    <row r="77" spans="1:8" s="893" customFormat="1" ht="12" customHeight="1" thickTop="1" thickBot="1" x14ac:dyDescent="0.25">
      <c r="A77" s="1779"/>
      <c r="B77" s="1776"/>
      <c r="C77" s="1772"/>
      <c r="D77" s="1777" t="s">
        <v>1900</v>
      </c>
      <c r="E77" s="1774"/>
      <c r="F77" s="1780">
        <f>(F14-F76)</f>
        <v>504103.61</v>
      </c>
      <c r="G77" s="869"/>
    </row>
    <row r="78" spans="1:8" s="893" customFormat="1" ht="12" customHeight="1" thickTop="1" x14ac:dyDescent="0.2">
      <c r="A78" s="1781"/>
      <c r="B78" s="1776"/>
      <c r="C78" s="1772"/>
      <c r="D78" s="1777" t="s">
        <v>2062</v>
      </c>
      <c r="E78" s="1774"/>
      <c r="F78" s="898">
        <v>57.86</v>
      </c>
      <c r="G78" s="899"/>
      <c r="H78" s="869"/>
    </row>
    <row r="79" spans="1:8" s="893" customFormat="1" ht="12" customHeight="1" thickBot="1" x14ac:dyDescent="0.25">
      <c r="A79" s="1782"/>
      <c r="B79" s="1776"/>
      <c r="C79" s="1772"/>
      <c r="D79" s="1777" t="s">
        <v>1901</v>
      </c>
      <c r="E79" s="1774" t="s">
        <v>958</v>
      </c>
      <c r="F79" s="1783">
        <f>IF(F78&gt;0,F77/F78," Complete Line 78")</f>
        <v>8712.4716557207048</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7422.27</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1230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135.22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24411.03</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8100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123.4</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10475.58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7210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5075.1899999999996</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2946</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3032.08</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70560.77</v>
      </c>
    </row>
    <row r="175" spans="1:7" ht="12" customHeight="1" x14ac:dyDescent="0.2">
      <c r="A175" s="1770"/>
      <c r="B175" s="1784"/>
      <c r="C175" s="1785"/>
      <c r="D175" s="1786" t="s">
        <v>2057</v>
      </c>
      <c r="E175" s="1787"/>
      <c r="F175" s="1789">
        <f>'PCTC-OEPP 27-28'!F77-F174</f>
        <v>433542.83999999997</v>
      </c>
    </row>
    <row r="176" spans="1:7" ht="12" customHeight="1" x14ac:dyDescent="0.2">
      <c r="A176" s="1770"/>
      <c r="B176" s="1784"/>
      <c r="C176" s="1785"/>
      <c r="D176" s="1786" t="s">
        <v>1817</v>
      </c>
      <c r="E176" s="1787"/>
      <c r="F176" s="1789">
        <f>'Cap Outlay Deprec 26'!I18</f>
        <v>19224</v>
      </c>
    </row>
    <row r="177" spans="1:7" ht="12" customHeight="1" x14ac:dyDescent="0.2">
      <c r="A177" s="1770"/>
      <c r="B177" s="1784"/>
      <c r="C177" s="1785"/>
      <c r="D177" s="1786" t="s">
        <v>2058</v>
      </c>
      <c r="E177" s="1787"/>
      <c r="F177" s="1789">
        <f>F175+F176</f>
        <v>452766.83999999997</v>
      </c>
    </row>
    <row r="178" spans="1:7" ht="12" customHeight="1" x14ac:dyDescent="0.2">
      <c r="A178" s="1770"/>
      <c r="B178" s="1790"/>
      <c r="C178" s="1785"/>
      <c r="D178" s="1786" t="str">
        <f>D78</f>
        <v>9 Month ADA from District Average Daily Attendance/Prior General State Aid Inquiry 2018-2019</v>
      </c>
      <c r="E178" s="1787"/>
      <c r="F178" s="1791">
        <f>'PCTC-OEPP 27-28'!F78</f>
        <v>57.86</v>
      </c>
      <c r="G178" s="930"/>
    </row>
    <row r="179" spans="1:7" ht="12" customHeight="1" thickBot="1" x14ac:dyDescent="0.25">
      <c r="A179" s="1770"/>
      <c r="B179" s="1790"/>
      <c r="C179" s="1785"/>
      <c r="D179" s="1786" t="s">
        <v>2059</v>
      </c>
      <c r="E179" s="1787" t="s">
        <v>1545</v>
      </c>
      <c r="F179" s="1792">
        <f>F177/F178</f>
        <v>7825.2132734185961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ageMargins left="0.54" right="0.2" top="0.7" bottom="0.45" header="0.19" footer="0.17"/>
  <pageSetup scale="73" firstPageNumber="27" fitToHeight="0" orientation="portrait" useFirstPageNumber="1" r:id="rId2"/>
  <headerFooter alignWithMargins="0">
    <oddHeader>&amp;L&amp;8Page &amp;P&amp;C &amp;R&amp;8Page &amp;P</oddHeader>
    <oddFooter>&amp;L&amp;8The notes are an integral pat of these statements.&amp;CPage 27-28</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Layout" zoomScaleNormal="100" workbookViewId="0">
      <selection activeCell="D21" sqref="D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2485" t="s">
        <v>2097</v>
      </c>
      <c r="C17" s="1938" t="s">
        <v>2087</v>
      </c>
      <c r="D17" s="1844">
        <v>4750</v>
      </c>
      <c r="E17" s="1540">
        <f t="shared" ref="E17:E141" si="0">IF(D17&lt;=25000,D17,IF(D17&gt;25000,25000,0))</f>
        <v>4750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4750</v>
      </c>
      <c r="G17" s="1793">
        <f>IF(F17=0,0,D17-F17)</f>
        <v>0</v>
      </c>
      <c r="H17" s="1647"/>
    </row>
    <row r="18" spans="1:8" x14ac:dyDescent="0.25">
      <c r="A18" s="1937" t="s">
        <v>2086</v>
      </c>
      <c r="B18" s="2485" t="s">
        <v>2098</v>
      </c>
      <c r="C18" s="1938" t="s">
        <v>2088</v>
      </c>
      <c r="D18" s="1844">
        <v>875.27</v>
      </c>
      <c r="E18" s="1540">
        <f t="shared" ref="E18:E140" si="2">IF(D18&lt;=25000,D18,IF(D18&gt;25000,25000,0))</f>
        <v>875.27</v>
      </c>
      <c r="F18" s="1932">
        <f t="shared" si="1"/>
        <v>875.27</v>
      </c>
      <c r="G18" s="1793">
        <f t="shared" ref="G18:G140" si="3">IF(F18=0,0,D18-F18)</f>
        <v>0</v>
      </c>
    </row>
    <row r="19" spans="1:8" x14ac:dyDescent="0.25">
      <c r="A19" s="1937" t="s">
        <v>2090</v>
      </c>
      <c r="B19" s="2485" t="s">
        <v>2097</v>
      </c>
      <c r="C19" s="1938" t="s">
        <v>2089</v>
      </c>
      <c r="D19" s="1844">
        <v>903.08</v>
      </c>
      <c r="E19" s="1540">
        <f t="shared" si="2"/>
        <v>903.08</v>
      </c>
      <c r="F19" s="1932">
        <f t="shared" si="1"/>
        <v>903.08</v>
      </c>
      <c r="G19" s="1793">
        <f t="shared" si="3"/>
        <v>0</v>
      </c>
    </row>
    <row r="20" spans="1:8" x14ac:dyDescent="0.25">
      <c r="A20" s="1937" t="s">
        <v>2086</v>
      </c>
      <c r="B20" s="2485" t="s">
        <v>2098</v>
      </c>
      <c r="C20" s="1938" t="s">
        <v>2091</v>
      </c>
      <c r="D20" s="1844">
        <v>27500</v>
      </c>
      <c r="E20" s="1540">
        <f t="shared" si="2"/>
        <v>25000</v>
      </c>
      <c r="F20" s="1932">
        <f t="shared" si="1"/>
        <v>25000</v>
      </c>
      <c r="G20" s="1793">
        <f t="shared" si="3"/>
        <v>2500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34028.35</v>
      </c>
      <c r="E141" s="1541">
        <f t="shared" si="0"/>
        <v>25000</v>
      </c>
      <c r="F141" s="1933">
        <f>SUM(F17:F140)</f>
        <v>31528.35</v>
      </c>
      <c r="G141" s="1795">
        <f>SUM(G17:G140)</f>
        <v>2500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Layout" topLeftCell="A7" colorId="8" zoomScaleNormal="110" workbookViewId="0">
      <selection activeCell="C44" sqref="C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18046</v>
      </c>
      <c r="F8" s="974"/>
      <c r="G8" s="975"/>
      <c r="H8" s="162"/>
      <c r="I8" s="162"/>
    </row>
    <row r="9" spans="1:9" s="668" customFormat="1" ht="12" customHeight="1" x14ac:dyDescent="0.2">
      <c r="A9" s="970" t="s">
        <v>130</v>
      </c>
      <c r="B9" s="971"/>
      <c r="C9" s="971"/>
      <c r="D9" s="972"/>
      <c r="E9" s="973">
        <v>3500</v>
      </c>
      <c r="F9" s="974"/>
      <c r="G9" s="975"/>
      <c r="H9" s="162"/>
      <c r="I9" s="162"/>
    </row>
    <row r="10" spans="1:9" s="668" customFormat="1" ht="12" customHeight="1" x14ac:dyDescent="0.2">
      <c r="A10" s="970" t="s">
        <v>1933</v>
      </c>
      <c r="B10" s="971"/>
      <c r="C10" s="976"/>
      <c r="D10" s="972"/>
      <c r="E10" s="973">
        <v>620</v>
      </c>
      <c r="F10" s="974"/>
      <c r="G10" s="975"/>
      <c r="H10" s="162"/>
      <c r="I10" s="162"/>
    </row>
    <row r="11" spans="1:9" s="668" customFormat="1" ht="22.5" customHeight="1" x14ac:dyDescent="0.2">
      <c r="A11" s="2285" t="s">
        <v>1977</v>
      </c>
      <c r="B11" s="2286"/>
      <c r="C11" s="2286"/>
      <c r="D11" s="2287"/>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205697.17</v>
      </c>
      <c r="F19" s="1799"/>
      <c r="G19" s="1801">
        <f>'Expenditures 15-22'!K33-SUM('Expenditures 15-22'!G33,'Expenditures 15-22'!I33)+'Expenditures 15-22'!D229</f>
        <v>205697.17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175.95</v>
      </c>
      <c r="F21" s="1802"/>
      <c r="G21" s="1805">
        <f>'Expenditures 15-22'!K42-SUM('Expenditures 15-22'!G42,'Expenditures 15-22'!I42)+'Expenditures 15-22'!K120-SUM('Expenditures 15-22'!G120,'Expenditures 15-22'!I120)+'Expenditures 15-22'!K180-SUM('Expenditures 15-22'!G180,'Expenditures 15-22'!I180)+'Expenditures 15-22'!D238</f>
        <v>175.95</v>
      </c>
      <c r="H21" s="987"/>
      <c r="I21" s="162"/>
    </row>
    <row r="22" spans="1:9" s="668" customFormat="1" ht="12" customHeight="1" x14ac:dyDescent="0.2">
      <c r="A22" s="994" t="s">
        <v>564</v>
      </c>
      <c r="B22" s="995"/>
      <c r="C22" s="993">
        <v>2200</v>
      </c>
      <c r="D22" s="1802"/>
      <c r="E22" s="1804">
        <f>'Expenditures 15-22'!K47-SUM('Expenditures 15-22'!G47,'Expenditures 15-22'!I47)+'Expenditures 15-22'!D243</f>
        <v>25127.31</v>
      </c>
      <c r="F22" s="1802"/>
      <c r="G22" s="1805">
        <f>'Expenditures 15-22'!K47-SUM('Expenditures 15-22'!G47,'Expenditures 15-22'!I47)+'Expenditures 15-22'!D243</f>
        <v>25127.31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69141.5</v>
      </c>
      <c r="F23" s="1802"/>
      <c r="G23" s="1804">
        <f>'Expenditures 15-22'!K53-SUM('Expenditures 15-22'!G53,'Expenditures 15-22'!I53)+'Expenditures 15-22'!D257+'Expenditures 15-22'!K330-SUM('Expenditures 15-22'!G330,'Expenditures 15-22'!I330)</f>
        <v>69141.5</v>
      </c>
      <c r="H23" s="987"/>
      <c r="I23" s="162"/>
    </row>
    <row r="24" spans="1:9" s="668" customFormat="1" ht="12" customHeight="1" x14ac:dyDescent="0.2">
      <c r="A24" s="994" t="s">
        <v>566</v>
      </c>
      <c r="B24" s="995"/>
      <c r="C24" s="993">
        <v>2400</v>
      </c>
      <c r="D24" s="1802"/>
      <c r="E24" s="1804">
        <f>'Expenditures 15-22'!K57-SUM('Expenditures 15-22'!G57,'Expenditures 15-22'!I57)+'Expenditures 15-22'!D261</f>
        <v>41753.699999999997</v>
      </c>
      <c r="F24" s="1802"/>
      <c r="G24" s="1805">
        <f>'Expenditures 15-22'!K57-SUM('Expenditures 15-22'!G57,'Expenditures 15-22'!I57)+'Expenditures 15-22'!D261</f>
        <v>41753.699999999997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6687.0099999999984</v>
      </c>
      <c r="E27" s="1804">
        <f>E8</f>
        <v>18046</v>
      </c>
      <c r="F27" s="1804">
        <f>'Expenditures 15-22'!K60-SUM('Expenditures 15-22'!G60,'Expenditures 15-22'!I60)+'Expenditures 15-22'!D264-E8</f>
        <v>6687.0099999999984</v>
      </c>
      <c r="G27" s="1805">
        <f>E8</f>
        <v>18046</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69958.359999999986</v>
      </c>
      <c r="F28" s="1806">
        <f>'Expenditures 15-22'!K61-SUM('Expenditures 15-22'!G61,'Expenditures 15-22'!I61)+'Expenditures 15-22'!K124-SUM('Expenditures 15-22'!G124,'Expenditures 15-22'!I124)+'Expenditures 15-22'!D266-E9</f>
        <v>66458.359999999986</v>
      </c>
      <c r="G28" s="1805">
        <f>E9</f>
        <v>3500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30998.879999999997</v>
      </c>
      <c r="F29" s="1802"/>
      <c r="G29" s="1805">
        <f>'Expenditures 15-22'!K62-SUM('Expenditures 15-22'!G62,'Expenditures 15-22'!I62)+'Expenditures 15-22'!K125-SUM('Expenditures 15-22'!G125,'Expenditures 15-22'!I125)+'Expenditures 15-22'!K182-SUM('Expenditures 15-22'!G182,'Expenditures 15-22'!I182)+'Expenditures 15-22'!D267</f>
        <v>30998.879999999997</v>
      </c>
      <c r="H29" s="985"/>
    </row>
    <row r="30" spans="1:9" ht="12" customHeight="1" x14ac:dyDescent="0.2">
      <c r="A30" s="994" t="s">
        <v>100</v>
      </c>
      <c r="B30" s="997"/>
      <c r="C30" s="993">
        <v>2560</v>
      </c>
      <c r="D30" s="1802"/>
      <c r="E30" s="1804">
        <f>'Expenditures 15-22'!K63-SUM('Expenditures 15-22'!G63,'Expenditures 15-22'!I63)+'Expenditures 15-22'!D268-E10</f>
        <v>23575.739999999998</v>
      </c>
      <c r="F30" s="1802"/>
      <c r="G30" s="1804">
        <f>'Expenditures 15-22'!K63-SUM('Expenditures 15-22'!G63,'Expenditures 15-22'!I63)+'Expenditures 15-22'!D268-E10</f>
        <v>23575.739999999998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207.9</v>
      </c>
      <c r="F35" s="1802"/>
      <c r="G35" s="1804">
        <f>'Expenditures 15-22'!K69-SUM('Expenditures 15-22'!G69,'Expenditures 15-22'!I69)+'Expenditures 15-22'!D274</f>
        <v>207.9</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1000</v>
      </c>
      <c r="E37" s="1804">
        <f>E14</f>
        <v>0</v>
      </c>
      <c r="F37" s="1804">
        <f>'Expenditures 15-22'!K71-SUM('Expenditures 15-22'!G71,'Expenditures 15-22'!I71)+'Expenditures 15-22'!D276-E14</f>
        <v>1000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151.38999999999999</v>
      </c>
      <c r="F38" s="1802"/>
      <c r="G38" s="1804">
        <f>'Expenditures 15-22'!K73-SUM('Expenditures 15-22'!G73,'Expenditures 15-22'!I73)+'Expenditures 15-22'!K128-SUM('Expenditures 15-22'!G128,'Expenditures 15-22'!I128)+'Expenditures 15-22'!K183-SUM('Expenditures 15-22'!G183,'Expenditures 15-22'!I183)+'Expenditures 15-22'!D278</f>
        <v>151.38999999999999</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1752.6599999999999</v>
      </c>
      <c r="F39" s="1802"/>
      <c r="G39" s="1804">
        <f>'Expenditures 15-22'!K75-SUM('Expenditures 15-22'!G75,'Expenditures 15-22'!I75)+'Expenditures 15-22'!K130-SUM('Expenditures 15-22'!G130,'Expenditures 15-22'!I130)+'Expenditures 15-22'!K185-SUM('Expenditures 15-22'!G185,'Expenditures 15-22'!I185)+'Expenditures 15-22'!D280</f>
        <v>1752.6599999999999</v>
      </c>
    </row>
    <row r="40" spans="1:7" ht="12" customHeight="1" x14ac:dyDescent="0.2">
      <c r="A40" s="990" t="s">
        <v>1823</v>
      </c>
      <c r="B40" s="991"/>
      <c r="C40" s="993"/>
      <c r="D40" s="1802"/>
      <c r="E40" s="1806">
        <f>-'Contracts Paid in CY 29'!G141</f>
        <v>-2500</v>
      </c>
      <c r="F40" s="1802"/>
      <c r="G40" s="1806">
        <f>-'Contracts Paid in CY 29'!G141</f>
        <v>-2500</v>
      </c>
    </row>
    <row r="41" spans="1:7" ht="12" customHeight="1" x14ac:dyDescent="0.2">
      <c r="A41" s="998" t="s">
        <v>156</v>
      </c>
      <c r="B41" s="999"/>
      <c r="C41" s="1000"/>
      <c r="D41" s="1806">
        <f>SUM(D19:D39)</f>
        <v>7687.0099999999984</v>
      </c>
      <c r="E41" s="1806">
        <f>SUM(E19:E40)</f>
        <v>484086.56000000006</v>
      </c>
      <c r="F41" s="1806">
        <f>SUM(F19:F39)</f>
        <v>74145.369999999981</v>
      </c>
      <c r="G41" s="1806">
        <f>SUM(G19:G40)</f>
        <v>417628.20000000007</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7687.0099999999984</v>
      </c>
      <c r="F43" s="1807" t="s">
        <v>473</v>
      </c>
      <c r="G43" s="1808">
        <f>F41</f>
        <v>74145.369999999981</v>
      </c>
    </row>
    <row r="44" spans="1:7" ht="12" customHeight="1" x14ac:dyDescent="0.2">
      <c r="A44" s="987"/>
      <c r="B44" s="162"/>
      <c r="C44" s="1001"/>
      <c r="D44" s="1807" t="s">
        <v>474</v>
      </c>
      <c r="E44" s="1808">
        <f>E41</f>
        <v>484086.56000000006</v>
      </c>
      <c r="F44" s="1807" t="s">
        <v>474</v>
      </c>
      <c r="G44" s="1808">
        <f>G41</f>
        <v>417628.20000000007</v>
      </c>
    </row>
    <row r="45" spans="1:7" ht="12" customHeight="1" x14ac:dyDescent="0.2">
      <c r="A45" s="987"/>
      <c r="B45" s="162"/>
      <c r="C45" s="162"/>
      <c r="D45" s="1809" t="s">
        <v>1006</v>
      </c>
      <c r="E45" s="1810">
        <f>(E43/E44)</f>
        <v>1.5879412144803189E-2</v>
      </c>
      <c r="F45" s="1809" t="s">
        <v>1006</v>
      </c>
      <c r="G45" s="1810">
        <f>(G43/G44)</f>
        <v>0.17753918437500141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integral part of these statements. &amp;CPage 30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Layout" topLeftCell="A13" zoomScaleNormal="110" workbookViewId="0">
      <selection activeCell="A48" sqref="A4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Farrington CCSD 99</v>
      </c>
      <c r="D6" s="2306"/>
      <c r="E6" s="2306"/>
      <c r="F6" s="1852"/>
    </row>
    <row r="7" spans="1:10" ht="11.25" customHeight="1" thickBot="1" x14ac:dyDescent="0.3">
      <c r="A7" s="1850"/>
      <c r="B7" s="1851"/>
      <c r="C7" s="2307">
        <f>COVER!A13</f>
        <v>13041099004</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2076</v>
      </c>
      <c r="D16" s="1865" t="s">
        <v>2076</v>
      </c>
      <c r="E16" s="1868" t="s">
        <v>2076</v>
      </c>
      <c r="F16" s="1867" t="s">
        <v>2092</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2076</v>
      </c>
      <c r="D24" s="1865" t="s">
        <v>2076</v>
      </c>
      <c r="E24" s="1868" t="s">
        <v>2076</v>
      </c>
      <c r="F24" s="1867" t="s">
        <v>2093</v>
      </c>
      <c r="H24" s="1878">
        <f t="shared" si="0"/>
        <v>5</v>
      </c>
      <c r="I24" s="1878">
        <f t="shared" si="1"/>
        <v>5</v>
      </c>
      <c r="J24" s="1878">
        <f t="shared" si="2"/>
        <v>5</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2076</v>
      </c>
      <c r="D26" s="1865" t="s">
        <v>2076</v>
      </c>
      <c r="E26" s="1868" t="s">
        <v>2076</v>
      </c>
      <c r="F26" s="1867" t="s">
        <v>2094</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2076</v>
      </c>
      <c r="D29" s="1865" t="s">
        <v>2076</v>
      </c>
      <c r="E29" s="1868" t="s">
        <v>2076</v>
      </c>
      <c r="F29" s="1867" t="s">
        <v>2095</v>
      </c>
      <c r="H29" s="1878">
        <f t="shared" si="0"/>
        <v>5</v>
      </c>
      <c r="I29" s="1878">
        <f t="shared" si="1"/>
        <v>5</v>
      </c>
      <c r="J29" s="1878">
        <f t="shared" si="2"/>
        <v>5</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3" orientation="landscape" r:id="rId1"/>
  <headerFooter>
    <oddFooter>&amp;LThe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C7" colorId="8" zoomScaleNormal="110" workbookViewId="0">
      <selection activeCell="F42" sqref="F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Farrington CCSD 99</v>
      </c>
      <c r="J6" s="2316"/>
      <c r="Q6" s="1664"/>
    </row>
    <row r="7" spans="1:17" x14ac:dyDescent="0.2">
      <c r="A7" s="2317" t="s">
        <v>869</v>
      </c>
      <c r="B7" s="2318"/>
      <c r="C7" s="2318"/>
      <c r="D7" s="2318"/>
      <c r="E7" s="2319"/>
      <c r="F7" s="1017"/>
      <c r="G7" s="1009"/>
      <c r="H7" s="1016" t="s">
        <v>372</v>
      </c>
      <c r="I7" s="2320">
        <f>COVER!A13</f>
        <v>13041099004</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59708.500000000007</v>
      </c>
      <c r="F12" s="1039"/>
      <c r="G12" s="1811">
        <f t="shared" ref="G12:G18" si="0">SUM(E12:F12)</f>
        <v>59708.500000000007</v>
      </c>
      <c r="H12" s="1040">
        <v>44200</v>
      </c>
      <c r="I12" s="1039"/>
      <c r="J12" s="1811">
        <f t="shared" ref="J12:J18" si="1">SUM(H12:I12)</f>
        <v>44200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59708.500000000007</v>
      </c>
      <c r="F19" s="1813">
        <f t="shared" si="2"/>
        <v>0</v>
      </c>
      <c r="G19" s="1813">
        <f t="shared" si="2"/>
        <v>59708.500000000007</v>
      </c>
      <c r="H19" s="1813">
        <f t="shared" si="2"/>
        <v>44200</v>
      </c>
      <c r="I19" s="1813">
        <f t="shared" si="2"/>
        <v>0</v>
      </c>
      <c r="J19" s="1813">
        <f t="shared" si="2"/>
        <v>44200</v>
      </c>
    </row>
    <row r="20" spans="1:10" ht="13.5" thickTop="1" x14ac:dyDescent="0.2">
      <c r="A20" s="1035">
        <v>9</v>
      </c>
      <c r="B20" s="2327" t="s">
        <v>1981</v>
      </c>
      <c r="C20" s="2327"/>
      <c r="D20" s="2328"/>
      <c r="E20" s="1046"/>
      <c r="F20" s="1046"/>
      <c r="G20" s="1046"/>
      <c r="H20" s="1046"/>
      <c r="I20" s="1046"/>
      <c r="J20" s="1814">
        <f>IF(AND(G19&gt;0,J19&gt;0),(((J19-G19)/G19)),"Enter Budget Data")</f>
        <v>-0.25973688838272618</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 notes are an integral part of these statements. &amp;CPage 32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4"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2096</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Farrington CCSD 99</v>
      </c>
    </row>
    <row r="65" spans="2:2" x14ac:dyDescent="0.2">
      <c r="B65" s="1070">
        <f>COVER!A13</f>
        <v>13041099004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integral part of these statements.
&amp;CPage 33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0" zoomScale="110" zoomScaleNormal="110" workbookViewId="0">
      <selection activeCell="B20" sqref="B2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orientation="portrait" r:id="rId4"/>
  <headerFooter>
    <oddFooter>&amp;LThe notes are an integral part of these statements. &amp;CPage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55" sqref="C5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statements.&amp;CPage 34</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
&amp;CPage 35</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619125</xdr:colOff>
                <xdr:row>1</xdr:row>
                <xdr:rowOff>114300</xdr:rowOff>
              </from>
              <to>
                <xdr:col>1</xdr:col>
                <xdr:colOff>1533525</xdr:colOff>
                <xdr:row>5</xdr:row>
                <xdr:rowOff>152400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22" sqref="D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501646.07</v>
      </c>
      <c r="C8" s="1815">
        <f>'Acct Summary 7-8'!D8</f>
        <v>30612.140000000003</v>
      </c>
      <c r="D8" s="1815">
        <f>'Acct Summary 7-8'!F8</f>
        <v>41442.53</v>
      </c>
      <c r="E8" s="1815">
        <f>'Acct Summary 7-8'!I8</f>
        <v>2701.83</v>
      </c>
      <c r="F8" s="1815">
        <f>SUM(B8:E8)</f>
        <v>576402.56999999995</v>
      </c>
    </row>
    <row r="9" spans="1:8" s="1079" customFormat="1" ht="14.25" customHeight="1" thickBot="1" x14ac:dyDescent="0.25">
      <c r="A9" s="1078" t="s">
        <v>1369</v>
      </c>
      <c r="B9" s="1816">
        <f>'Acct Summary 7-8'!C17</f>
        <v>485970.32</v>
      </c>
      <c r="C9" s="1816">
        <f>'Acct Summary 7-8'!D17</f>
        <v>25574.36</v>
      </c>
      <c r="D9" s="1816">
        <f>'Acct Summary 7-8'!F17</f>
        <v>29956.35</v>
      </c>
      <c r="E9" s="1815"/>
      <c r="F9" s="1815">
        <f>SUM(B9:E9)</f>
        <v>541501.03</v>
      </c>
    </row>
    <row r="10" spans="1:8" s="1079" customFormat="1" ht="14.25" thickTop="1" thickBot="1" x14ac:dyDescent="0.25">
      <c r="A10" s="1080" t="s">
        <v>1370</v>
      </c>
      <c r="B10" s="1817">
        <f>(B8-B9)</f>
        <v>15675.75</v>
      </c>
      <c r="C10" s="1817">
        <f>(C8-C9)</f>
        <v>5037.7800000000025</v>
      </c>
      <c r="D10" s="1817">
        <f>(D8-D9)</f>
        <v>11486.18</v>
      </c>
      <c r="E10" s="1816">
        <f>(E8-E9)</f>
        <v>2701.83</v>
      </c>
      <c r="F10" s="1818">
        <f>SUM(F8-F9)</f>
        <v>34901.539999999921</v>
      </c>
    </row>
    <row r="11" spans="1:8" s="1079" customFormat="1" ht="14.25" thickTop="1" thickBot="1" x14ac:dyDescent="0.25">
      <c r="A11" s="1081" t="s">
        <v>1985</v>
      </c>
      <c r="B11" s="1819">
        <f>'Acct Summary 7-8'!C81</f>
        <v>443288.75</v>
      </c>
      <c r="C11" s="1819">
        <f>'Acct Summary 7-8'!D81</f>
        <v>60873.78</v>
      </c>
      <c r="D11" s="1819">
        <f>'Acct Summary 7-8'!F81</f>
        <v>74261.179999999993</v>
      </c>
      <c r="E11" s="1819">
        <f>'Acct Summary 7-8'!I81</f>
        <v>226525.83000000002</v>
      </c>
      <c r="F11" s="1820">
        <f>SUM(B11:E11)</f>
        <v>804949.54</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&amp;LThe notes are an integral part of these statements.&amp;CPage 36</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65" sqref="D6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ERROR!</v>
      </c>
    </row>
    <row r="58" spans="1:4" x14ac:dyDescent="0.2">
      <c r="A58" s="1100"/>
      <c r="B58" s="1110"/>
      <c r="C58" s="1118" t="s">
        <v>1348</v>
      </c>
      <c r="D58" s="1124" t="str">
        <f>IF((('Assets-Liab 5-6'!D38+'Assets-Liab 5-6'!D39) ='Acct Summary 7-8'!D81), "OK", "ERROR!" )</f>
        <v>ERROR!</v>
      </c>
    </row>
    <row r="59" spans="1:4" s="1116" customFormat="1" x14ac:dyDescent="0.2">
      <c r="A59" s="1100"/>
      <c r="B59" s="1110"/>
      <c r="C59" s="1118" t="s">
        <v>1349</v>
      </c>
      <c r="D59" s="1124" t="str">
        <f>IF((('Assets-Liab 5-6'!E38 + 'Assets-Liab 5-6'!E39) ='Acct Summary 7-8'!E81), "OK", "ERROR!" )</f>
        <v>ERROR!</v>
      </c>
    </row>
    <row r="60" spans="1:4" x14ac:dyDescent="0.2">
      <c r="A60" s="1100"/>
      <c r="B60" s="1110"/>
      <c r="C60" s="1118" t="s">
        <v>1350</v>
      </c>
      <c r="D60" s="1124" t="str">
        <f>IF((('Assets-Liab 5-6'!F38 + 'Assets-Liab 5-6'!F39) ='Acct Summary 7-8'!F81), "OK", "ERROR!" )</f>
        <v>ERROR!</v>
      </c>
    </row>
    <row r="61" spans="1:4" ht="12.75" customHeight="1" x14ac:dyDescent="0.2">
      <c r="A61" s="1100"/>
      <c r="B61" s="1110"/>
      <c r="C61" s="1118" t="s">
        <v>1363</v>
      </c>
      <c r="D61" s="1124" t="str">
        <f>IF((('Assets-Liab 5-6'!G38 + 'Assets-Liab 5-6'!G39) ='Acct Summary 7-8'!G81), "OK", "ERROR!" )</f>
        <v>ERROR!</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ERROR!</v>
      </c>
    </row>
    <row r="64" spans="1:4" x14ac:dyDescent="0.2">
      <c r="A64" s="1100"/>
      <c r="B64" s="1110"/>
      <c r="C64" s="1118" t="s">
        <v>1353</v>
      </c>
      <c r="D64" s="1124" t="str">
        <f>IF((('Assets-Liab 5-6'!J38 + 'Assets-Liab 5-6'!J39) ='Acct Summary 7-8'!J81), "OK", "ERROR!" )</f>
        <v>ERROR!</v>
      </c>
    </row>
    <row r="65" spans="1:4" x14ac:dyDescent="0.2">
      <c r="A65" s="1117"/>
      <c r="B65" s="1110"/>
      <c r="C65" s="1118" t="s">
        <v>1364</v>
      </c>
      <c r="D65" s="1124" t="str">
        <f>IF((('Assets-Liab 5-6'!K38 + 'Assets-Liab 5-6'!K39) ='Acct Summary 7-8'!K81), "OK", "ERROR!" )</f>
        <v>ERROR!</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13041099004</v>
      </c>
    </row>
    <row r="3" spans="1:2" x14ac:dyDescent="0.2">
      <c r="A3" t="s">
        <v>956</v>
      </c>
      <c r="B3" s="138" t="str">
        <f>COVER!A15</f>
        <v>Jefferson</v>
      </c>
    </row>
    <row r="4" spans="1:2" x14ac:dyDescent="0.2">
      <c r="A4" t="s">
        <v>1007</v>
      </c>
      <c r="B4" s="138" t="str">
        <f>COVER!A17</f>
        <v>Farrington CCSD 99</v>
      </c>
    </row>
    <row r="5" spans="1:2" x14ac:dyDescent="0.2">
      <c r="A5" t="s">
        <v>704</v>
      </c>
      <c r="B5" s="138" t="str">
        <f>COVER!A38</f>
        <v>Dana Waggoner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65.028419999999997</v>
      </c>
    </row>
    <row r="16" spans="1:2" x14ac:dyDescent="0.2">
      <c r="A16" t="s">
        <v>422</v>
      </c>
      <c r="B16" s="138" t="str">
        <f>COVER!T13</f>
        <v>Kujawa &amp; Batteau, P.C.</v>
      </c>
    </row>
    <row r="17" spans="1:2" x14ac:dyDescent="0.2">
      <c r="A17" t="s">
        <v>884</v>
      </c>
      <c r="B17" s="138" t="str">
        <f>COVER!T15</f>
        <v>Kevin Batteau</v>
      </c>
    </row>
    <row r="18" spans="1:2" x14ac:dyDescent="0.2">
      <c r="A18" t="s">
        <v>1150</v>
      </c>
      <c r="B18" s="138" t="str">
        <f>COVER!T17</f>
        <v>309 S. Walnut Street</v>
      </c>
    </row>
    <row r="19" spans="1:2" x14ac:dyDescent="0.2">
      <c r="A19" t="s">
        <v>886</v>
      </c>
      <c r="B19" s="138" t="str">
        <f>COVER!T25</f>
        <v>kbatteau@kandb-cpa.com</v>
      </c>
    </row>
    <row r="20" spans="1:2" x14ac:dyDescent="0.2">
      <c r="A20" t="s">
        <v>887</v>
      </c>
      <c r="B20" s="138" t="str">
        <f>COVER!T19</f>
        <v>Pinckneyville</v>
      </c>
    </row>
    <row r="21" spans="1:2" x14ac:dyDescent="0.2">
      <c r="A21" t="s">
        <v>479</v>
      </c>
      <c r="B21" s="138" t="str">
        <f>COVER!X19</f>
        <v>IL</v>
      </c>
    </row>
    <row r="22" spans="1:2" x14ac:dyDescent="0.2">
      <c r="A22" t="s">
        <v>888</v>
      </c>
      <c r="B22" s="138">
        <f>COVER!Z19</f>
        <v>62274</v>
      </c>
    </row>
    <row r="23" spans="1:2" x14ac:dyDescent="0.2">
      <c r="A23" t="s">
        <v>1152</v>
      </c>
      <c r="B23" s="138" t="str">
        <f>COVER!T21</f>
        <v>618-357-3000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241343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446464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3175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3175</v>
      </c>
      <c r="C91" s="2" t="s">
        <v>573</v>
      </c>
      <c r="D91" s="2" t="str">
        <f t="shared" si="0"/>
        <v>Error?</v>
      </c>
    </row>
    <row r="92" spans="1:4" x14ac:dyDescent="0.2">
      <c r="A92" s="5">
        <v>31</v>
      </c>
      <c r="B92" s="138">
        <f>'Assets-Liab 5-6'!C39</f>
        <v>443289</v>
      </c>
      <c r="D92" s="2" t="str">
        <f t="shared" si="0"/>
        <v>Error?</v>
      </c>
    </row>
    <row r="93" spans="1:4" x14ac:dyDescent="0.2">
      <c r="A93" s="5">
        <v>32</v>
      </c>
      <c r="B93" s="138">
        <f>'Assets-Liab 5-6'!C41</f>
        <v>446464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60874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60874</v>
      </c>
      <c r="D123" s="2" t="str">
        <f t="shared" si="0"/>
        <v>Error?</v>
      </c>
    </row>
    <row r="124" spans="1:4" x14ac:dyDescent="0.2">
      <c r="A124" s="5">
        <v>63</v>
      </c>
      <c r="B124" s="138">
        <f>'Assets-Liab 5-6'!D41</f>
        <v>60874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10138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6000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10138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74261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74261</v>
      </c>
      <c r="D170" s="2" t="str">
        <f t="shared" si="1"/>
        <v>Error?</v>
      </c>
    </row>
    <row r="171" spans="1:4" x14ac:dyDescent="0.2">
      <c r="A171" s="5">
        <v>110</v>
      </c>
      <c r="B171" s="138">
        <f>'Assets-Liab 5-6'!F41</f>
        <v>74261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10997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10997</v>
      </c>
      <c r="D189" s="2" t="str">
        <f t="shared" si="1"/>
        <v>Error?</v>
      </c>
    </row>
    <row r="190" spans="1:4" x14ac:dyDescent="0.2">
      <c r="A190" s="5">
        <v>129</v>
      </c>
      <c r="B190" s="138">
        <f>'Assets-Liab 5-6'!G41</f>
        <v>10997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1200</v>
      </c>
      <c r="D273" s="2" t="str">
        <f t="shared" si="3"/>
        <v>Error?</v>
      </c>
    </row>
    <row r="274" spans="1:4" x14ac:dyDescent="0.2">
      <c r="A274" s="5">
        <v>213</v>
      </c>
      <c r="B274" s="138">
        <f>'Assets-Liab 5-6'!M17</f>
        <v>295238</v>
      </c>
      <c r="D274" s="2" t="str">
        <f t="shared" si="3"/>
        <v>Error?</v>
      </c>
    </row>
    <row r="275" spans="1:4" x14ac:dyDescent="0.2">
      <c r="A275" s="5">
        <v>214</v>
      </c>
      <c r="B275" s="138">
        <f>'Assets-Liab 5-6'!M18</f>
        <v>2610</v>
      </c>
      <c r="D275" s="2" t="str">
        <f t="shared" si="3"/>
        <v>Error?</v>
      </c>
    </row>
    <row r="276" spans="1:4" x14ac:dyDescent="0.2">
      <c r="A276" s="5">
        <v>215</v>
      </c>
      <c r="B276" s="138">
        <f>'Assets-Liab 5-6'!M19</f>
        <v>244007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543055</v>
      </c>
      <c r="C279" s="2" t="s">
        <v>573</v>
      </c>
      <c r="D279" s="2" t="str">
        <f t="shared" si="3"/>
        <v>Error?</v>
      </c>
    </row>
    <row r="280" spans="1:4" x14ac:dyDescent="0.2">
      <c r="A280" s="5">
        <v>219</v>
      </c>
      <c r="B280" s="138">
        <f>'Assets-Liab 5-6'!M40</f>
        <v>543055</v>
      </c>
      <c r="D280" s="2" t="str">
        <f t="shared" si="3"/>
        <v>Error?</v>
      </c>
    </row>
    <row r="281" spans="1:4" x14ac:dyDescent="0.2">
      <c r="A281" s="5">
        <v>220</v>
      </c>
      <c r="B281" s="138">
        <f>'Assets-Liab 5-6'!M41</f>
        <v>543055</v>
      </c>
      <c r="C281" s="2" t="s">
        <v>573</v>
      </c>
      <c r="D281" s="2" t="str">
        <f t="shared" si="3"/>
        <v>Error?</v>
      </c>
    </row>
    <row r="282" spans="1:4" x14ac:dyDescent="0.2">
      <c r="A282" s="5">
        <v>221</v>
      </c>
      <c r="B282" s="138">
        <f>'Assets-Liab 5-6'!N21</f>
        <v>214862</v>
      </c>
      <c r="D282" s="2" t="str">
        <f t="shared" si="3"/>
        <v>Error?</v>
      </c>
    </row>
    <row r="283" spans="1:4" x14ac:dyDescent="0.2">
      <c r="A283" s="5">
        <v>222</v>
      </c>
      <c r="B283" s="138">
        <f>'Assets-Liab 5-6'!N22</f>
        <v>10138</v>
      </c>
      <c r="D283" s="2" t="str">
        <f t="shared" si="3"/>
        <v>Error?</v>
      </c>
    </row>
    <row r="284" spans="1:4" x14ac:dyDescent="0.2">
      <c r="A284" s="5">
        <v>223</v>
      </c>
      <c r="B284" s="138">
        <f>'Assets-Liab 5-6'!N23</f>
        <v>225000</v>
      </c>
      <c r="C284" s="2" t="s">
        <v>573</v>
      </c>
      <c r="D284" s="2" t="str">
        <f t="shared" si="3"/>
        <v>Error?</v>
      </c>
    </row>
    <row r="285" spans="1:4" x14ac:dyDescent="0.2">
      <c r="A285" s="5">
        <v>224</v>
      </c>
      <c r="B285" s="138">
        <f>'Assets-Liab 5-6'!N36</f>
        <v>225000</v>
      </c>
      <c r="D285" s="2" t="str">
        <f t="shared" si="3"/>
        <v>Error?</v>
      </c>
    </row>
    <row r="286" spans="1:4" x14ac:dyDescent="0.2">
      <c r="A286" s="10">
        <v>225</v>
      </c>
      <c r="D286" s="2" t="str">
        <f t="shared" si="3"/>
        <v>OK</v>
      </c>
    </row>
    <row r="287" spans="1:4" x14ac:dyDescent="0.2">
      <c r="A287" s="5">
        <v>226</v>
      </c>
      <c r="B287" s="138">
        <f>'Assets-Liab 5-6'!N37</f>
        <v>225000</v>
      </c>
      <c r="C287" s="2" t="s">
        <v>573</v>
      </c>
      <c r="D287" s="2" t="str">
        <f t="shared" si="3"/>
        <v>Error?</v>
      </c>
    </row>
    <row r="288" spans="1:4" x14ac:dyDescent="0.2">
      <c r="A288" s="5">
        <v>227</v>
      </c>
      <c r="B288" s="138">
        <f>'Assets-Liab 5-6'!N41</f>
        <v>225000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216500</v>
      </c>
      <c r="D651" s="2" t="str">
        <f t="shared" si="9"/>
        <v>Error?</v>
      </c>
    </row>
    <row r="652" spans="1:4" x14ac:dyDescent="0.2">
      <c r="A652" s="5">
        <v>591</v>
      </c>
      <c r="B652" s="138">
        <f>'Acct Summary 7-8'!I34</f>
        <v>3546</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117095.41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145565.19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750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52817.65</v>
      </c>
      <c r="D733" s="2" t="str">
        <f t="shared" si="10"/>
        <v>Error?</v>
      </c>
    </row>
    <row r="734" spans="1:4" x14ac:dyDescent="0.2">
      <c r="A734" s="5">
        <v>673</v>
      </c>
      <c r="B734" s="138">
        <f>'Expenditures 15-22'!C53</f>
        <v>52817.65</v>
      </c>
      <c r="C734" s="2" t="s">
        <v>573</v>
      </c>
      <c r="D734" s="2" t="str">
        <f t="shared" si="10"/>
        <v>Error?</v>
      </c>
    </row>
    <row r="735" spans="1:4" x14ac:dyDescent="0.2">
      <c r="A735" s="5">
        <v>674</v>
      </c>
      <c r="B735" s="138">
        <f>'Expenditures 15-22'!C55</f>
        <v>35872.28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35872.28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16755.53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17375.53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106815.45999999999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252380.65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21737.32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21737.32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7.88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7.88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4634.12</v>
      </c>
      <c r="D791" s="2" t="str">
        <f t="shared" si="11"/>
        <v>Error?</v>
      </c>
    </row>
    <row r="792" spans="1:4" x14ac:dyDescent="0.2">
      <c r="A792" s="5">
        <v>731</v>
      </c>
      <c r="B792" s="138">
        <f>'Expenditures 15-22'!D53</f>
        <v>4634.12</v>
      </c>
      <c r="C792" s="2" t="s">
        <v>573</v>
      </c>
      <c r="D792" s="2" t="str">
        <f t="shared" si="11"/>
        <v>Error?</v>
      </c>
    </row>
    <row r="793" spans="1:4" x14ac:dyDescent="0.2">
      <c r="A793" s="5">
        <v>732</v>
      </c>
      <c r="B793" s="138">
        <f>'Expenditures 15-22'!D55</f>
        <v>4634.3599999999997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4634.3599999999997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9276.36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31013.68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17542.22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27705.86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150</v>
      </c>
      <c r="C843" s="2" t="s">
        <v>573</v>
      </c>
      <c r="D843" s="2" t="str">
        <f t="shared" si="12"/>
        <v>Error?</v>
      </c>
    </row>
    <row r="844" spans="1:4" x14ac:dyDescent="0.2">
      <c r="A844" s="5">
        <v>783</v>
      </c>
      <c r="B844" s="138">
        <f>'Expenditures 15-22'!E44</f>
        <v>3704.2799999999997</v>
      </c>
      <c r="D844" s="2" t="str">
        <f t="shared" si="12"/>
        <v>Error?</v>
      </c>
    </row>
    <row r="845" spans="1:4" x14ac:dyDescent="0.2">
      <c r="A845" s="5">
        <v>784</v>
      </c>
      <c r="B845" s="138">
        <f>'Expenditures 15-22'!E45</f>
        <v>30</v>
      </c>
      <c r="D845" s="2" t="str">
        <f t="shared" si="12"/>
        <v>Error?</v>
      </c>
    </row>
    <row r="846" spans="1:4" x14ac:dyDescent="0.2">
      <c r="A846" s="5">
        <v>785</v>
      </c>
      <c r="B846" s="138">
        <f>'Expenditures 15-22'!E46</f>
        <v>3535.39</v>
      </c>
      <c r="D846" s="2" t="str">
        <f t="shared" si="12"/>
        <v>Error?</v>
      </c>
    </row>
    <row r="847" spans="1:4" x14ac:dyDescent="0.2">
      <c r="A847" s="5">
        <v>786</v>
      </c>
      <c r="B847" s="138">
        <f>'Expenditures 15-22'!E47</f>
        <v>7269.67</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2139.8200000000002</v>
      </c>
      <c r="D849" s="2" t="str">
        <f t="shared" si="12"/>
        <v>Error?</v>
      </c>
    </row>
    <row r="850" spans="1:4" x14ac:dyDescent="0.2">
      <c r="A850" s="5">
        <v>789</v>
      </c>
      <c r="B850" s="138">
        <f>'Expenditures 15-22'!E53</f>
        <v>2139.8200000000002</v>
      </c>
      <c r="C850" s="2" t="s">
        <v>573</v>
      </c>
      <c r="D850" s="2" t="str">
        <f t="shared" si="12"/>
        <v>Error?</v>
      </c>
    </row>
    <row r="851" spans="1:4" x14ac:dyDescent="0.2">
      <c r="A851" s="5">
        <v>790</v>
      </c>
      <c r="B851" s="138">
        <f>'Expenditures 15-22'!E55</f>
        <v>1234.0899999999999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1234.0899999999999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6447.4299999999994</v>
      </c>
      <c r="D855" s="2" t="str">
        <f t="shared" si="12"/>
        <v>Error?</v>
      </c>
    </row>
    <row r="856" spans="1:4" x14ac:dyDescent="0.2">
      <c r="A856" s="5">
        <v>795</v>
      </c>
      <c r="B856" s="138">
        <f>'Expenditures 15-22'!E61</f>
        <v>44053.45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107.57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50608.45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1000</v>
      </c>
      <c r="D867" s="2" t="str">
        <f t="shared" si="12"/>
        <v>Error?</v>
      </c>
    </row>
    <row r="868" spans="1:4" x14ac:dyDescent="0.2">
      <c r="A868" s="10">
        <v>807</v>
      </c>
      <c r="D868" s="2" t="str">
        <f t="shared" si="12"/>
        <v>OK</v>
      </c>
    </row>
    <row r="869" spans="1:4" x14ac:dyDescent="0.2">
      <c r="A869" s="5">
        <v>808</v>
      </c>
      <c r="B869" s="138">
        <f>'Expenditures 15-22'!E72</f>
        <v>1000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62402.03</v>
      </c>
      <c r="C871" s="2" t="s">
        <v>573</v>
      </c>
      <c r="D871" s="2" t="str">
        <f t="shared" si="12"/>
        <v>Error?</v>
      </c>
    </row>
    <row r="872" spans="1:4" x14ac:dyDescent="0.2">
      <c r="A872" s="5">
        <v>811</v>
      </c>
      <c r="B872" s="138">
        <f>'Expenditures 15-22'!E75</f>
        <v>1000</v>
      </c>
      <c r="D872" s="2" t="str">
        <f t="shared" si="12"/>
        <v>Error?</v>
      </c>
    </row>
    <row r="873" spans="1:4" x14ac:dyDescent="0.2">
      <c r="A873" s="5">
        <v>812</v>
      </c>
      <c r="B873" s="138">
        <f>'Expenditures 15-22'!E114</f>
        <v>91215.85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7480.1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7500.8200000000006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25.95</v>
      </c>
      <c r="C901" s="2" t="s">
        <v>573</v>
      </c>
      <c r="D901" s="2" t="str">
        <f t="shared" si="13"/>
        <v>Error?</v>
      </c>
    </row>
    <row r="902" spans="1:4" x14ac:dyDescent="0.2">
      <c r="A902" s="5">
        <v>841</v>
      </c>
      <c r="B902" s="138">
        <f>'Expenditures 15-22'!F44</f>
        <v>12584.92</v>
      </c>
      <c r="D902" s="2" t="str">
        <f t="shared" si="13"/>
        <v>Error?</v>
      </c>
    </row>
    <row r="903" spans="1:4" x14ac:dyDescent="0.2">
      <c r="A903" s="5">
        <v>842</v>
      </c>
      <c r="B903" s="138">
        <f>'Expenditures 15-22'!F45</f>
        <v>0</v>
      </c>
      <c r="D903" s="2" t="str">
        <f t="shared" si="13"/>
        <v>Error?</v>
      </c>
    </row>
    <row r="904" spans="1:4" x14ac:dyDescent="0.2">
      <c r="A904" s="5">
        <v>843</v>
      </c>
      <c r="B904" s="138">
        <f>'Expenditures 15-22'!F46</f>
        <v>3123.63</v>
      </c>
      <c r="D904" s="2" t="str">
        <f t="shared" si="13"/>
        <v>Error?</v>
      </c>
    </row>
    <row r="905" spans="1:4" x14ac:dyDescent="0.2">
      <c r="A905" s="5">
        <v>844</v>
      </c>
      <c r="B905" s="138">
        <f>'Expenditures 15-22'!F47</f>
        <v>15708.55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116.91</v>
      </c>
      <c r="D907" s="2" t="str">
        <f t="shared" si="13"/>
        <v>Error?</v>
      </c>
    </row>
    <row r="908" spans="1:4" x14ac:dyDescent="0.2">
      <c r="A908" s="5">
        <v>847</v>
      </c>
      <c r="B908" s="138">
        <f>'Expenditures 15-22'!F53</f>
        <v>116.91</v>
      </c>
      <c r="C908" s="2" t="s">
        <v>573</v>
      </c>
      <c r="D908" s="2" t="str">
        <f t="shared" si="13"/>
        <v>Error?</v>
      </c>
    </row>
    <row r="909" spans="1:4" x14ac:dyDescent="0.2">
      <c r="A909" s="5">
        <v>848</v>
      </c>
      <c r="B909" s="138">
        <f>'Expenditures 15-22'!F55</f>
        <v>12.97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12.97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240.21</v>
      </c>
      <c r="D913" s="2" t="str">
        <f t="shared" si="13"/>
        <v>Error?</v>
      </c>
    </row>
    <row r="914" spans="1:4" x14ac:dyDescent="0.2">
      <c r="A914" s="5">
        <v>853</v>
      </c>
      <c r="B914" s="138">
        <f>'Expenditures 15-22'!F61</f>
        <v>81.87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23347.3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23669.38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207.9</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207.9</v>
      </c>
      <c r="C927" s="2" t="s">
        <v>573</v>
      </c>
      <c r="D927" s="2" t="str">
        <f t="shared" si="13"/>
        <v>Error?</v>
      </c>
    </row>
    <row r="928" spans="1:4" x14ac:dyDescent="0.2">
      <c r="A928" s="5">
        <v>867</v>
      </c>
      <c r="B928" s="138">
        <f>'Expenditures 15-22'!F73</f>
        <v>151.38999999999999</v>
      </c>
      <c r="D928" s="2" t="str">
        <f t="shared" si="13"/>
        <v>Error?</v>
      </c>
    </row>
    <row r="929" spans="1:4" x14ac:dyDescent="0.2">
      <c r="A929" s="5">
        <v>868</v>
      </c>
      <c r="B929" s="138">
        <f>'Expenditures 15-22'!F74</f>
        <v>39893.050000000003</v>
      </c>
      <c r="C929" s="2" t="s">
        <v>573</v>
      </c>
      <c r="D929" s="2" t="str">
        <f t="shared" si="13"/>
        <v>Error?</v>
      </c>
    </row>
    <row r="930" spans="1:4" x14ac:dyDescent="0.2">
      <c r="A930" s="5">
        <v>869</v>
      </c>
      <c r="B930" s="138">
        <f>'Expenditures 15-22'!F75</f>
        <v>752.66</v>
      </c>
      <c r="D930" s="2" t="str">
        <f t="shared" si="13"/>
        <v>Error?</v>
      </c>
    </row>
    <row r="931" spans="1:4" x14ac:dyDescent="0.2">
      <c r="A931" s="5">
        <v>870</v>
      </c>
      <c r="B931" s="138">
        <f>'Expenditures 15-22'!F114</f>
        <v>48146.530000000006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3203.86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3203.86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1708.2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1708.2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1708.2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4912.0600000000004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58301.55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58301.55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167058.91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205713.05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175.95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175.95</v>
      </c>
      <c r="C1115" s="2" t="s">
        <v>573</v>
      </c>
      <c r="D1115" s="2" t="str">
        <f t="shared" si="16"/>
        <v>Error?</v>
      </c>
    </row>
    <row r="1116" spans="1:4" x14ac:dyDescent="0.2">
      <c r="A1116" s="5">
        <v>1055</v>
      </c>
      <c r="B1116" s="138">
        <f>'Expenditures 15-22'!K44</f>
        <v>17047.080000000002</v>
      </c>
      <c r="C1116" s="2" t="s">
        <v>573</v>
      </c>
      <c r="D1116" s="2" t="str">
        <f t="shared" si="16"/>
        <v>Error?</v>
      </c>
    </row>
    <row r="1117" spans="1:4" x14ac:dyDescent="0.2">
      <c r="A1117" s="5">
        <v>1056</v>
      </c>
      <c r="B1117" s="138">
        <f>'Expenditures 15-22'!K45</f>
        <v>1738.2</v>
      </c>
      <c r="C1117" s="2" t="s">
        <v>573</v>
      </c>
      <c r="D1117" s="2" t="str">
        <f t="shared" si="16"/>
        <v>Error?</v>
      </c>
    </row>
    <row r="1118" spans="1:4" x14ac:dyDescent="0.2">
      <c r="A1118" s="5">
        <v>1057</v>
      </c>
      <c r="B1118" s="138">
        <f>'Expenditures 15-22'!K46</f>
        <v>6659.02</v>
      </c>
      <c r="C1118" s="2" t="s">
        <v>573</v>
      </c>
      <c r="D1118" s="2" t="str">
        <f t="shared" si="16"/>
        <v>Error?</v>
      </c>
    </row>
    <row r="1119" spans="1:4" x14ac:dyDescent="0.2">
      <c r="A1119" s="5">
        <v>1058</v>
      </c>
      <c r="B1119" s="138">
        <f>'Expenditures 15-22'!K47</f>
        <v>25444.300000000003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59708.500000000007</v>
      </c>
      <c r="C1121" s="2" t="s">
        <v>573</v>
      </c>
      <c r="D1121" s="2" t="str">
        <f t="shared" si="16"/>
        <v>Error?</v>
      </c>
    </row>
    <row r="1122" spans="1:4" x14ac:dyDescent="0.2">
      <c r="A1122" s="5">
        <v>1061</v>
      </c>
      <c r="B1122" s="138">
        <f>'Expenditures 15-22'!K53</f>
        <v>59708.500000000007</v>
      </c>
      <c r="C1122" s="2" t="s">
        <v>573</v>
      </c>
      <c r="D1122" s="2" t="str">
        <f t="shared" si="16"/>
        <v>Error?</v>
      </c>
    </row>
    <row r="1123" spans="1:4" x14ac:dyDescent="0.2">
      <c r="A1123" s="5">
        <v>1062</v>
      </c>
      <c r="B1123" s="138">
        <f>'Expenditures 15-22'!K55</f>
        <v>41753.699999999997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41753.699999999997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23443.17</v>
      </c>
      <c r="C1127" s="2" t="s">
        <v>573</v>
      </c>
      <c r="D1127" s="2" t="str">
        <f t="shared" si="16"/>
        <v>Error?</v>
      </c>
    </row>
    <row r="1128" spans="1:4" x14ac:dyDescent="0.2">
      <c r="A1128" s="5">
        <v>1067</v>
      </c>
      <c r="B1128" s="138">
        <f>'Expenditures 15-22'!K61</f>
        <v>44135.32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24074.87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91653.359999999986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207.9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1000</v>
      </c>
      <c r="C1139" s="2" t="s">
        <v>573</v>
      </c>
      <c r="D1139" s="2" t="str">
        <f t="shared" si="16"/>
        <v>Error?</v>
      </c>
    </row>
    <row r="1140" spans="1:4" x14ac:dyDescent="0.2">
      <c r="A1140" s="10">
        <v>1079</v>
      </c>
      <c r="D1140" s="2" t="str">
        <f t="shared" si="16"/>
        <v>OK</v>
      </c>
    </row>
    <row r="1141" spans="1:4" x14ac:dyDescent="0.2">
      <c r="A1141" s="5">
        <v>1080</v>
      </c>
      <c r="B1141" s="138">
        <f>'Expenditures 15-22'!K72</f>
        <v>1207.9000000000001</v>
      </c>
      <c r="C1141" s="2" t="s">
        <v>573</v>
      </c>
      <c r="D1141" s="2" t="str">
        <f t="shared" si="16"/>
        <v>Error?</v>
      </c>
    </row>
    <row r="1142" spans="1:4" x14ac:dyDescent="0.2">
      <c r="A1142" s="5">
        <v>1081</v>
      </c>
      <c r="B1142" s="138">
        <f>'Expenditures 15-22'!K73</f>
        <v>151.38999999999999</v>
      </c>
      <c r="C1142" s="2" t="s">
        <v>573</v>
      </c>
      <c r="D1142" s="2" t="str">
        <f t="shared" si="16"/>
        <v>Error?</v>
      </c>
    </row>
    <row r="1143" spans="1:4" x14ac:dyDescent="0.2">
      <c r="A1143" s="5">
        <v>1082</v>
      </c>
      <c r="B1143" s="138">
        <f>'Expenditures 15-22'!K74</f>
        <v>220095.1</v>
      </c>
      <c r="C1143" s="2" t="s">
        <v>573</v>
      </c>
      <c r="D1143" s="2" t="str">
        <f t="shared" si="16"/>
        <v>Error?</v>
      </c>
    </row>
    <row r="1144" spans="1:4" x14ac:dyDescent="0.2">
      <c r="A1144" s="5">
        <v>1083</v>
      </c>
      <c r="B1144" s="138">
        <f>'Expenditures 15-22'!K75</f>
        <v>1752.6599999999999</v>
      </c>
      <c r="C1144" s="2" t="s">
        <v>573</v>
      </c>
      <c r="D1144" s="2" t="str">
        <f t="shared" si="16"/>
        <v>Error?</v>
      </c>
    </row>
    <row r="1145" spans="1:4" x14ac:dyDescent="0.2">
      <c r="A1145" s="5">
        <v>1084</v>
      </c>
      <c r="B1145" s="138">
        <f>'Expenditures 15-22'!K102</f>
        <v>58409.51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485970.32</v>
      </c>
      <c r="C1152" s="2" t="s">
        <v>573</v>
      </c>
      <c r="D1152" s="2" t="str">
        <f t="shared" si="17"/>
        <v>Error?</v>
      </c>
    </row>
    <row r="1153" spans="1:4" x14ac:dyDescent="0.2">
      <c r="A1153" s="5">
        <v>1092</v>
      </c>
      <c r="B1153" s="138">
        <f>'Expenditures 15-22'!K115</f>
        <v>15675.75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3250.61</v>
      </c>
      <c r="D1221" s="2" t="str">
        <f t="shared" si="18"/>
        <v>Error?</v>
      </c>
    </row>
    <row r="1222" spans="1:4" x14ac:dyDescent="0.2">
      <c r="A1222" s="10">
        <v>1161</v>
      </c>
      <c r="D1222" s="2" t="str">
        <f t="shared" si="18"/>
        <v>OK</v>
      </c>
    </row>
    <row r="1223" spans="1:4" x14ac:dyDescent="0.2">
      <c r="A1223" s="5">
        <v>1162</v>
      </c>
      <c r="B1223" s="138">
        <f>'Expenditures 15-22'!C127</f>
        <v>3250.61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3250.61</v>
      </c>
      <c r="C1225" s="2" t="s">
        <v>573</v>
      </c>
      <c r="D1225" s="2" t="str">
        <f t="shared" si="18"/>
        <v>Error?</v>
      </c>
    </row>
    <row r="1226" spans="1:4" x14ac:dyDescent="0.2">
      <c r="A1226" s="5">
        <v>1165</v>
      </c>
      <c r="B1226" s="138">
        <f>'Expenditures 15-22'!C151</f>
        <v>3250.61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17763.13</v>
      </c>
      <c r="D1237" s="2" t="str">
        <f t="shared" si="18"/>
        <v>Error?</v>
      </c>
    </row>
    <row r="1238" spans="1:4" x14ac:dyDescent="0.2">
      <c r="A1238" s="10">
        <v>1177</v>
      </c>
      <c r="D1238" s="2" t="str">
        <f t="shared" si="18"/>
        <v>OK</v>
      </c>
    </row>
    <row r="1239" spans="1:4" x14ac:dyDescent="0.2">
      <c r="A1239" s="5">
        <v>1178</v>
      </c>
      <c r="B1239" s="138">
        <f>'Expenditures 15-22'!E127</f>
        <v>17763.13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17763.13</v>
      </c>
      <c r="C1241" s="2" t="s">
        <v>573</v>
      </c>
      <c r="D1241" s="2" t="str">
        <f t="shared" si="18"/>
        <v>Error?</v>
      </c>
    </row>
    <row r="1242" spans="1:4" x14ac:dyDescent="0.2">
      <c r="A1242" s="5">
        <v>1181</v>
      </c>
      <c r="B1242" s="138">
        <f>'Expenditures 15-22'!E151</f>
        <v>17763.13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4560.62</v>
      </c>
      <c r="D1245" s="2" t="str">
        <f t="shared" si="18"/>
        <v>Error?</v>
      </c>
    </row>
    <row r="1246" spans="1:4" x14ac:dyDescent="0.2">
      <c r="A1246" s="10">
        <v>1185</v>
      </c>
      <c r="D1246" s="2" t="str">
        <f t="shared" si="18"/>
        <v>OK</v>
      </c>
    </row>
    <row r="1247" spans="1:4" x14ac:dyDescent="0.2">
      <c r="A1247" s="5">
        <v>1186</v>
      </c>
      <c r="B1247" s="138">
        <f>'Expenditures 15-22'!F127</f>
        <v>4560.62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4560.62</v>
      </c>
      <c r="C1249" s="2" t="s">
        <v>573</v>
      </c>
      <c r="D1249" s="2" t="str">
        <f t="shared" si="18"/>
        <v>Error?</v>
      </c>
    </row>
    <row r="1250" spans="1:4" x14ac:dyDescent="0.2">
      <c r="A1250" s="5">
        <v>1189</v>
      </c>
      <c r="B1250" s="138">
        <f>'Expenditures 15-22'!F151</f>
        <v>4560.62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25574.36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25574.36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25574.36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25574.36</v>
      </c>
      <c r="C1288" s="2" t="s">
        <v>573</v>
      </c>
      <c r="D1288" s="2" t="str">
        <f t="shared" si="19"/>
        <v>Error?</v>
      </c>
    </row>
    <row r="1289" spans="1:4" x14ac:dyDescent="0.2">
      <c r="A1289" s="5">
        <v>1228</v>
      </c>
      <c r="B1289" s="138">
        <f>'Expenditures 15-22'!K152</f>
        <v>5037.7800000000025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2562.6999999999998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52300</v>
      </c>
      <c r="D1315" s="2" t="str">
        <f t="shared" si="19"/>
        <v>Error?</v>
      </c>
    </row>
    <row r="1316" spans="1:4" x14ac:dyDescent="0.2">
      <c r="A1316" s="5">
        <v>1255</v>
      </c>
      <c r="B1316" s="138">
        <f>'Expenditures 15-22'!H171</f>
        <v>8400</v>
      </c>
      <c r="D1316" s="2" t="str">
        <f t="shared" si="19"/>
        <v>Error?</v>
      </c>
    </row>
    <row r="1317" spans="1:4" x14ac:dyDescent="0.2">
      <c r="A1317" s="5">
        <v>1256</v>
      </c>
      <c r="B1317" s="138">
        <f>'Expenditures 15-22'!H172</f>
        <v>63262.7</v>
      </c>
      <c r="C1317" s="2" t="s">
        <v>573</v>
      </c>
      <c r="D1317" s="2" t="str">
        <f t="shared" si="19"/>
        <v>Error?</v>
      </c>
    </row>
    <row r="1318" spans="1:4" x14ac:dyDescent="0.2">
      <c r="A1318" s="5">
        <v>1257</v>
      </c>
      <c r="B1318" s="138">
        <f>'Expenditures 15-22'!H174</f>
        <v>63262.7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2562.6999999999998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52300</v>
      </c>
      <c r="C1329" s="2" t="s">
        <v>573</v>
      </c>
      <c r="D1329" s="2" t="str">
        <f t="shared" si="19"/>
        <v>Error?</v>
      </c>
    </row>
    <row r="1330" spans="1:4" x14ac:dyDescent="0.2">
      <c r="A1330" s="5">
        <v>1269</v>
      </c>
      <c r="B1330" s="138">
        <f>'Expenditures 15-22'!K171</f>
        <v>8400</v>
      </c>
      <c r="C1330" s="2" t="s">
        <v>573</v>
      </c>
      <c r="D1330" s="2" t="str">
        <f t="shared" si="19"/>
        <v>Error?</v>
      </c>
    </row>
    <row r="1331" spans="1:4" x14ac:dyDescent="0.2">
      <c r="A1331" s="5">
        <v>1270</v>
      </c>
      <c r="B1331" s="138">
        <f>'Expenditures 15-22'!K172</f>
        <v>63262.7</v>
      </c>
      <c r="C1331" s="2" t="s">
        <v>573</v>
      </c>
      <c r="D1331" s="2" t="str">
        <f t="shared" si="19"/>
        <v>Error?</v>
      </c>
    </row>
    <row r="1332" spans="1:4" x14ac:dyDescent="0.2">
      <c r="A1332" s="5">
        <v>1271</v>
      </c>
      <c r="B1332" s="138">
        <f>'Expenditures 15-22'!K174</f>
        <v>63262.7</v>
      </c>
      <c r="C1332" s="2" t="s">
        <v>573</v>
      </c>
      <c r="D1332" s="2" t="str">
        <f t="shared" si="19"/>
        <v>Error?</v>
      </c>
    </row>
    <row r="1333" spans="1:4" x14ac:dyDescent="0.2">
      <c r="A1333" s="5">
        <v>1272</v>
      </c>
      <c r="B1333" s="138">
        <f>'Expenditures 15-22'!K175</f>
        <v>-8243.6999999999971</v>
      </c>
      <c r="C1333" s="2" t="s">
        <v>573</v>
      </c>
      <c r="D1333" s="2" t="str">
        <f t="shared" si="19"/>
        <v>Error?</v>
      </c>
    </row>
    <row r="1334" spans="1:4" x14ac:dyDescent="0.2">
      <c r="A1334" s="10">
        <v>1273</v>
      </c>
      <c r="D1334" s="2" t="str">
        <f t="shared" si="19"/>
        <v>OK</v>
      </c>
    </row>
    <row r="1335" spans="1:4" x14ac:dyDescent="0.2">
      <c r="A1335" s="5">
        <v>1274</v>
      </c>
      <c r="B1335" s="138">
        <f>'Expenditures 15-22'!C182</f>
        <v>14588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14588</v>
      </c>
      <c r="C1339" s="2" t="s">
        <v>573</v>
      </c>
      <c r="D1339" s="2" t="str">
        <f t="shared" si="19"/>
        <v>Error?</v>
      </c>
    </row>
    <row r="1340" spans="1:4" x14ac:dyDescent="0.2">
      <c r="A1340" s="5">
        <v>1279</v>
      </c>
      <c r="B1340" s="138">
        <f>'Expenditures 15-22'!C210</f>
        <v>14588</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11413.85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11413.85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11413.85</v>
      </c>
      <c r="C1353" s="2" t="s">
        <v>573</v>
      </c>
      <c r="D1353" s="2" t="str">
        <f t="shared" si="20"/>
        <v>Error?</v>
      </c>
    </row>
    <row r="1354" spans="1:4" x14ac:dyDescent="0.2">
      <c r="A1354" s="5">
        <v>1293</v>
      </c>
      <c r="B1354" s="138">
        <f>'Expenditures 15-22'!F182</f>
        <v>3954.5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3954.5</v>
      </c>
      <c r="C1358" s="2" t="s">
        <v>573</v>
      </c>
      <c r="D1358" s="2" t="str">
        <f t="shared" si="20"/>
        <v>Error?</v>
      </c>
    </row>
    <row r="1359" spans="1:4" x14ac:dyDescent="0.2">
      <c r="A1359" s="5">
        <v>1298</v>
      </c>
      <c r="B1359" s="138">
        <f>'Expenditures 15-22'!F210</f>
        <v>3954.5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29956.35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29956.35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29956.35</v>
      </c>
      <c r="C1388" s="2" t="s">
        <v>573</v>
      </c>
      <c r="D1388" s="2" t="str">
        <f t="shared" si="20"/>
        <v>Error?</v>
      </c>
    </row>
    <row r="1389" spans="1:4" x14ac:dyDescent="0.2">
      <c r="A1389" s="5">
        <v>1328</v>
      </c>
      <c r="B1389" s="138">
        <f>'Expenditures 15-22'!K211</f>
        <v>11486.18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3187.98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1391.21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1391.21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1289.8399999999999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248.68</v>
      </c>
      <c r="D1431" s="2" t="str">
        <f t="shared" si="21"/>
        <v>Error?</v>
      </c>
    </row>
    <row r="1432" spans="1:4" x14ac:dyDescent="0.2">
      <c r="A1432" s="5">
        <v>1371</v>
      </c>
      <c r="B1432" s="138">
        <f>'Expenditures 15-22'!D267</f>
        <v>1042.53</v>
      </c>
      <c r="D1432" s="2" t="str">
        <f t="shared" si="21"/>
        <v>Error?</v>
      </c>
    </row>
    <row r="1433" spans="1:4" x14ac:dyDescent="0.2">
      <c r="A1433" s="5">
        <v>1372</v>
      </c>
      <c r="B1433" s="138">
        <f>'Expenditures 15-22'!D268</f>
        <v>120.87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2701.92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4093.13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7281.1100000000006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3187.98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1391.21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1391.21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1289.8399999999999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248.68</v>
      </c>
      <c r="C1495" s="2" t="s">
        <v>573</v>
      </c>
      <c r="D1495" s="2" t="str">
        <f t="shared" si="22"/>
        <v>Error?</v>
      </c>
    </row>
    <row r="1496" spans="1:4" x14ac:dyDescent="0.2">
      <c r="A1496" s="5">
        <v>1435</v>
      </c>
      <c r="B1496" s="138">
        <f>'Expenditures 15-22'!K267</f>
        <v>1042.53</v>
      </c>
      <c r="C1496" s="2" t="s">
        <v>573</v>
      </c>
      <c r="D1496" s="2" t="str">
        <f t="shared" si="22"/>
        <v>Error?</v>
      </c>
    </row>
    <row r="1497" spans="1:4" x14ac:dyDescent="0.2">
      <c r="A1497" s="5">
        <v>1436</v>
      </c>
      <c r="B1497" s="138">
        <f>'Expenditures 15-22'!K268</f>
        <v>120.87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2701.92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4093.13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7281.1100000000006</v>
      </c>
      <c r="C1517" s="2" t="s">
        <v>573</v>
      </c>
      <c r="D1517" s="2" t="str">
        <f t="shared" si="22"/>
        <v>Error?</v>
      </c>
    </row>
    <row r="1518" spans="1:4" x14ac:dyDescent="0.2">
      <c r="A1518" s="5">
        <v>1457</v>
      </c>
      <c r="B1518" s="138">
        <f>'Expenditures 15-22'!K296</f>
        <v>-844.21000000000095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310056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443288.75</v>
      </c>
      <c r="C1630" s="2" t="s">
        <v>573</v>
      </c>
      <c r="D1630" s="2" t="str">
        <f t="shared" si="24"/>
        <v>Error?</v>
      </c>
    </row>
    <row r="1631" spans="1:4" x14ac:dyDescent="0.2">
      <c r="A1631" s="5">
        <v>1570</v>
      </c>
      <c r="B1631" s="138">
        <f>'Acct Summary 7-8'!D79</f>
        <v>8590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60873.78</v>
      </c>
      <c r="C1644" s="2" t="s">
        <v>573</v>
      </c>
      <c r="D1644" s="2" t="str">
        <f t="shared" si="24"/>
        <v>Error?</v>
      </c>
    </row>
    <row r="1645" spans="1:4" x14ac:dyDescent="0.2">
      <c r="A1645" s="5">
        <v>1584</v>
      </c>
      <c r="B1645" s="138">
        <f>'Acct Summary 7-8'!E79</f>
        <v>3882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4138.3000000000029</v>
      </c>
      <c r="C1658" s="2" t="s">
        <v>573</v>
      </c>
      <c r="D1658" s="2" t="str">
        <f t="shared" si="24"/>
        <v>Error?</v>
      </c>
    </row>
    <row r="1659" spans="1:4" x14ac:dyDescent="0.2">
      <c r="A1659" s="5">
        <v>1598</v>
      </c>
      <c r="B1659" s="138">
        <f>'Acct Summary 7-8'!F79</f>
        <v>34743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74261.179999999993</v>
      </c>
      <c r="C1672" s="2" t="s">
        <v>573</v>
      </c>
      <c r="D1672" s="2" t="str">
        <f t="shared" si="25"/>
        <v>Error?</v>
      </c>
    </row>
    <row r="1673" spans="1:4" x14ac:dyDescent="0.2">
      <c r="A1673" s="5">
        <v>1612</v>
      </c>
      <c r="B1673" s="138">
        <f>'Acct Summary 7-8'!G79</f>
        <v>11733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10996.789999999999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70732.77</v>
      </c>
      <c r="C1744" s="2" t="s">
        <v>573</v>
      </c>
      <c r="D1744" s="2" t="str">
        <f t="shared" si="26"/>
        <v>Error?</v>
      </c>
    </row>
    <row r="1745" spans="1:5" x14ac:dyDescent="0.2">
      <c r="A1745" s="5">
        <v>1684</v>
      </c>
      <c r="B1745" s="138">
        <f>'Tax Sched 23'!B5</f>
        <v>13295.29</v>
      </c>
      <c r="C1745" s="2" t="s">
        <v>573</v>
      </c>
      <c r="D1745" s="2" t="str">
        <f t="shared" si="26"/>
        <v>Error?</v>
      </c>
    </row>
    <row r="1746" spans="1:5" x14ac:dyDescent="0.2">
      <c r="A1746" s="5">
        <v>1685</v>
      </c>
      <c r="B1746" s="138">
        <f>'Tax Sched 23'!B6</f>
        <v>54230.16</v>
      </c>
      <c r="C1746" s="2" t="s">
        <v>573</v>
      </c>
      <c r="D1746" s="2" t="str">
        <f t="shared" si="26"/>
        <v>Error?</v>
      </c>
    </row>
    <row r="1747" spans="1:5" x14ac:dyDescent="0.2">
      <c r="A1747" s="5">
        <v>1686</v>
      </c>
      <c r="B1747" s="138">
        <f>'Tax Sched 23'!B7</f>
        <v>6388.54</v>
      </c>
      <c r="C1747" s="2" t="s">
        <v>573</v>
      </c>
      <c r="D1747" s="2" t="str">
        <f t="shared" si="26"/>
        <v>Error?</v>
      </c>
    </row>
    <row r="1748" spans="1:5" x14ac:dyDescent="0.2">
      <c r="A1748" s="5">
        <v>1687</v>
      </c>
      <c r="B1748" s="138">
        <f>'Tax Sched 23'!B8</f>
        <v>932.33</v>
      </c>
      <c r="C1748" s="2" t="s">
        <v>573</v>
      </c>
      <c r="D1748" s="2" t="str">
        <f t="shared" si="26"/>
        <v>Error?</v>
      </c>
    </row>
    <row r="1749" spans="1:5" x14ac:dyDescent="0.2">
      <c r="A1749" s="5">
        <v>1688</v>
      </c>
      <c r="B1749" s="138">
        <f>'Tax Sched 23'!B10</f>
        <v>2663.08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15841.58</v>
      </c>
      <c r="C1752" s="2" t="s">
        <v>573</v>
      </c>
      <c r="D1752" s="2" t="str">
        <f t="shared" si="26"/>
        <v>Error?</v>
      </c>
    </row>
    <row r="1753" spans="1:5" x14ac:dyDescent="0.2">
      <c r="A1753" s="5">
        <v>1692</v>
      </c>
      <c r="B1753" s="138">
        <f>'Tax Sched 23'!B12</f>
        <v>2663.08</v>
      </c>
      <c r="C1753" s="2" t="s">
        <v>573</v>
      </c>
      <c r="D1753" s="2" t="str">
        <f t="shared" si="26"/>
        <v>Error?</v>
      </c>
    </row>
    <row r="1754" spans="1:5" x14ac:dyDescent="0.2">
      <c r="A1754" s="5">
        <v>1693</v>
      </c>
      <c r="B1754" s="138">
        <f>'Tax Sched 23'!B14</f>
        <v>1076.53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169687.17999999996</v>
      </c>
      <c r="C1759" s="2" t="s">
        <v>573</v>
      </c>
      <c r="D1759" s="2" t="str">
        <f t="shared" si="26"/>
        <v>Error?</v>
      </c>
    </row>
    <row r="1760" spans="1:5" x14ac:dyDescent="0.2">
      <c r="A1760" s="5">
        <v>1699</v>
      </c>
      <c r="B1760" s="138">
        <f>'Tax Sched 23'!D4</f>
        <v>70732.77</v>
      </c>
      <c r="C1760" s="2" t="s">
        <v>573</v>
      </c>
      <c r="D1760" s="2" t="str">
        <f t="shared" si="26"/>
        <v>Error?</v>
      </c>
    </row>
    <row r="1761" spans="1:5" x14ac:dyDescent="0.2">
      <c r="A1761" s="5">
        <v>1700</v>
      </c>
      <c r="B1761" s="138">
        <f>'Tax Sched 23'!D5</f>
        <v>13295.29</v>
      </c>
      <c r="C1761" s="2" t="s">
        <v>573</v>
      </c>
      <c r="D1761" s="2" t="str">
        <f t="shared" si="26"/>
        <v>Error?</v>
      </c>
    </row>
    <row r="1762" spans="1:5" s="8" customFormat="1" x14ac:dyDescent="0.2">
      <c r="A1762" s="5">
        <v>1701</v>
      </c>
      <c r="B1762" s="138">
        <f>'Tax Sched 23'!D6</f>
        <v>54230.16</v>
      </c>
      <c r="C1762" s="2" t="s">
        <v>573</v>
      </c>
      <c r="D1762" s="2" t="str">
        <f t="shared" si="26"/>
        <v>Error?</v>
      </c>
      <c r="E1762" s="9"/>
    </row>
    <row r="1763" spans="1:5" x14ac:dyDescent="0.2">
      <c r="A1763" s="5">
        <v>1702</v>
      </c>
      <c r="B1763" s="138">
        <f>'Tax Sched 23'!D7</f>
        <v>6388.54</v>
      </c>
      <c r="C1763" s="2" t="s">
        <v>573</v>
      </c>
      <c r="D1763" s="2" t="str">
        <f t="shared" si="26"/>
        <v>Error?</v>
      </c>
    </row>
    <row r="1764" spans="1:5" x14ac:dyDescent="0.2">
      <c r="A1764" s="5">
        <v>1703</v>
      </c>
      <c r="B1764" s="138">
        <f>'Tax Sched 23'!D8</f>
        <v>932.33</v>
      </c>
      <c r="C1764" s="2" t="s">
        <v>573</v>
      </c>
      <c r="D1764" s="2" t="str">
        <f t="shared" si="26"/>
        <v>Error?</v>
      </c>
    </row>
    <row r="1765" spans="1:5" x14ac:dyDescent="0.2">
      <c r="A1765" s="5">
        <v>1704</v>
      </c>
      <c r="B1765" s="138">
        <f>'Tax Sched 23'!D10</f>
        <v>2663.08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15841.58</v>
      </c>
      <c r="C1768" s="2" t="s">
        <v>573</v>
      </c>
      <c r="D1768" s="2" t="str">
        <f t="shared" si="26"/>
        <v>Error?</v>
      </c>
    </row>
    <row r="1769" spans="1:5" x14ac:dyDescent="0.2">
      <c r="A1769" s="5">
        <v>1708</v>
      </c>
      <c r="B1769" s="138">
        <f>'Tax Sched 23'!D12</f>
        <v>2663.08</v>
      </c>
      <c r="C1769" s="2" t="s">
        <v>573</v>
      </c>
      <c r="D1769" s="2" t="str">
        <f t="shared" si="26"/>
        <v>Error?</v>
      </c>
    </row>
    <row r="1770" spans="1:5" x14ac:dyDescent="0.2">
      <c r="A1770" s="5">
        <v>1709</v>
      </c>
      <c r="B1770" s="138">
        <f>'Tax Sched 23'!D14</f>
        <v>1076.53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169687.17999999996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74873.060000000012</v>
      </c>
      <c r="C1792" s="2" t="s">
        <v>573</v>
      </c>
      <c r="D1792" s="2" t="str">
        <f t="shared" si="27"/>
        <v>Error?</v>
      </c>
    </row>
    <row r="1793" spans="1:4" x14ac:dyDescent="0.2">
      <c r="A1793" s="5">
        <v>1732</v>
      </c>
      <c r="B1793" s="138">
        <f>'Tax Sched 23'!F5</f>
        <v>14098.4</v>
      </c>
      <c r="C1793" s="2" t="s">
        <v>573</v>
      </c>
      <c r="D1793" s="2" t="str">
        <f t="shared" si="27"/>
        <v>Error?</v>
      </c>
    </row>
    <row r="1794" spans="1:4" x14ac:dyDescent="0.2">
      <c r="A1794" s="5">
        <v>1733</v>
      </c>
      <c r="B1794" s="138">
        <f>'Tax Sched 23'!F6</f>
        <v>57754.64</v>
      </c>
      <c r="C1794" s="2" t="s">
        <v>573</v>
      </c>
      <c r="D1794" s="2" t="str">
        <f t="shared" si="27"/>
        <v>Error?</v>
      </c>
    </row>
    <row r="1795" spans="1:4" x14ac:dyDescent="0.2">
      <c r="A1795" s="5">
        <v>1734</v>
      </c>
      <c r="B1795" s="138">
        <f>'Tax Sched 23'!F7</f>
        <v>6774.85</v>
      </c>
      <c r="C1795" s="2" t="s">
        <v>573</v>
      </c>
      <c r="D1795" s="2" t="str">
        <f t="shared" si="27"/>
        <v>Error?</v>
      </c>
    </row>
    <row r="1796" spans="1:4" x14ac:dyDescent="0.2">
      <c r="A1796" s="5">
        <v>1735</v>
      </c>
      <c r="B1796" s="138">
        <f>'Tax Sched 23'!F8</f>
        <v>988.96</v>
      </c>
      <c r="C1796" s="2" t="s">
        <v>573</v>
      </c>
      <c r="D1796" s="2" t="str">
        <f t="shared" si="27"/>
        <v>Error?</v>
      </c>
    </row>
    <row r="1797" spans="1:4" x14ac:dyDescent="0.2">
      <c r="A1797" s="5">
        <v>1736</v>
      </c>
      <c r="B1797" s="138">
        <f>'Tax Sched 23'!F10</f>
        <v>2823.95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16798.32</v>
      </c>
      <c r="C1800" s="2" t="s">
        <v>573</v>
      </c>
      <c r="D1800" s="2" t="str">
        <f t="shared" si="27"/>
        <v>Error?</v>
      </c>
    </row>
    <row r="1801" spans="1:4" x14ac:dyDescent="0.2">
      <c r="A1801" s="5">
        <v>1740</v>
      </c>
      <c r="B1801" s="138">
        <f>'Tax Sched 23'!F12</f>
        <v>2823.95</v>
      </c>
      <c r="C1801" s="2" t="s">
        <v>573</v>
      </c>
      <c r="D1801" s="2" t="str">
        <f t="shared" si="27"/>
        <v>Error?</v>
      </c>
    </row>
    <row r="1802" spans="1:4" x14ac:dyDescent="0.2">
      <c r="A1802" s="5">
        <v>1741</v>
      </c>
      <c r="B1802" s="138">
        <f>'Tax Sched 23'!F14</f>
        <v>1141.73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180054.14000000004</v>
      </c>
      <c r="C1807" s="2" t="s">
        <v>573</v>
      </c>
      <c r="D1807" s="2" t="str">
        <f t="shared" si="27"/>
        <v>Error?</v>
      </c>
    </row>
    <row r="1808" spans="1:4" x14ac:dyDescent="0.2">
      <c r="A1808" s="5">
        <v>1747</v>
      </c>
      <c r="B1808" s="138">
        <f>'Tax Sched 23'!E4</f>
        <v>74873.060000000012</v>
      </c>
      <c r="D1808" s="2" t="str">
        <f t="shared" si="27"/>
        <v>Error?</v>
      </c>
    </row>
    <row r="1809" spans="1:4" x14ac:dyDescent="0.2">
      <c r="A1809" s="5">
        <v>1748</v>
      </c>
      <c r="B1809" s="138">
        <f>'Tax Sched 23'!E5</f>
        <v>14098.4</v>
      </c>
      <c r="D1809" s="2" t="str">
        <f t="shared" si="27"/>
        <v>Error?</v>
      </c>
    </row>
    <row r="1810" spans="1:4" x14ac:dyDescent="0.2">
      <c r="A1810" s="5">
        <v>1749</v>
      </c>
      <c r="B1810" s="138">
        <f>'Tax Sched 23'!E6</f>
        <v>57754.64</v>
      </c>
      <c r="D1810" s="2" t="str">
        <f t="shared" si="27"/>
        <v>Error?</v>
      </c>
    </row>
    <row r="1811" spans="1:4" x14ac:dyDescent="0.2">
      <c r="A1811" s="5">
        <v>1750</v>
      </c>
      <c r="B1811" s="138">
        <f>'Tax Sched 23'!E7</f>
        <v>6774.85</v>
      </c>
      <c r="D1811" s="2" t="str">
        <f t="shared" si="27"/>
        <v>Error?</v>
      </c>
    </row>
    <row r="1812" spans="1:4" x14ac:dyDescent="0.2">
      <c r="A1812" s="5">
        <v>1751</v>
      </c>
      <c r="B1812" s="138">
        <f>'Tax Sched 23'!E8</f>
        <v>988.96</v>
      </c>
      <c r="D1812" s="2" t="str">
        <f t="shared" si="27"/>
        <v>Error?</v>
      </c>
    </row>
    <row r="1813" spans="1:4" x14ac:dyDescent="0.2">
      <c r="A1813" s="5">
        <v>1752</v>
      </c>
      <c r="B1813" s="138">
        <f>'Tax Sched 23'!E10</f>
        <v>2823.95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16798.32</v>
      </c>
      <c r="D1816" s="2" t="str">
        <f t="shared" si="27"/>
        <v>Error?</v>
      </c>
    </row>
    <row r="1817" spans="1:4" x14ac:dyDescent="0.2">
      <c r="A1817" s="5">
        <v>1756</v>
      </c>
      <c r="B1817" s="138">
        <f>'Tax Sched 23'!E12</f>
        <v>2823.95</v>
      </c>
      <c r="D1817" s="2" t="str">
        <f t="shared" si="27"/>
        <v>Error?</v>
      </c>
    </row>
    <row r="1818" spans="1:4" x14ac:dyDescent="0.2">
      <c r="A1818" s="5">
        <v>1757</v>
      </c>
      <c r="B1818" s="138">
        <f>'Tax Sched 23'!E14</f>
        <v>1141.73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180054.14000000004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52300</v>
      </c>
      <c r="C1939" s="2" t="s">
        <v>573</v>
      </c>
      <c r="D1939" s="2" t="str">
        <f t="shared" si="29"/>
        <v>Error?</v>
      </c>
    </row>
    <row r="1940" spans="1:5" x14ac:dyDescent="0.2">
      <c r="A1940" s="5">
        <v>1879</v>
      </c>
      <c r="B1940" s="138">
        <f>'Short-Term Long-Term Debt 24'!F49</f>
        <v>225000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1077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1077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1077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1200</v>
      </c>
      <c r="D2008" s="2" t="str">
        <f t="shared" si="30"/>
        <v>Error?</v>
      </c>
    </row>
    <row r="2009" spans="1:4" x14ac:dyDescent="0.2">
      <c r="A2009" s="5">
        <v>1948</v>
      </c>
      <c r="B2009" s="138">
        <f>'Cap Outlay Deprec 26'!C8</f>
        <v>280238</v>
      </c>
      <c r="D2009" s="2" t="str">
        <f t="shared" si="30"/>
        <v>Error?</v>
      </c>
    </row>
    <row r="2010" spans="1:4" x14ac:dyDescent="0.2">
      <c r="A2010" s="5">
        <v>1949</v>
      </c>
      <c r="B2010" s="138">
        <f>'Cap Outlay Deprec 26'!C10</f>
        <v>2610</v>
      </c>
      <c r="D2010" s="2" t="str">
        <f t="shared" si="30"/>
        <v>Error?</v>
      </c>
    </row>
    <row r="2011" spans="1:4" x14ac:dyDescent="0.2">
      <c r="A2011" s="5">
        <v>1950</v>
      </c>
      <c r="B2011" s="138">
        <f>'Cap Outlay Deprec 26'!C12</f>
        <v>134065</v>
      </c>
      <c r="D2011" s="2" t="str">
        <f t="shared" si="30"/>
        <v>Error?</v>
      </c>
    </row>
    <row r="2012" spans="1:4" x14ac:dyDescent="0.2">
      <c r="A2012" s="5">
        <v>1951</v>
      </c>
      <c r="B2012" s="138">
        <f>'Cap Outlay Deprec 26'!C13</f>
        <v>105030</v>
      </c>
      <c r="D2012" s="2" t="str">
        <f t="shared" si="30"/>
        <v>Error?</v>
      </c>
    </row>
    <row r="2013" spans="1:4" x14ac:dyDescent="0.2">
      <c r="A2013" s="5">
        <v>1952</v>
      </c>
      <c r="B2013" s="138">
        <f>'Cap Outlay Deprec 26'!C16</f>
        <v>538143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4912</v>
      </c>
      <c r="D2018" s="2" t="str">
        <f t="shared" si="30"/>
        <v>Error?</v>
      </c>
    </row>
    <row r="2019" spans="1:4" x14ac:dyDescent="0.2">
      <c r="A2019" s="5">
        <v>1958</v>
      </c>
      <c r="B2019" s="138">
        <f>'Cap Outlay Deprec 26'!D16</f>
        <v>4912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1200</v>
      </c>
      <c r="C2026" s="2" t="s">
        <v>573</v>
      </c>
      <c r="D2026" s="2" t="str">
        <f t="shared" si="30"/>
        <v>Error?</v>
      </c>
    </row>
    <row r="2027" spans="1:4" x14ac:dyDescent="0.2">
      <c r="A2027" s="5">
        <v>1966</v>
      </c>
      <c r="B2027" s="138">
        <f>'Cap Outlay Deprec 26'!F8</f>
        <v>280238</v>
      </c>
      <c r="C2027" s="2" t="s">
        <v>573</v>
      </c>
      <c r="D2027" s="2" t="str">
        <f t="shared" si="30"/>
        <v>Error?</v>
      </c>
    </row>
    <row r="2028" spans="1:4" x14ac:dyDescent="0.2">
      <c r="A2028" s="5">
        <v>1967</v>
      </c>
      <c r="B2028" s="138">
        <f>'Cap Outlay Deprec 26'!F10</f>
        <v>2610</v>
      </c>
      <c r="C2028" s="2" t="s">
        <v>573</v>
      </c>
      <c r="D2028" s="2" t="str">
        <f t="shared" si="30"/>
        <v>Error?</v>
      </c>
    </row>
    <row r="2029" spans="1:4" x14ac:dyDescent="0.2">
      <c r="A2029" s="5">
        <v>1968</v>
      </c>
      <c r="B2029" s="138">
        <f>'Cap Outlay Deprec 26'!F12</f>
        <v>134065</v>
      </c>
      <c r="C2029" s="2" t="s">
        <v>573</v>
      </c>
      <c r="D2029" s="2" t="str">
        <f t="shared" si="30"/>
        <v>Error?</v>
      </c>
    </row>
    <row r="2030" spans="1:4" x14ac:dyDescent="0.2">
      <c r="A2030" s="5">
        <v>1969</v>
      </c>
      <c r="B2030" s="138">
        <f>'Cap Outlay Deprec 26'!F13</f>
        <v>109942</v>
      </c>
      <c r="C2030" s="2" t="s">
        <v>573</v>
      </c>
      <c r="D2030" s="2" t="str">
        <f t="shared" si="30"/>
        <v>Error?</v>
      </c>
    </row>
    <row r="2031" spans="1:4" x14ac:dyDescent="0.2">
      <c r="A2031" s="5">
        <v>1970</v>
      </c>
      <c r="B2031" s="138">
        <f>'Cap Outlay Deprec 26'!F16</f>
        <v>543055</v>
      </c>
      <c r="C2031" s="2" t="s">
        <v>573</v>
      </c>
      <c r="D2031" s="2" t="str">
        <f t="shared" si="30"/>
        <v>Error?</v>
      </c>
    </row>
    <row r="2032" spans="1:4" x14ac:dyDescent="0.2">
      <c r="A2032" s="10">
        <v>1971</v>
      </c>
      <c r="D2032" s="2" t="str">
        <f t="shared" si="30"/>
        <v>OK</v>
      </c>
    </row>
    <row r="2033" spans="1:4" x14ac:dyDescent="0.2">
      <c r="A2033" s="5">
        <v>1972</v>
      </c>
      <c r="B2033" s="138">
        <f>'Cap Outlay Deprec 26'!H8</f>
        <v>143481</v>
      </c>
      <c r="D2033" s="2" t="str">
        <f t="shared" si="30"/>
        <v>Error?</v>
      </c>
    </row>
    <row r="2034" spans="1:4" x14ac:dyDescent="0.2">
      <c r="A2034" s="5">
        <v>1973</v>
      </c>
      <c r="B2034" s="138">
        <f>'Cap Outlay Deprec 26'!H10</f>
        <v>1017</v>
      </c>
      <c r="D2034" s="2" t="str">
        <f t="shared" si="30"/>
        <v>Error?</v>
      </c>
    </row>
    <row r="2035" spans="1:4" x14ac:dyDescent="0.2">
      <c r="A2035" s="5">
        <v>1974</v>
      </c>
      <c r="B2035" s="138">
        <f>'Cap Outlay Deprec 26'!H12</f>
        <v>129983</v>
      </c>
      <c r="D2035" s="2" t="str">
        <f t="shared" si="30"/>
        <v>Error?</v>
      </c>
    </row>
    <row r="2036" spans="1:4" x14ac:dyDescent="0.2">
      <c r="A2036" s="5">
        <v>1975</v>
      </c>
      <c r="B2036" s="138">
        <f>'Cap Outlay Deprec 26'!H13</f>
        <v>92736</v>
      </c>
      <c r="D2036" s="2" t="str">
        <f t="shared" si="30"/>
        <v>Error?</v>
      </c>
    </row>
    <row r="2037" spans="1:4" x14ac:dyDescent="0.2">
      <c r="A2037" s="5">
        <v>1976</v>
      </c>
      <c r="B2037" s="138">
        <f>'Cap Outlay Deprec 26'!H16</f>
        <v>368717</v>
      </c>
      <c r="C2037" s="2" t="s">
        <v>573</v>
      </c>
      <c r="D2037" s="2" t="str">
        <f t="shared" si="30"/>
        <v>Error?</v>
      </c>
    </row>
    <row r="2038" spans="1:4" x14ac:dyDescent="0.2">
      <c r="A2038" s="10">
        <v>1977</v>
      </c>
      <c r="D2038" s="2" t="str">
        <f t="shared" si="30"/>
        <v>OK</v>
      </c>
    </row>
    <row r="2039" spans="1:4" x14ac:dyDescent="0.2">
      <c r="A2039" s="5">
        <v>1978</v>
      </c>
      <c r="B2039" s="138">
        <f>'Cap Outlay Deprec 26'!I8</f>
        <v>5931</v>
      </c>
      <c r="D2039" s="2" t="str">
        <f t="shared" si="30"/>
        <v>Error?</v>
      </c>
    </row>
    <row r="2040" spans="1:4" x14ac:dyDescent="0.2">
      <c r="A2040" s="5">
        <v>1979</v>
      </c>
      <c r="B2040" s="138">
        <f>'Cap Outlay Deprec 26'!I10</f>
        <v>112</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12300</v>
      </c>
      <c r="D2042" s="2" t="str">
        <f t="shared" si="30"/>
        <v>Error?</v>
      </c>
    </row>
    <row r="2043" spans="1:4" x14ac:dyDescent="0.2">
      <c r="A2043" s="5">
        <v>1982</v>
      </c>
      <c r="B2043" s="138">
        <f>'Cap Outlay Deprec 26'!I16</f>
        <v>19224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149412</v>
      </c>
      <c r="C2051" s="2" t="s">
        <v>573</v>
      </c>
      <c r="D2051" s="2" t="str">
        <f t="shared" si="31"/>
        <v>Error?</v>
      </c>
    </row>
    <row r="2052" spans="1:4" x14ac:dyDescent="0.2">
      <c r="A2052" s="5">
        <v>1991</v>
      </c>
      <c r="B2052" s="138">
        <f>'Cap Outlay Deprec 26'!K10</f>
        <v>1129</v>
      </c>
      <c r="C2052" s="2" t="s">
        <v>573</v>
      </c>
      <c r="D2052" s="2" t="str">
        <f t="shared" si="31"/>
        <v>Error?</v>
      </c>
    </row>
    <row r="2053" spans="1:4" x14ac:dyDescent="0.2">
      <c r="A2053" s="5">
        <v>1992</v>
      </c>
      <c r="B2053" s="138">
        <f>'Cap Outlay Deprec 26'!K12</f>
        <v>129983</v>
      </c>
      <c r="C2053" s="2" t="s">
        <v>573</v>
      </c>
      <c r="D2053" s="2" t="str">
        <f t="shared" si="31"/>
        <v>Error?</v>
      </c>
    </row>
    <row r="2054" spans="1:4" x14ac:dyDescent="0.2">
      <c r="A2054" s="5">
        <v>1993</v>
      </c>
      <c r="B2054" s="138">
        <f>'Cap Outlay Deprec 26'!K13</f>
        <v>105036</v>
      </c>
      <c r="C2054" s="2" t="s">
        <v>573</v>
      </c>
      <c r="D2054" s="2" t="str">
        <f t="shared" si="31"/>
        <v>Error?</v>
      </c>
    </row>
    <row r="2055" spans="1:4" x14ac:dyDescent="0.2">
      <c r="A2055" s="5">
        <v>1994</v>
      </c>
      <c r="B2055" s="138">
        <f>'Cap Outlay Deprec 26'!K16</f>
        <v>387941</v>
      </c>
      <c r="C2055" s="2" t="s">
        <v>573</v>
      </c>
      <c r="D2055" s="2" t="str">
        <f t="shared" si="31"/>
        <v>Error?</v>
      </c>
    </row>
    <row r="2056" spans="1:4" x14ac:dyDescent="0.2">
      <c r="A2056" s="5">
        <v>1995</v>
      </c>
      <c r="B2056" s="138">
        <f>'Cap Outlay Deprec 26'!L5</f>
        <v>1200</v>
      </c>
      <c r="C2056" s="2" t="s">
        <v>573</v>
      </c>
      <c r="D2056" s="2" t="str">
        <f t="shared" si="31"/>
        <v>Error?</v>
      </c>
    </row>
    <row r="2057" spans="1:4" x14ac:dyDescent="0.2">
      <c r="A2057" s="5">
        <v>1996</v>
      </c>
      <c r="B2057" s="138">
        <f>'Cap Outlay Deprec 26'!L8</f>
        <v>130826</v>
      </c>
      <c r="C2057" s="2" t="s">
        <v>573</v>
      </c>
      <c r="D2057" s="2" t="str">
        <f t="shared" si="31"/>
        <v>Error?</v>
      </c>
    </row>
    <row r="2058" spans="1:4" x14ac:dyDescent="0.2">
      <c r="A2058" s="5">
        <v>1997</v>
      </c>
      <c r="B2058" s="138">
        <f>'Cap Outlay Deprec 26'!L10</f>
        <v>1481</v>
      </c>
      <c r="C2058" s="2" t="s">
        <v>573</v>
      </c>
      <c r="D2058" s="2" t="str">
        <f t="shared" si="31"/>
        <v>Error?</v>
      </c>
    </row>
    <row r="2059" spans="1:4" x14ac:dyDescent="0.2">
      <c r="A2059" s="5">
        <v>1998</v>
      </c>
      <c r="B2059" s="138">
        <f>'Cap Outlay Deprec 26'!L12</f>
        <v>4082</v>
      </c>
      <c r="C2059" s="2" t="s">
        <v>573</v>
      </c>
      <c r="D2059" s="2" t="str">
        <f t="shared" si="31"/>
        <v>Error?</v>
      </c>
    </row>
    <row r="2060" spans="1:4" x14ac:dyDescent="0.2">
      <c r="A2060" s="5">
        <v>1999</v>
      </c>
      <c r="B2060" s="138">
        <f>'Cap Outlay Deprec 26'!L13</f>
        <v>4906</v>
      </c>
      <c r="C2060" s="2" t="s">
        <v>573</v>
      </c>
      <c r="D2060" s="2" t="str">
        <f t="shared" si="31"/>
        <v>Error?</v>
      </c>
    </row>
    <row r="2061" spans="1:4" x14ac:dyDescent="0.2">
      <c r="A2061" s="5">
        <v>2000</v>
      </c>
      <c r="B2061" s="138">
        <f>'Cap Outlay Deprec 26'!L16</f>
        <v>155114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107.96000000000001</v>
      </c>
      <c r="C2088" s="2" t="s">
        <v>573</v>
      </c>
      <c r="D2088" s="2" t="str">
        <f t="shared" si="31"/>
        <v>Error?</v>
      </c>
    </row>
    <row r="2089" spans="1:4" x14ac:dyDescent="0.2">
      <c r="A2089" s="5">
        <v>2028</v>
      </c>
      <c r="B2089" s="138">
        <f>'Expenditures 15-22'!K92</f>
        <v>38273.440000000002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193000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4138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113014.85</v>
      </c>
      <c r="C2551" s="2" t="s">
        <v>573</v>
      </c>
      <c r="D2551" s="2" t="str">
        <f t="shared" si="38"/>
        <v>Error?</v>
      </c>
    </row>
    <row r="2552" spans="1:4" x14ac:dyDescent="0.2">
      <c r="A2552" s="10">
        <v>2491</v>
      </c>
      <c r="D2552" s="2" t="str">
        <f t="shared" si="38"/>
        <v>OK</v>
      </c>
    </row>
    <row r="2553" spans="1:4" x14ac:dyDescent="0.2">
      <c r="A2553" s="5">
        <v>2492</v>
      </c>
      <c r="B2553" s="138">
        <f>'Acct Summary 7-8'!C6</f>
        <v>347863.55</v>
      </c>
      <c r="C2553" s="2" t="s">
        <v>573</v>
      </c>
      <c r="D2553" s="2" t="str">
        <f t="shared" si="38"/>
        <v>Error?</v>
      </c>
    </row>
    <row r="2554" spans="1:4" x14ac:dyDescent="0.2">
      <c r="A2554" s="5">
        <v>2493</v>
      </c>
      <c r="B2554" s="138">
        <f>'Acct Summary 7-8'!C7</f>
        <v>40767.67</v>
      </c>
      <c r="C2554" s="2" t="s">
        <v>573</v>
      </c>
      <c r="D2554" s="2" t="str">
        <f t="shared" si="38"/>
        <v>Error?</v>
      </c>
    </row>
    <row r="2555" spans="1:4" x14ac:dyDescent="0.2">
      <c r="A2555" s="5">
        <v>2494</v>
      </c>
      <c r="B2555" s="138">
        <f>'Acct Summary 7-8'!C8</f>
        <v>501646.07</v>
      </c>
      <c r="C2555" s="2" t="s">
        <v>573</v>
      </c>
      <c r="D2555" s="2" t="str">
        <f t="shared" si="38"/>
        <v>Error?</v>
      </c>
    </row>
    <row r="2556" spans="1:4" x14ac:dyDescent="0.2">
      <c r="A2556" s="5">
        <v>2495</v>
      </c>
      <c r="B2556" s="138">
        <f>'Acct Summary 7-8'!C12</f>
        <v>205713.05</v>
      </c>
      <c r="C2556" s="2" t="s">
        <v>573</v>
      </c>
      <c r="D2556" s="2" t="str">
        <f t="shared" si="38"/>
        <v>Error?</v>
      </c>
    </row>
    <row r="2557" spans="1:4" x14ac:dyDescent="0.2">
      <c r="A2557" s="5">
        <v>2496</v>
      </c>
      <c r="B2557" s="138">
        <f>'Acct Summary 7-8'!C13</f>
        <v>220095.1</v>
      </c>
      <c r="C2557" s="2" t="s">
        <v>573</v>
      </c>
      <c r="D2557" s="2" t="str">
        <f t="shared" si="38"/>
        <v>Error?</v>
      </c>
    </row>
    <row r="2558" spans="1:4" x14ac:dyDescent="0.2">
      <c r="A2558" s="5">
        <v>2497</v>
      </c>
      <c r="B2558" s="138">
        <f>'Acct Summary 7-8'!C14</f>
        <v>1752.6599999999999</v>
      </c>
      <c r="C2558" s="2" t="s">
        <v>573</v>
      </c>
      <c r="D2558" s="2" t="str">
        <f t="shared" si="38"/>
        <v>Error?</v>
      </c>
    </row>
    <row r="2559" spans="1:4" x14ac:dyDescent="0.2">
      <c r="A2559" s="5">
        <v>2498</v>
      </c>
      <c r="B2559" s="138">
        <f>'Acct Summary 7-8'!C15</f>
        <v>58409.51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485970.32</v>
      </c>
      <c r="C2561" s="2" t="s">
        <v>573</v>
      </c>
      <c r="D2561" s="2" t="str">
        <f t="shared" si="39"/>
        <v>Error?</v>
      </c>
    </row>
    <row r="2562" spans="1:4" x14ac:dyDescent="0.2">
      <c r="A2562" s="5">
        <v>2501</v>
      </c>
      <c r="B2562" s="138">
        <f>'Acct Summary 7-8'!C20</f>
        <v>15675.75</v>
      </c>
      <c r="C2562" s="2" t="s">
        <v>573</v>
      </c>
      <c r="D2562" s="2" t="str">
        <f t="shared" si="39"/>
        <v>Error?</v>
      </c>
    </row>
    <row r="2563" spans="1:4" x14ac:dyDescent="0.2">
      <c r="A2563" s="5">
        <v>2502</v>
      </c>
      <c r="B2563" s="138">
        <f>'Acct Summary 7-8'!C80</f>
        <v>-2443</v>
      </c>
      <c r="D2563" s="2" t="str">
        <f t="shared" si="39"/>
        <v>Error?</v>
      </c>
    </row>
    <row r="2564" spans="1:4" x14ac:dyDescent="0.2">
      <c r="A2564" s="5">
        <v>2503</v>
      </c>
      <c r="B2564" s="138">
        <f>'Acct Summary 7-8'!D4</f>
        <v>13488.740000000002</v>
      </c>
      <c r="C2564" s="2" t="s">
        <v>573</v>
      </c>
      <c r="D2564" s="2" t="str">
        <f t="shared" si="39"/>
        <v>Error?</v>
      </c>
    </row>
    <row r="2565" spans="1:4" x14ac:dyDescent="0.2">
      <c r="A2565" s="10">
        <v>2504</v>
      </c>
      <c r="D2565" s="2" t="str">
        <f t="shared" si="39"/>
        <v>OK</v>
      </c>
    </row>
    <row r="2566" spans="1:4" x14ac:dyDescent="0.2">
      <c r="A2566" s="5">
        <v>2505</v>
      </c>
      <c r="B2566" s="138">
        <f>'Acct Summary 7-8'!D6</f>
        <v>17000</v>
      </c>
      <c r="C2566" s="2" t="s">
        <v>573</v>
      </c>
      <c r="D2566" s="2" t="str">
        <f t="shared" si="39"/>
        <v>Error?</v>
      </c>
    </row>
    <row r="2567" spans="1:4" x14ac:dyDescent="0.2">
      <c r="A2567" s="5">
        <v>2506</v>
      </c>
      <c r="B2567" s="138">
        <f>'Acct Summary 7-8'!D7</f>
        <v>123.4</v>
      </c>
      <c r="C2567" s="2" t="s">
        <v>573</v>
      </c>
      <c r="D2567" s="2" t="str">
        <f t="shared" si="39"/>
        <v>Error?</v>
      </c>
    </row>
    <row r="2568" spans="1:4" x14ac:dyDescent="0.2">
      <c r="A2568" s="5">
        <v>2507</v>
      </c>
      <c r="B2568" s="138">
        <f>'Acct Summary 7-8'!D8</f>
        <v>30612.140000000003</v>
      </c>
      <c r="C2568" s="2" t="s">
        <v>573</v>
      </c>
      <c r="D2568" s="2" t="str">
        <f t="shared" si="39"/>
        <v>Error?</v>
      </c>
    </row>
    <row r="2569" spans="1:4" x14ac:dyDescent="0.2">
      <c r="A2569" s="5">
        <v>2508</v>
      </c>
      <c r="B2569" s="138">
        <f>'Acct Summary 7-8'!D13</f>
        <v>25574.36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25574.36</v>
      </c>
      <c r="C2573" s="2" t="s">
        <v>573</v>
      </c>
      <c r="D2573" s="2" t="str">
        <f t="shared" si="39"/>
        <v>Error?</v>
      </c>
    </row>
    <row r="2574" spans="1:4" x14ac:dyDescent="0.2">
      <c r="A2574" s="5">
        <v>2513</v>
      </c>
      <c r="B2574" s="138">
        <f>'Acct Summary 7-8'!D20</f>
        <v>5037.7800000000025</v>
      </c>
      <c r="C2574" s="2" t="s">
        <v>573</v>
      </c>
      <c r="D2574" s="2" t="str">
        <f t="shared" si="39"/>
        <v>Error?</v>
      </c>
    </row>
    <row r="2575" spans="1:4" x14ac:dyDescent="0.2">
      <c r="A2575" s="5">
        <v>2514</v>
      </c>
      <c r="B2575" s="138">
        <f>'Acct Summary 7-8'!D80</f>
        <v>246</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6531.5</v>
      </c>
      <c r="C2591" s="2" t="s">
        <v>573</v>
      </c>
      <c r="D2591" s="2" t="str">
        <f t="shared" si="39"/>
        <v>Error?</v>
      </c>
    </row>
    <row r="2592" spans="1:4" x14ac:dyDescent="0.2">
      <c r="A2592" s="10">
        <v>2531</v>
      </c>
      <c r="D2592" s="2" t="str">
        <f t="shared" si="39"/>
        <v>OK</v>
      </c>
    </row>
    <row r="2593" spans="1:4" x14ac:dyDescent="0.2">
      <c r="A2593" s="5">
        <v>2532</v>
      </c>
      <c r="B2593" s="138">
        <f>'Acct Summary 7-8'!F6</f>
        <v>34911.03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41442.53</v>
      </c>
      <c r="C2595" s="2" t="s">
        <v>573</v>
      </c>
      <c r="D2595" s="2" t="str">
        <f t="shared" si="39"/>
        <v>Error?</v>
      </c>
    </row>
    <row r="2596" spans="1:4" x14ac:dyDescent="0.2">
      <c r="A2596" s="5">
        <v>2535</v>
      </c>
      <c r="B2596" s="138">
        <f>'Acct Summary 7-8'!F13</f>
        <v>29956.35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29956.35</v>
      </c>
      <c r="C2600" s="2" t="s">
        <v>573</v>
      </c>
      <c r="D2600" s="2" t="str">
        <f t="shared" si="39"/>
        <v>Error?</v>
      </c>
    </row>
    <row r="2601" spans="1:4" x14ac:dyDescent="0.2">
      <c r="A2601" s="5">
        <v>2540</v>
      </c>
      <c r="B2601" s="138">
        <f>'Acct Summary 7-8'!F20</f>
        <v>11486.18</v>
      </c>
      <c r="C2601" s="2" t="s">
        <v>573</v>
      </c>
      <c r="D2601" s="2" t="str">
        <f t="shared" si="39"/>
        <v>Error?</v>
      </c>
    </row>
    <row r="2602" spans="1:4" x14ac:dyDescent="0.2">
      <c r="A2602" s="5">
        <v>2541</v>
      </c>
      <c r="B2602" s="138">
        <f>'Acct Summary 7-8'!F80</f>
        <v>2032</v>
      </c>
      <c r="D2602" s="2" t="str">
        <f t="shared" si="39"/>
        <v>Error?</v>
      </c>
    </row>
    <row r="2603" spans="1:4" x14ac:dyDescent="0.2">
      <c r="A2603" s="5">
        <v>2542</v>
      </c>
      <c r="B2603" s="138">
        <f>'Acct Summary 7-8'!G4</f>
        <v>6436.9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6436.9</v>
      </c>
      <c r="C2606" s="2" t="s">
        <v>573</v>
      </c>
      <c r="D2606" s="2" t="str">
        <f t="shared" si="39"/>
        <v>Error?</v>
      </c>
    </row>
    <row r="2607" spans="1:4" x14ac:dyDescent="0.2">
      <c r="A2607" s="5">
        <v>2546</v>
      </c>
      <c r="B2607" s="138">
        <f>'Acct Summary 7-8'!G12</f>
        <v>3187.98</v>
      </c>
      <c r="C2607" s="2" t="s">
        <v>573</v>
      </c>
      <c r="D2607" s="2" t="str">
        <f t="shared" si="39"/>
        <v>Error?</v>
      </c>
    </row>
    <row r="2608" spans="1:4" x14ac:dyDescent="0.2">
      <c r="A2608" s="5">
        <v>2547</v>
      </c>
      <c r="B2608" s="138">
        <f>'Acct Summary 7-8'!G13</f>
        <v>4093.13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7281.1100000000006</v>
      </c>
      <c r="C2612" s="2" t="s">
        <v>573</v>
      </c>
      <c r="D2612" s="2" t="str">
        <f t="shared" si="39"/>
        <v>Error?</v>
      </c>
    </row>
    <row r="2613" spans="1:4" x14ac:dyDescent="0.2">
      <c r="A2613" s="5">
        <v>2552</v>
      </c>
      <c r="B2613" s="138">
        <f>'Acct Summary 7-8'!G20</f>
        <v>-844.21000000000095</v>
      </c>
      <c r="C2613" s="2" t="s">
        <v>573</v>
      </c>
      <c r="D2613" s="2" t="str">
        <f t="shared" si="39"/>
        <v>Error?</v>
      </c>
    </row>
    <row r="2614" spans="1:4" x14ac:dyDescent="0.2">
      <c r="A2614" s="5">
        <v>2553</v>
      </c>
      <c r="B2614" s="138">
        <f>'Acct Summary 7-8'!G80</f>
        <v>108</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55019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55019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63262.7</v>
      </c>
      <c r="C2634" s="2" t="s">
        <v>573</v>
      </c>
      <c r="D2634" s="2" t="str">
        <f t="shared" si="40"/>
        <v>Error?</v>
      </c>
    </row>
    <row r="2635" spans="1:4" x14ac:dyDescent="0.2">
      <c r="A2635" s="5">
        <v>2574</v>
      </c>
      <c r="B2635" s="138">
        <f>'Acct Summary 7-8'!E17</f>
        <v>63262.7</v>
      </c>
      <c r="C2635" s="2" t="s">
        <v>573</v>
      </c>
      <c r="D2635" s="2" t="str">
        <f t="shared" si="40"/>
        <v>Error?</v>
      </c>
    </row>
    <row r="2636" spans="1:4" x14ac:dyDescent="0.2">
      <c r="A2636" s="5">
        <v>2575</v>
      </c>
      <c r="B2636" s="138">
        <f>'Acct Summary 7-8'!E20</f>
        <v>-8243.6999999999971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107.96000000000001</v>
      </c>
      <c r="C2789" s="2" t="s">
        <v>573</v>
      </c>
      <c r="D2789" s="2" t="str">
        <f t="shared" si="42"/>
        <v>Error?</v>
      </c>
    </row>
    <row r="2790" spans="1:4" x14ac:dyDescent="0.2">
      <c r="A2790" s="5">
        <v>2729</v>
      </c>
      <c r="B2790" s="138">
        <f>'Expenditures 15-22'!E102</f>
        <v>107.96000000000001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18046</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3500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220046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226526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5310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226526</v>
      </c>
      <c r="D2912" s="2" t="str">
        <f t="shared" si="44"/>
        <v>Error?</v>
      </c>
    </row>
    <row r="2913" spans="1:4" x14ac:dyDescent="0.2">
      <c r="A2913" s="5">
        <v>2852</v>
      </c>
      <c r="B2913" s="138">
        <f>'Assets-Liab 5-6'!I41</f>
        <v>226526</v>
      </c>
      <c r="C2913" s="2" t="s">
        <v>573</v>
      </c>
      <c r="D2913" s="2" t="str">
        <f t="shared" si="44"/>
        <v>Error?</v>
      </c>
    </row>
    <row r="2914" spans="1:4" x14ac:dyDescent="0.2">
      <c r="A2914" s="5">
        <v>2853</v>
      </c>
      <c r="B2914" s="138">
        <f>'Assets-Liab 5-6'!L33</f>
        <v>5310</v>
      </c>
      <c r="D2914" s="2" t="str">
        <f t="shared" si="44"/>
        <v>Error?</v>
      </c>
    </row>
    <row r="2915" spans="1:4" x14ac:dyDescent="0.2">
      <c r="A2915" s="10">
        <v>2854</v>
      </c>
      <c r="D2915" s="2" t="str">
        <f t="shared" si="44"/>
        <v>OK</v>
      </c>
    </row>
    <row r="2916" spans="1:4" x14ac:dyDescent="0.2">
      <c r="A2916" s="5">
        <v>2855</v>
      </c>
      <c r="B2916" s="138">
        <f>'Assets-Liab 5-6'!L34</f>
        <v>5310</v>
      </c>
      <c r="C2916" s="2" t="s">
        <v>573</v>
      </c>
      <c r="D2916" s="2" t="str">
        <f t="shared" si="44"/>
        <v>Error?</v>
      </c>
    </row>
    <row r="2917" spans="1:4" x14ac:dyDescent="0.2">
      <c r="A2917" s="5">
        <v>2856</v>
      </c>
      <c r="B2917" s="138">
        <f>'Assets-Liab 5-6'!L41</f>
        <v>5310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75</v>
      </c>
      <c r="D2949" s="2" t="str">
        <f t="shared" si="45"/>
        <v>Error?</v>
      </c>
    </row>
    <row r="2950" spans="1:4" x14ac:dyDescent="0.2">
      <c r="A2950" s="5">
        <v>2889</v>
      </c>
      <c r="B2950" s="138">
        <f>'Expenditures 15-22'!E79</f>
        <v>32.96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75</v>
      </c>
      <c r="C2973" s="2" t="s">
        <v>573</v>
      </c>
      <c r="D2973" s="2" t="str">
        <f t="shared" si="45"/>
        <v>Error?</v>
      </c>
    </row>
    <row r="2974" spans="1:4" x14ac:dyDescent="0.2">
      <c r="A2974" s="5">
        <v>2913</v>
      </c>
      <c r="B2974" s="138">
        <f>'Expenditures 15-22'!K79</f>
        <v>32.96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8500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2701.83</v>
      </c>
      <c r="C3225" s="2" t="s">
        <v>573</v>
      </c>
      <c r="D3225" s="2" t="str">
        <f t="shared" si="49"/>
        <v>Error?</v>
      </c>
    </row>
    <row r="3226" spans="1:4" x14ac:dyDescent="0.2">
      <c r="A3226" s="5">
        <v>3165</v>
      </c>
      <c r="B3226" s="138">
        <f>'Acct Summary 7-8'!I8</f>
        <v>2701.83</v>
      </c>
      <c r="C3226" s="2" t="s">
        <v>573</v>
      </c>
      <c r="D3226" s="2" t="str">
        <f t="shared" si="49"/>
        <v>Error?</v>
      </c>
    </row>
    <row r="3227" spans="1:4" x14ac:dyDescent="0.2">
      <c r="A3227" s="5">
        <v>3166</v>
      </c>
      <c r="B3227" s="138">
        <f>'Acct Summary 7-8'!I20</f>
        <v>2701.83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120000</v>
      </c>
      <c r="C3232" s="2" t="s">
        <v>573</v>
      </c>
      <c r="D3232" s="2" t="str">
        <f t="shared" si="49"/>
        <v>Error?</v>
      </c>
    </row>
    <row r="3233" spans="1:4" x14ac:dyDescent="0.2">
      <c r="A3233" s="5">
        <v>3172</v>
      </c>
      <c r="B3233" s="138">
        <f>'Acct Summary 7-8'!C78</f>
        <v>135675.75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47000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47000</v>
      </c>
      <c r="C3238" s="2" t="s">
        <v>573</v>
      </c>
      <c r="D3238" s="2" t="str">
        <f t="shared" si="49"/>
        <v>Error?</v>
      </c>
    </row>
    <row r="3239" spans="1:4" x14ac:dyDescent="0.2">
      <c r="A3239" s="5">
        <v>3178</v>
      </c>
      <c r="B3239" s="138">
        <f>'Acct Summary 7-8'!D78</f>
        <v>52037.78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26000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26000</v>
      </c>
      <c r="C3255" s="2" t="s">
        <v>573</v>
      </c>
      <c r="D3255" s="2" t="str">
        <f t="shared" si="49"/>
        <v>Error?</v>
      </c>
    </row>
    <row r="3256" spans="1:4" x14ac:dyDescent="0.2">
      <c r="A3256" s="5">
        <v>3195</v>
      </c>
      <c r="B3256" s="138">
        <f>'Acct Summary 7-8'!F78</f>
        <v>37486.18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-844.21000000000095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8500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8500</v>
      </c>
      <c r="C3277" s="2" t="s">
        <v>573</v>
      </c>
      <c r="D3277" s="2" t="str">
        <f t="shared" si="50"/>
        <v>Error?</v>
      </c>
    </row>
    <row r="3278" spans="1:4" x14ac:dyDescent="0.2">
      <c r="A3278" s="5">
        <v>3217</v>
      </c>
      <c r="B3278" s="138">
        <f>'Acct Summary 7-8'!E78</f>
        <v>256.30000000000291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220046</v>
      </c>
      <c r="C3317" s="2" t="s">
        <v>573</v>
      </c>
      <c r="D3317" s="2" t="str">
        <f t="shared" si="50"/>
        <v>Error?</v>
      </c>
    </row>
    <row r="3318" spans="1:4" x14ac:dyDescent="0.2">
      <c r="A3318" s="5">
        <v>3257</v>
      </c>
      <c r="B3318" s="138">
        <f>'Acct Summary 7-8'!I76</f>
        <v>193000</v>
      </c>
      <c r="C3318" s="2" t="s">
        <v>573</v>
      </c>
      <c r="D3318" s="2" t="str">
        <f t="shared" si="50"/>
        <v>Error?</v>
      </c>
    </row>
    <row r="3319" spans="1:4" x14ac:dyDescent="0.2">
      <c r="A3319" s="5">
        <v>3258</v>
      </c>
      <c r="B3319" s="138">
        <f>'Acct Summary 7-8'!I77</f>
        <v>27046</v>
      </c>
      <c r="C3319" s="2" t="s">
        <v>573</v>
      </c>
      <c r="D3319" s="2" t="str">
        <f t="shared" si="50"/>
        <v>Error?</v>
      </c>
    </row>
    <row r="3320" spans="1:4" x14ac:dyDescent="0.2">
      <c r="A3320" s="5">
        <v>3259</v>
      </c>
      <c r="B3320" s="138">
        <f>'Acct Summary 7-8'!I78</f>
        <v>29747.83</v>
      </c>
      <c r="C3320" s="2" t="s">
        <v>573</v>
      </c>
      <c r="D3320" s="2" t="str">
        <f t="shared" si="50"/>
        <v>Error?</v>
      </c>
    </row>
    <row r="3321" spans="1:4" x14ac:dyDescent="0.2">
      <c r="A3321" s="5">
        <v>3260</v>
      </c>
      <c r="B3321" s="138">
        <f>'Acct Summary 7-8'!I79</f>
        <v>196778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226525.83000000002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28469.78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10163.64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38654.14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3187.98</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3187.98</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205121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60874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10138</v>
      </c>
      <c r="D3417" s="2" t="str">
        <f t="shared" si="52"/>
        <v>Error?</v>
      </c>
    </row>
    <row r="3418" spans="1:4" x14ac:dyDescent="0.2">
      <c r="A3418" s="10">
        <v>3357</v>
      </c>
      <c r="D3418" s="2" t="str">
        <f t="shared" si="52"/>
        <v>OK</v>
      </c>
    </row>
    <row r="3419" spans="1:4" x14ac:dyDescent="0.2">
      <c r="A3419" s="5">
        <v>3358</v>
      </c>
      <c r="B3419" s="138">
        <f>'Assets-Liab 5-6'!F4</f>
        <v>74261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10997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5310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1863.82</v>
      </c>
      <c r="C3446" s="2" t="s">
        <v>573</v>
      </c>
      <c r="D3446" s="2" t="str">
        <f t="shared" si="52"/>
        <v>Error?</v>
      </c>
    </row>
    <row r="3447" spans="1:4" x14ac:dyDescent="0.2">
      <c r="A3447" s="5">
        <v>3386</v>
      </c>
      <c r="B3447" s="138">
        <f>'Tax Sched 23'!D16</f>
        <v>1863.82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1976.28</v>
      </c>
      <c r="C3449" s="2" t="s">
        <v>573</v>
      </c>
      <c r="D3449" s="2" t="str">
        <f t="shared" si="52"/>
        <v>Error?</v>
      </c>
    </row>
    <row r="3450" spans="1:4" x14ac:dyDescent="0.2">
      <c r="A3450" s="5">
        <v>3389</v>
      </c>
      <c r="B3450" s="138">
        <f>'Tax Sched 23'!E16</f>
        <v>1976.28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4929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4929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4929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4929</v>
      </c>
      <c r="C3568" s="2" t="s">
        <v>573</v>
      </c>
      <c r="D3568" s="2" t="str">
        <f t="shared" si="54"/>
        <v>Error?</v>
      </c>
    </row>
    <row r="3569" spans="1:4" x14ac:dyDescent="0.2">
      <c r="A3569" s="5">
        <v>3508</v>
      </c>
      <c r="B3569" s="138">
        <f>'Acct Summary 7-8'!K4</f>
        <v>2701.83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2701.83</v>
      </c>
      <c r="C3571" s="2" t="s">
        <v>573</v>
      </c>
      <c r="D3571" s="2" t="str">
        <f t="shared" si="54"/>
        <v>Error?</v>
      </c>
    </row>
    <row r="3572" spans="1:4" x14ac:dyDescent="0.2">
      <c r="A3572" s="5">
        <v>3511</v>
      </c>
      <c r="B3572" s="138">
        <f>'Acct Summary 7-8'!K13</f>
        <v>2639.82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2639.82</v>
      </c>
      <c r="C3575" s="2" t="s">
        <v>573</v>
      </c>
      <c r="D3575" s="2" t="str">
        <f t="shared" si="54"/>
        <v>Error?</v>
      </c>
    </row>
    <row r="3576" spans="1:4" x14ac:dyDescent="0.2">
      <c r="A3576" s="5">
        <v>3515</v>
      </c>
      <c r="B3576" s="138">
        <f>'Acct Summary 7-8'!K20</f>
        <v>62.009999999999764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62.009999999999764</v>
      </c>
      <c r="C3588" s="2" t="s">
        <v>573</v>
      </c>
      <c r="D3588" s="2" t="str">
        <f t="shared" si="55"/>
        <v>Error?</v>
      </c>
    </row>
    <row r="3589" spans="1:4" x14ac:dyDescent="0.2">
      <c r="A3589" s="5">
        <v>3528</v>
      </c>
      <c r="B3589" s="138">
        <f>'Acct Summary 7-8'!K79</f>
        <v>4809</v>
      </c>
      <c r="D3589" s="2" t="str">
        <f t="shared" si="55"/>
        <v>Error?</v>
      </c>
    </row>
    <row r="3590" spans="1:4" x14ac:dyDescent="0.2">
      <c r="A3590" s="5">
        <v>3529</v>
      </c>
      <c r="B3590" s="138">
        <f>'Acct Summary 7-8'!K80</f>
        <v>58</v>
      </c>
      <c r="D3590" s="2" t="str">
        <f t="shared" si="55"/>
        <v>Error?</v>
      </c>
    </row>
    <row r="3591" spans="1:4" x14ac:dyDescent="0.2">
      <c r="A3591" s="5">
        <v>3530</v>
      </c>
      <c r="B3591" s="138">
        <f>'Acct Summary 7-8'!K81</f>
        <v>4929.01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2511.5100000000002</v>
      </c>
      <c r="D3632" s="2" t="str">
        <f t="shared" si="55"/>
        <v>Error?</v>
      </c>
    </row>
    <row r="3633" spans="1:4" x14ac:dyDescent="0.2">
      <c r="A3633" s="5">
        <v>3572</v>
      </c>
      <c r="B3633" s="138">
        <f>'Expenditures 15-22'!E350</f>
        <v>2511.5100000000002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2511.5100000000002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128.31</v>
      </c>
      <c r="D3639" s="2" t="str">
        <f t="shared" si="55"/>
        <v>Error?</v>
      </c>
    </row>
    <row r="3640" spans="1:4" x14ac:dyDescent="0.2">
      <c r="A3640" s="5">
        <v>3579</v>
      </c>
      <c r="B3640" s="138">
        <f>'Expenditures 15-22'!F350</f>
        <v>128.31</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128.31</v>
      </c>
      <c r="C3642" s="2" t="s">
        <v>573</v>
      </c>
      <c r="D3642" s="2" t="str">
        <f t="shared" si="55"/>
        <v>Error?</v>
      </c>
    </row>
    <row r="3643" spans="1:4" x14ac:dyDescent="0.2">
      <c r="A3643" s="5">
        <v>3582</v>
      </c>
      <c r="B3643" s="138">
        <f>'Expenditures 15-22'!F367</f>
        <v>128.31</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2639.82</v>
      </c>
      <c r="C3669" s="2" t="s">
        <v>573</v>
      </c>
      <c r="D3669" s="2" t="str">
        <f t="shared" si="56"/>
        <v>Error?</v>
      </c>
    </row>
    <row r="3670" spans="1:4" x14ac:dyDescent="0.2">
      <c r="A3670" s="5">
        <v>3609</v>
      </c>
      <c r="B3670" s="138">
        <f>'Expenditures 15-22'!K350</f>
        <v>2639.82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2639.82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2639.82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62.009999999999764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26239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527885.07000000007</v>
      </c>
      <c r="C4122" s="2" t="s">
        <v>573</v>
      </c>
      <c r="D4122" s="2" t="str">
        <f t="shared" si="63"/>
        <v>Error?</v>
      </c>
    </row>
    <row r="4123" spans="1:4" x14ac:dyDescent="0.2">
      <c r="A4123" s="5">
        <v>4062</v>
      </c>
      <c r="B4123" s="138">
        <f>'Acct Summary 7-8'!D10</f>
        <v>30612.140000000003</v>
      </c>
      <c r="C4123" s="2" t="s">
        <v>573</v>
      </c>
      <c r="D4123" s="2" t="str">
        <f t="shared" si="63"/>
        <v>Error?</v>
      </c>
    </row>
    <row r="4124" spans="1:4" x14ac:dyDescent="0.2">
      <c r="A4124" s="5">
        <v>4063</v>
      </c>
      <c r="B4124" s="138">
        <f>'Acct Summary 7-8'!E10</f>
        <v>55019</v>
      </c>
      <c r="C4124" s="2" t="s">
        <v>573</v>
      </c>
      <c r="D4124" s="2" t="str">
        <f t="shared" si="63"/>
        <v>Error?</v>
      </c>
    </row>
    <row r="4125" spans="1:4" x14ac:dyDescent="0.2">
      <c r="A4125" s="5">
        <v>4064</v>
      </c>
      <c r="B4125" s="138">
        <f>'Acct Summary 7-8'!F10</f>
        <v>41442.53</v>
      </c>
      <c r="C4125" s="2" t="s">
        <v>573</v>
      </c>
      <c r="D4125" s="2" t="str">
        <f t="shared" si="63"/>
        <v>Error?</v>
      </c>
    </row>
    <row r="4126" spans="1:4" x14ac:dyDescent="0.2">
      <c r="A4126" s="5">
        <v>4065</v>
      </c>
      <c r="B4126" s="138">
        <f>'Acct Summary 7-8'!G10</f>
        <v>6436.9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2701.83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2701.83</v>
      </c>
      <c r="C4130" s="2" t="s">
        <v>573</v>
      </c>
      <c r="D4130" s="2" t="str">
        <f t="shared" si="63"/>
        <v>Error?</v>
      </c>
    </row>
    <row r="4131" spans="1:4" x14ac:dyDescent="0.2">
      <c r="A4131" s="5">
        <v>4070</v>
      </c>
      <c r="B4131" s="138">
        <f>'Acct Summary 7-8'!C18</f>
        <v>26239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512209.32</v>
      </c>
      <c r="C4136" s="2" t="s">
        <v>573</v>
      </c>
      <c r="D4136" s="2" t="str">
        <f t="shared" si="63"/>
        <v>Error?</v>
      </c>
    </row>
    <row r="4137" spans="1:4" x14ac:dyDescent="0.2">
      <c r="A4137" s="5">
        <v>4076</v>
      </c>
      <c r="B4137" s="138">
        <f>'Acct Summary 7-8'!D19</f>
        <v>25574.36</v>
      </c>
      <c r="C4137" s="2" t="s">
        <v>573</v>
      </c>
      <c r="D4137" s="2" t="str">
        <f t="shared" si="63"/>
        <v>Error?</v>
      </c>
    </row>
    <row r="4138" spans="1:4" x14ac:dyDescent="0.2">
      <c r="A4138" s="5">
        <v>4077</v>
      </c>
      <c r="B4138" s="138">
        <f>'Acct Summary 7-8'!E19</f>
        <v>63262.7</v>
      </c>
      <c r="C4138" s="2" t="s">
        <v>573</v>
      </c>
      <c r="D4138" s="2" t="str">
        <f t="shared" si="63"/>
        <v>Error?</v>
      </c>
    </row>
    <row r="4139" spans="1:4" x14ac:dyDescent="0.2">
      <c r="A4139" s="5">
        <v>4078</v>
      </c>
      <c r="B4139" s="138">
        <f>'Acct Summary 7-8'!F19</f>
        <v>29956.35</v>
      </c>
      <c r="C4139" s="2" t="s">
        <v>573</v>
      </c>
      <c r="D4139" s="2" t="str">
        <f t="shared" si="63"/>
        <v>Error?</v>
      </c>
    </row>
    <row r="4140" spans="1:4" x14ac:dyDescent="0.2">
      <c r="A4140" s="5">
        <v>4079</v>
      </c>
      <c r="B4140" s="138">
        <f>'Acct Summary 7-8'!G19</f>
        <v>7281.1100000000006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2639.82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225000</v>
      </c>
      <c r="C4171" s="2" t="s">
        <v>573</v>
      </c>
      <c r="D4171" s="2" t="str">
        <f t="shared" si="64"/>
        <v>Error?</v>
      </c>
    </row>
    <row r="4172" spans="1:4" x14ac:dyDescent="0.2">
      <c r="A4172" s="5">
        <v>4111</v>
      </c>
      <c r="B4172" s="138">
        <f>'Short-Term Long-Term Debt 24'!J49</f>
        <v>10138</v>
      </c>
      <c r="C4172" s="2" t="s">
        <v>573</v>
      </c>
      <c r="D4172" s="2" t="str">
        <f t="shared" si="64"/>
        <v>Error?</v>
      </c>
    </row>
    <row r="4173" spans="1:4" x14ac:dyDescent="0.2">
      <c r="A4173" s="5">
        <v>4112</v>
      </c>
      <c r="B4173" s="138">
        <f>'Short-Term Long-Term Debt 24'!H49</f>
        <v>52300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1001.7349999999999</v>
      </c>
      <c r="C4265" s="2" t="s">
        <v>573</v>
      </c>
      <c r="D4265" s="2" t="str">
        <f t="shared" si="65"/>
        <v>Error?</v>
      </c>
      <c r="E4265" s="128"/>
    </row>
    <row r="4266" spans="1:5" x14ac:dyDescent="0.2">
      <c r="A4266" s="12">
        <v>4205</v>
      </c>
      <c r="B4266" s="138">
        <f>('FP Info 3'!F10)*100000</f>
        <v>187.73</v>
      </c>
      <c r="C4266" s="2" t="s">
        <v>573</v>
      </c>
      <c r="D4266" s="2" t="str">
        <f t="shared" si="65"/>
        <v>Error?</v>
      </c>
      <c r="E4266" s="128"/>
    </row>
    <row r="4267" spans="1:5" x14ac:dyDescent="0.2">
      <c r="A4267" s="12">
        <v>4206</v>
      </c>
      <c r="B4267" s="138">
        <f>('FP Info 3'!H10)*100000</f>
        <v>90.21</v>
      </c>
      <c r="C4267" s="2" t="s">
        <v>573</v>
      </c>
      <c r="D4267" s="2" t="str">
        <f t="shared" si="65"/>
        <v>Error?</v>
      </c>
      <c r="E4267" s="128"/>
    </row>
    <row r="4268" spans="1:5" x14ac:dyDescent="0.2">
      <c r="A4268" s="12">
        <v>4207</v>
      </c>
      <c r="B4268" s="138">
        <f>('FP Info 3'!J10)*100000</f>
        <v>1280</v>
      </c>
      <c r="C4268" s="2" t="s">
        <v>573</v>
      </c>
      <c r="D4268" s="2" t="str">
        <f t="shared" si="65"/>
        <v>Error?</v>
      </c>
    </row>
    <row r="4269" spans="1:5" x14ac:dyDescent="0.2">
      <c r="A4269" s="12">
        <v>4208</v>
      </c>
      <c r="B4269" s="138">
        <f>'FP Info 3'!J16</f>
        <v>804949.54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3032.08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2946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37.599999999999994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8100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123.4</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12028.82</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7540321</v>
      </c>
      <c r="D4995" s="2" t="str">
        <f t="shared" si="77"/>
        <v>Error?</v>
      </c>
    </row>
    <row r="4996" spans="1:4" x14ac:dyDescent="0.2">
      <c r="A4996" s="12">
        <v>4935</v>
      </c>
      <c r="B4996" s="138">
        <f>'FP Info 3'!H31</f>
        <v>520282.14900000003</v>
      </c>
      <c r="D4996" s="2" t="str">
        <f t="shared" si="77"/>
        <v>Error?</v>
      </c>
    </row>
    <row r="4997" spans="1:4" x14ac:dyDescent="0.2">
      <c r="A4997" s="12">
        <v>4936</v>
      </c>
      <c r="B4997" s="138">
        <f>'FP Info 3'!H37</f>
        <v>225000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70732.77</v>
      </c>
      <c r="D5061" s="2" t="str">
        <f t="shared" si="78"/>
        <v>Error?</v>
      </c>
    </row>
    <row r="5062" spans="1:4" x14ac:dyDescent="0.2">
      <c r="A5062" s="10">
        <v>5001</v>
      </c>
      <c r="D5062" s="2" t="str">
        <f t="shared" si="78"/>
        <v>OK</v>
      </c>
    </row>
    <row r="5063" spans="1:4" x14ac:dyDescent="0.2">
      <c r="A5063" s="5">
        <v>5002</v>
      </c>
      <c r="B5063" s="138">
        <f>'Revenues 9-14'!C7</f>
        <v>1076.53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71809.3</v>
      </c>
      <c r="C5066" s="2" t="s">
        <v>573</v>
      </c>
      <c r="D5066" s="2" t="str">
        <f t="shared" si="78"/>
        <v>Error?</v>
      </c>
    </row>
    <row r="5067" spans="1:4" x14ac:dyDescent="0.2">
      <c r="A5067" s="5">
        <v>5006</v>
      </c>
      <c r="B5067" s="138">
        <f>'Revenues 9-14'!C14</f>
        <v>1047.98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7789.46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8837.44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14332.25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14332.25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470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7422.27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1230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1230</v>
      </c>
      <c r="C5112" s="2" t="s">
        <v>573</v>
      </c>
      <c r="D5112" s="2" t="str">
        <f t="shared" si="78"/>
        <v>Error?</v>
      </c>
    </row>
    <row r="5113" spans="1:4" x14ac:dyDescent="0.2">
      <c r="A5113" s="5">
        <v>5052</v>
      </c>
      <c r="B5113" s="138">
        <f>'Revenues 9-14'!C95</f>
        <v>400</v>
      </c>
      <c r="D5113" s="2" t="str">
        <f t="shared" si="78"/>
        <v>Error?</v>
      </c>
    </row>
    <row r="5114" spans="1:4" x14ac:dyDescent="0.2">
      <c r="A5114" s="5">
        <v>5053</v>
      </c>
      <c r="B5114" s="138">
        <f>'Revenues 9-14'!C96</f>
        <v>5451.35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3532.24</v>
      </c>
      <c r="D5119" s="2" t="str">
        <f t="shared" ref="D5119:D5182" si="79">IF(ISBLANK(B5119),"OK",IF(A5119-B5119=0,"OK","Error?"))</f>
        <v>Error?</v>
      </c>
    </row>
    <row r="5120" spans="1:4" x14ac:dyDescent="0.2">
      <c r="A5120" s="5">
        <v>5059</v>
      </c>
      <c r="B5120" s="138">
        <f>'Revenues 9-14'!C108</f>
        <v>9383.59</v>
      </c>
      <c r="C5120" s="2" t="s">
        <v>573</v>
      </c>
      <c r="D5120" s="2" t="str">
        <f t="shared" si="79"/>
        <v>Error?</v>
      </c>
    </row>
    <row r="5121" spans="1:4" x14ac:dyDescent="0.2">
      <c r="A5121" s="5">
        <v>5060</v>
      </c>
      <c r="B5121" s="138">
        <f>'Revenues 9-14'!C109</f>
        <v>113014.85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339628.33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339628.33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135.22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8235.2199999999993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347863.55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12028.82</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10475.58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10475.58</v>
      </c>
      <c r="C5246" s="2" t="s">
        <v>573</v>
      </c>
      <c r="D5246" s="2" t="str">
        <f t="shared" si="80"/>
        <v>Error?</v>
      </c>
    </row>
    <row r="5247" spans="1:4" x14ac:dyDescent="0.2">
      <c r="A5247" s="5">
        <v>5186</v>
      </c>
      <c r="B5247" s="138">
        <f>'Revenues 9-14'!C200</f>
        <v>7210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7210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5075.1899999999996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5075.1899999999996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28738.85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40767.67</v>
      </c>
      <c r="C5326" s="2" t="s">
        <v>573</v>
      </c>
      <c r="D5326" s="2" t="str">
        <f t="shared" si="82"/>
        <v>Error?</v>
      </c>
    </row>
    <row r="5327" spans="1:5" x14ac:dyDescent="0.2">
      <c r="A5327" s="5">
        <v>5266</v>
      </c>
      <c r="B5327" s="138">
        <f>'Revenues 9-14'!C268</f>
        <v>501646.07</v>
      </c>
      <c r="C5327" s="2" t="s">
        <v>573</v>
      </c>
      <c r="D5327" s="2" t="str">
        <f t="shared" si="82"/>
        <v>Error?</v>
      </c>
    </row>
    <row r="5328" spans="1:5" x14ac:dyDescent="0.2">
      <c r="A5328" s="5">
        <v>5267</v>
      </c>
      <c r="B5328" s="138">
        <f>'Revenues 9-14'!D5</f>
        <v>13295.29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13295.29</v>
      </c>
      <c r="C5334" s="2" t="s">
        <v>573</v>
      </c>
      <c r="D5334" s="2" t="str">
        <f t="shared" si="82"/>
        <v>Error?</v>
      </c>
    </row>
    <row r="5335" spans="1:4" x14ac:dyDescent="0.2">
      <c r="A5335" s="5">
        <v>5274</v>
      </c>
      <c r="B5335" s="138">
        <f>'Revenues 9-14'!D14</f>
        <v>193.45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193.45</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13488.740000000002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17000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17000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17000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123.4</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123.4</v>
      </c>
      <c r="C5507" s="2" t="s">
        <v>573</v>
      </c>
      <c r="D5507" s="2" t="str">
        <f t="shared" si="85"/>
        <v>Error?</v>
      </c>
    </row>
    <row r="5508" spans="1:4" x14ac:dyDescent="0.2">
      <c r="A5508" s="5">
        <v>5447</v>
      </c>
      <c r="B5508" s="138">
        <f>'Revenues 9-14'!D268</f>
        <v>30612.140000000003</v>
      </c>
      <c r="C5508" s="2" t="s">
        <v>573</v>
      </c>
      <c r="D5508" s="2" t="str">
        <f t="shared" si="85"/>
        <v>Error?</v>
      </c>
    </row>
    <row r="5509" spans="1:4" x14ac:dyDescent="0.2">
      <c r="A5509" s="5">
        <v>5448</v>
      </c>
      <c r="B5509" s="138">
        <f>'Revenues 9-14'!E5</f>
        <v>54230.16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54230.16</v>
      </c>
      <c r="C5513" s="2" t="s">
        <v>573</v>
      </c>
      <c r="D5513" s="2" t="str">
        <f t="shared" si="85"/>
        <v>Error?</v>
      </c>
    </row>
    <row r="5514" spans="1:4" x14ac:dyDescent="0.2">
      <c r="A5514" s="5">
        <v>5453</v>
      </c>
      <c r="B5514" s="138">
        <f>'Revenues 9-14'!E14</f>
        <v>788.84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788.84</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55019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55019</v>
      </c>
      <c r="C5552" s="2" t="s">
        <v>573</v>
      </c>
      <c r="D5552" s="2" t="str">
        <f t="shared" si="85"/>
        <v>Error?</v>
      </c>
    </row>
    <row r="5553" spans="1:4" x14ac:dyDescent="0.2">
      <c r="A5553" s="5">
        <v>5492</v>
      </c>
      <c r="B5553" s="138">
        <f>'Revenues 9-14'!F5</f>
        <v>6388.54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6388.54</v>
      </c>
      <c r="C5557" s="2" t="s">
        <v>573</v>
      </c>
      <c r="D5557" s="2" t="str">
        <f t="shared" si="85"/>
        <v>Error?</v>
      </c>
    </row>
    <row r="5558" spans="1:4" x14ac:dyDescent="0.2">
      <c r="A5558" s="5">
        <v>5497</v>
      </c>
      <c r="B5558" s="138">
        <f>'Revenues 9-14'!F14</f>
        <v>92.96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92.96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v>
      </c>
      <c r="D5586" s="2" t="str">
        <f t="shared" si="86"/>
        <v>Error?</v>
      </c>
    </row>
    <row r="5587" spans="1:4" x14ac:dyDescent="0.2">
      <c r="A5587" s="5">
        <v>5526</v>
      </c>
      <c r="B5587" s="138">
        <f>'Revenues 9-14'!F108</f>
        <v>50</v>
      </c>
      <c r="C5587" s="2" t="s">
        <v>573</v>
      </c>
      <c r="D5587" s="2" t="str">
        <f t="shared" si="86"/>
        <v>Error?</v>
      </c>
    </row>
    <row r="5588" spans="1:4" x14ac:dyDescent="0.2">
      <c r="A5588" s="5">
        <v>5527</v>
      </c>
      <c r="B5588" s="138">
        <f>'Revenues 9-14'!F109</f>
        <v>6531.5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10500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10500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20349.099999999999</v>
      </c>
      <c r="D5615" s="2" t="str">
        <f t="shared" si="86"/>
        <v>Error?</v>
      </c>
    </row>
    <row r="5616" spans="1:4" x14ac:dyDescent="0.2">
      <c r="A5616" s="10">
        <v>5555</v>
      </c>
      <c r="D5616" s="2" t="str">
        <f t="shared" si="86"/>
        <v>OK</v>
      </c>
    </row>
    <row r="5617" spans="1:5" x14ac:dyDescent="0.2">
      <c r="A5617" s="5">
        <v>5556</v>
      </c>
      <c r="B5617" s="138">
        <f>'Revenues 9-14'!F153</f>
        <v>4061.93</v>
      </c>
      <c r="D5617" s="2" t="str">
        <f t="shared" si="86"/>
        <v>Error?</v>
      </c>
    </row>
    <row r="5618" spans="1:5" x14ac:dyDescent="0.2">
      <c r="A5618" s="5">
        <v>5557</v>
      </c>
      <c r="B5618" s="138">
        <f>'Revenues 9-14'!F155</f>
        <v>24411.03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24411.03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34911.03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41442.53</v>
      </c>
      <c r="C5720" s="2" t="s">
        <v>573</v>
      </c>
      <c r="D5720" s="2" t="str">
        <f t="shared" si="88"/>
        <v>Error?</v>
      </c>
    </row>
    <row r="5721" spans="1:4" x14ac:dyDescent="0.2">
      <c r="A5721" s="5">
        <v>5660</v>
      </c>
      <c r="B5721" s="138">
        <f>'Revenues 9-14'!G5</f>
        <v>932.33</v>
      </c>
      <c r="D5721" s="2" t="str">
        <f t="shared" si="88"/>
        <v>Error?</v>
      </c>
    </row>
    <row r="5722" spans="1:4" x14ac:dyDescent="0.2">
      <c r="A5722" s="5">
        <v>5661</v>
      </c>
      <c r="B5722" s="138">
        <f>'Revenues 9-14'!G7</f>
        <v>0</v>
      </c>
      <c r="D5722" s="2" t="str">
        <f t="shared" si="88"/>
        <v>Error?</v>
      </c>
    </row>
    <row r="5723" spans="1:4" x14ac:dyDescent="0.2">
      <c r="A5723" s="5">
        <v>5662</v>
      </c>
      <c r="B5723" s="138">
        <f>'Revenues 9-14'!G8</f>
        <v>1863.82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2796.15</v>
      </c>
      <c r="C5725" s="2" t="s">
        <v>573</v>
      </c>
      <c r="D5725" s="2" t="str">
        <f t="shared" si="88"/>
        <v>Error?</v>
      </c>
    </row>
    <row r="5726" spans="1:4" x14ac:dyDescent="0.2">
      <c r="A5726" s="5">
        <v>5665</v>
      </c>
      <c r="B5726" s="138">
        <f>'Revenues 9-14'!G14</f>
        <v>40.69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3600.06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3640.75</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6436.9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2663.08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2663.08</v>
      </c>
      <c r="C5918" s="2" t="s">
        <v>573</v>
      </c>
      <c r="D5918" s="2" t="str">
        <f t="shared" si="91"/>
        <v>Error?</v>
      </c>
    </row>
    <row r="5919" spans="1:4" x14ac:dyDescent="0.2">
      <c r="A5919" s="5">
        <v>5858</v>
      </c>
      <c r="B5919" s="138">
        <f>'Revenues 9-14'!I14</f>
        <v>38.75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38.75</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2701.83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2663.08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2663.08</v>
      </c>
      <c r="C5987" s="2" t="s">
        <v>573</v>
      </c>
      <c r="D5987" s="2" t="str">
        <f t="shared" si="92"/>
        <v>Error?</v>
      </c>
    </row>
    <row r="5988" spans="1:4" x14ac:dyDescent="0.2">
      <c r="A5988" s="5">
        <v>5927</v>
      </c>
      <c r="B5988" s="138">
        <f>'Revenues 9-14'!K14</f>
        <v>38.75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38.75</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2701.83</v>
      </c>
      <c r="C6023" s="2" t="s">
        <v>573</v>
      </c>
      <c r="D6023" s="2" t="str">
        <f t="shared" si="93"/>
        <v>Error?</v>
      </c>
    </row>
    <row r="6024" spans="1:5" x14ac:dyDescent="0.2">
      <c r="A6024" s="5">
        <v>5963</v>
      </c>
      <c r="B6024" s="138">
        <f>'Revenues 9-14'!G109</f>
        <v>6436.9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2701.83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2701.83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6952.27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57.86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6000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32631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6000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32631</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32631</v>
      </c>
      <c r="D6216" s="2" t="str">
        <f t="shared" si="96"/>
        <v>Error?</v>
      </c>
      <c r="E6216" s="2" t="s">
        <v>190</v>
      </c>
    </row>
    <row r="6217" spans="1:5" x14ac:dyDescent="0.2">
      <c r="A6217">
        <v>6156</v>
      </c>
      <c r="B6217" s="138">
        <f>'Assets-Liab 5-6'!J4</f>
        <v>32631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16072.08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16072.08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16072.08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9433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9433</v>
      </c>
      <c r="D6229" s="2" t="str">
        <f t="shared" si="96"/>
        <v>Error?</v>
      </c>
      <c r="E6229" s="2" t="s">
        <v>190</v>
      </c>
    </row>
    <row r="6230" spans="1:5" x14ac:dyDescent="0.2">
      <c r="A6230">
        <v>6169</v>
      </c>
      <c r="B6230" s="138">
        <f>'Acct Summary 7-8'!J20</f>
        <v>6639.08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6639.08</v>
      </c>
      <c r="D6263" s="2" t="str">
        <f t="shared" si="96"/>
        <v>Error?</v>
      </c>
      <c r="E6263" s="2" t="s">
        <v>190</v>
      </c>
    </row>
    <row r="6264" spans="1:5" x14ac:dyDescent="0.2">
      <c r="A6264">
        <v>6203</v>
      </c>
      <c r="B6264" s="138">
        <f>'Acct Summary 7-8'!J79</f>
        <v>25992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32631.08</v>
      </c>
      <c r="D6266" s="2" t="str">
        <f t="shared" si="96"/>
        <v>Error?</v>
      </c>
      <c r="E6266" s="2" t="s">
        <v>190</v>
      </c>
    </row>
    <row r="6267" spans="1:5" x14ac:dyDescent="0.2">
      <c r="A6267">
        <v>6206</v>
      </c>
      <c r="B6267" s="138">
        <f>'Acct Summary 7-8'!C82</f>
        <v>133232.75</v>
      </c>
      <c r="D6267" s="2" t="str">
        <f t="shared" si="96"/>
        <v>Error?</v>
      </c>
      <c r="E6267" s="2" t="s">
        <v>190</v>
      </c>
    </row>
    <row r="6268" spans="1:5" x14ac:dyDescent="0.2">
      <c r="A6268">
        <v>6207</v>
      </c>
      <c r="B6268" s="138">
        <f>'Acct Summary 7-8'!D82</f>
        <v>52283.78</v>
      </c>
      <c r="D6268" s="2" t="str">
        <f t="shared" si="96"/>
        <v>Error?</v>
      </c>
      <c r="E6268" s="2" t="s">
        <v>190</v>
      </c>
    </row>
    <row r="6269" spans="1:5" x14ac:dyDescent="0.2">
      <c r="A6269">
        <v>6208</v>
      </c>
      <c r="B6269" s="138">
        <f>'Acct Summary 7-8'!E82</f>
        <v>256.30000000000291</v>
      </c>
      <c r="D6269" s="2" t="str">
        <f t="shared" si="96"/>
        <v>Error?</v>
      </c>
      <c r="E6269" s="2" t="s">
        <v>190</v>
      </c>
    </row>
    <row r="6270" spans="1:5" x14ac:dyDescent="0.2">
      <c r="A6270">
        <v>6209</v>
      </c>
      <c r="B6270" s="138">
        <f>'Acct Summary 7-8'!F82</f>
        <v>39518.179999999993</v>
      </c>
      <c r="D6270" s="2" t="str">
        <f t="shared" si="96"/>
        <v>Error?</v>
      </c>
      <c r="E6270" s="2" t="s">
        <v>190</v>
      </c>
    </row>
    <row r="6271" spans="1:5" x14ac:dyDescent="0.2">
      <c r="A6271">
        <v>6210</v>
      </c>
      <c r="B6271" s="138">
        <f>'Acct Summary 7-8'!G82</f>
        <v>-736.21000000000095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29747.830000000016</v>
      </c>
      <c r="D6273" s="2" t="str">
        <f t="shared" si="97"/>
        <v>Error?</v>
      </c>
      <c r="E6273" s="2" t="s">
        <v>190</v>
      </c>
    </row>
    <row r="6274" spans="1:5" x14ac:dyDescent="0.2">
      <c r="A6274">
        <v>6213</v>
      </c>
      <c r="B6274" s="138">
        <f>'Acct Summary 7-8'!J82</f>
        <v>6639.0800000000017</v>
      </c>
      <c r="D6274" s="2" t="str">
        <f t="shared" si="97"/>
        <v>Error?</v>
      </c>
      <c r="E6274" s="2" t="s">
        <v>190</v>
      </c>
    </row>
    <row r="6275" spans="1:5" x14ac:dyDescent="0.2">
      <c r="A6275">
        <v>6214</v>
      </c>
      <c r="B6275" s="138">
        <f>'Acct Summary 7-8'!K82</f>
        <v>120.01000000000022</v>
      </c>
      <c r="D6275" s="2" t="str">
        <f t="shared" si="97"/>
        <v>Error?</v>
      </c>
      <c r="E6275" s="2" t="s">
        <v>190</v>
      </c>
    </row>
    <row r="6276" spans="1:5" x14ac:dyDescent="0.2">
      <c r="A6276">
        <v>6215</v>
      </c>
      <c r="B6276" s="138">
        <f>'Acct Summary 7-8'!C83</f>
        <v>0.30055522500852999</v>
      </c>
      <c r="D6276" s="2" t="str">
        <f t="shared" si="97"/>
        <v>Error?</v>
      </c>
      <c r="E6276" s="2" t="s">
        <v>190</v>
      </c>
    </row>
    <row r="6277" spans="1:5" x14ac:dyDescent="0.2">
      <c r="A6277">
        <v>6216</v>
      </c>
      <c r="B6277" s="138">
        <f>'Acct Summary 7-8'!D83</f>
        <v>0.85888834240291956</v>
      </c>
      <c r="D6277" s="2" t="str">
        <f t="shared" si="97"/>
        <v>Error?</v>
      </c>
      <c r="E6277" s="2" t="s">
        <v>190</v>
      </c>
    </row>
    <row r="6278" spans="1:5" x14ac:dyDescent="0.2">
      <c r="A6278">
        <v>6217</v>
      </c>
      <c r="B6278" s="138">
        <f>'Acct Summary 7-8'!E83</f>
        <v>6.1933644250055028E-2</v>
      </c>
      <c r="D6278" s="2" t="str">
        <f t="shared" si="97"/>
        <v>Error?</v>
      </c>
      <c r="E6278" s="2" t="s">
        <v>190</v>
      </c>
    </row>
    <row r="6279" spans="1:5" x14ac:dyDescent="0.2">
      <c r="A6279">
        <v>6218</v>
      </c>
      <c r="B6279" s="138">
        <f>'Acct Summary 7-8'!F83</f>
        <v>0.53215125318504231</v>
      </c>
      <c r="D6279" s="2" t="str">
        <f t="shared" si="97"/>
        <v>Error?</v>
      </c>
      <c r="E6279" s="2" t="s">
        <v>190</v>
      </c>
    </row>
    <row r="6280" spans="1:5" x14ac:dyDescent="0.2">
      <c r="A6280">
        <v>6219</v>
      </c>
      <c r="B6280" s="138">
        <f>'Acct Summary 7-8'!G83</f>
        <v>-6.6947718379636326E-2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0.13132202186390848</v>
      </c>
      <c r="D6282" s="2" t="str">
        <f t="shared" si="97"/>
        <v>Error?</v>
      </c>
      <c r="E6282" s="2" t="s">
        <v>190</v>
      </c>
    </row>
    <row r="6283" spans="1:5" x14ac:dyDescent="0.2">
      <c r="A6283">
        <v>6222</v>
      </c>
      <c r="B6283" s="138">
        <f>'Acct Summary 7-8'!J83</f>
        <v>0.20345878836986092</v>
      </c>
      <c r="D6283" s="2" t="str">
        <f t="shared" si="97"/>
        <v>Error?</v>
      </c>
      <c r="E6283" s="2" t="s">
        <v>190</v>
      </c>
    </row>
    <row r="6284" spans="1:5" x14ac:dyDescent="0.2">
      <c r="A6284">
        <v>6223</v>
      </c>
      <c r="B6284" s="138">
        <f>'Acct Summary 7-8'!K83</f>
        <v>2.4347688481054047E-2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15841.58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15841.58</v>
      </c>
      <c r="D6301" s="2" t="str">
        <f t="shared" si="97"/>
        <v>Error?</v>
      </c>
      <c r="E6301" s="2" t="s">
        <v>190</v>
      </c>
    </row>
    <row r="6302" spans="1:5" x14ac:dyDescent="0.2">
      <c r="A6302">
        <v>6241</v>
      </c>
      <c r="B6302" s="138">
        <f>'Revenues 9-14'!J14</f>
        <v>230.5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230.5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16072.08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38273.440000000002</v>
      </c>
      <c r="D6983" s="2" t="str">
        <f t="shared" si="108"/>
        <v>Error?</v>
      </c>
    </row>
    <row r="6984" spans="1:4" x14ac:dyDescent="0.2">
      <c r="A6984">
        <v>6923</v>
      </c>
      <c r="B6984" s="138">
        <f>'Expenditures 15-22'!K86</f>
        <v>38273.440000000002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38273.440000000002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20028.11</v>
      </c>
      <c r="D6998" s="2" t="str">
        <f t="shared" si="108"/>
        <v>Error?</v>
      </c>
    </row>
    <row r="6999" spans="1:4" x14ac:dyDescent="0.2">
      <c r="A6999">
        <v>6938</v>
      </c>
      <c r="B6999" s="138">
        <f>'Expenditures 15-22'!K94</f>
        <v>20028.11</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20028.11</v>
      </c>
      <c r="D7012" s="2" t="str">
        <f t="shared" si="108"/>
        <v>Error?</v>
      </c>
    </row>
    <row r="7013" spans="1:4" x14ac:dyDescent="0.2">
      <c r="A7013">
        <v>6952</v>
      </c>
      <c r="B7013" s="138">
        <f>'Expenditures 15-22'!K100</f>
        <v>20028.11</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9433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16072.08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725</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725</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1134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1134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6924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650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650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9433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9433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9433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9433</v>
      </c>
      <c r="D7224" s="2" t="str">
        <f t="shared" si="111"/>
        <v>Error?</v>
      </c>
    </row>
    <row r="7225" spans="1:4" x14ac:dyDescent="0.2">
      <c r="A7225">
        <v>7164</v>
      </c>
      <c r="B7225" s="138">
        <f>'Expenditures 15-22'!K343</f>
        <v>6639.08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15000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15000</v>
      </c>
      <c r="D7609" s="2" t="str">
        <f t="shared" si="122"/>
        <v>Error?</v>
      </c>
      <c r="E7609" s="2" t="s">
        <v>19</v>
      </c>
    </row>
    <row r="7610" spans="1:5" x14ac:dyDescent="0.2">
      <c r="A7610">
        <f t="shared" si="123"/>
        <v>7549</v>
      </c>
      <c r="B7610" s="138">
        <f>'Cap Outlay Deprec 26'!H9</f>
        <v>1500</v>
      </c>
      <c r="D7610" s="2" t="str">
        <f t="shared" si="122"/>
        <v>Error?</v>
      </c>
      <c r="E7610" s="2" t="s">
        <v>19</v>
      </c>
    </row>
    <row r="7611" spans="1:5" x14ac:dyDescent="0.2">
      <c r="A7611">
        <f t="shared" si="123"/>
        <v>7550</v>
      </c>
      <c r="B7611" s="138">
        <f>'Cap Outlay Deprec 26'!I9</f>
        <v>881</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2381</v>
      </c>
      <c r="D7613" s="2" t="str">
        <f t="shared" si="122"/>
        <v>Error?</v>
      </c>
      <c r="E7613" s="2" t="s">
        <v>19</v>
      </c>
    </row>
    <row r="7614" spans="1:5" x14ac:dyDescent="0.2">
      <c r="A7614">
        <f t="shared" si="123"/>
        <v>7553</v>
      </c>
      <c r="B7614" s="138">
        <f>'Cap Outlay Deprec 26'!L9</f>
        <v>12619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19224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1077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120000</v>
      </c>
      <c r="D7748" s="2" t="str">
        <f t="shared" si="127"/>
        <v>Error?</v>
      </c>
      <c r="E7748" s="4" t="s">
        <v>1333</v>
      </c>
    </row>
    <row r="7749" spans="1:6" x14ac:dyDescent="0.2">
      <c r="A7749">
        <v>7688</v>
      </c>
      <c r="B7749" s="138">
        <f>'Acct Summary 7-8'!D25</f>
        <v>47000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26000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34028.35</v>
      </c>
      <c r="D7797" s="2" t="str">
        <f t="shared" si="127"/>
        <v>Error?</v>
      </c>
      <c r="E7797" s="4" t="s">
        <v>1904</v>
      </c>
    </row>
    <row r="7798" spans="1:5" x14ac:dyDescent="0.2">
      <c r="A7798">
        <v>7737</v>
      </c>
      <c r="B7798" s="138">
        <f>'Contracts Paid in CY 29'!F141</f>
        <v>31528.35</v>
      </c>
      <c r="D7798" s="2" t="str">
        <f t="shared" si="127"/>
        <v>Error?</v>
      </c>
      <c r="E7798" s="4" t="s">
        <v>1904</v>
      </c>
    </row>
    <row r="7799" spans="1:5" x14ac:dyDescent="0.2">
      <c r="A7799">
        <v>7738</v>
      </c>
      <c r="B7799" s="138">
        <f>'Contracts Paid in CY 29'!G141</f>
        <v>2500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0" zoomScale="110" zoomScaleNormal="110" workbookViewId="0">
      <selection activeCell="H56" sqref="H5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Farrington CCSD 99</v>
      </c>
      <c r="B7" s="2383"/>
      <c r="C7" s="2383"/>
      <c r="D7" s="2420"/>
      <c r="E7" s="2421">
        <f>COVER!A13</f>
        <v>13041099004</v>
      </c>
      <c r="F7" s="2422"/>
      <c r="G7" s="2389">
        <f>COVER!T23</f>
        <v>65.028419999999997</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Kujawa &amp; Batteau, P.C.</v>
      </c>
      <c r="H9" s="2396"/>
      <c r="I9" s="2396"/>
      <c r="J9" s="2396"/>
      <c r="K9" s="2396"/>
      <c r="L9" s="2397"/>
    </row>
    <row r="10" spans="1:29" ht="13.5" customHeight="1" x14ac:dyDescent="0.2">
      <c r="A10" s="2379" t="str">
        <f>COVER!A38</f>
        <v>Dana Waggoner</v>
      </c>
      <c r="B10" s="2380"/>
      <c r="C10" s="2380"/>
      <c r="D10" s="2380"/>
      <c r="E10" s="2380"/>
      <c r="F10" s="2381"/>
      <c r="G10" s="2395" t="str">
        <f>COVER!T17</f>
        <v>309 S. Walnut Street</v>
      </c>
      <c r="H10" s="2408"/>
      <c r="I10" s="2408"/>
      <c r="J10" s="2408"/>
      <c r="K10" s="2408"/>
      <c r="L10" s="2409"/>
    </row>
    <row r="11" spans="1:29" ht="13.5" customHeight="1" x14ac:dyDescent="0.2">
      <c r="A11" s="1184" t="s">
        <v>1519</v>
      </c>
      <c r="B11" s="1185"/>
      <c r="C11" s="1186"/>
      <c r="D11" s="1191"/>
      <c r="E11" s="1186"/>
      <c r="F11" s="1190"/>
      <c r="G11" s="2395" t="str">
        <f>COVER!T19</f>
        <v>Pinckneyville</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kbatteau@kandb-cpa.com</v>
      </c>
      <c r="J13" s="2417"/>
      <c r="K13" s="2417"/>
      <c r="L13" s="2418"/>
    </row>
    <row r="14" spans="1:29" ht="13.5" customHeight="1" x14ac:dyDescent="0.2">
      <c r="A14" s="2395" t="str">
        <f>COVER!A19</f>
        <v>20941 East Divide Road</v>
      </c>
      <c r="B14" s="2408"/>
      <c r="C14" s="2408"/>
      <c r="D14" s="2408"/>
      <c r="E14" s="2408"/>
      <c r="F14" s="2409"/>
      <c r="G14" s="1195" t="s">
        <v>1185</v>
      </c>
      <c r="H14" s="1193"/>
      <c r="I14" s="1193"/>
      <c r="J14" s="1193"/>
      <c r="K14" s="1193"/>
      <c r="L14" s="1194"/>
    </row>
    <row r="15" spans="1:29" ht="13.5" customHeight="1" x14ac:dyDescent="0.2">
      <c r="A15" s="2395" t="str">
        <f>COVER!A21</f>
        <v>Bluford</v>
      </c>
      <c r="B15" s="2408"/>
      <c r="C15" s="2408"/>
      <c r="D15" s="2408"/>
      <c r="E15" s="2408"/>
      <c r="F15" s="2409"/>
      <c r="G15" s="2405" t="str">
        <f>COVER!T15</f>
        <v>Kevin Batteau</v>
      </c>
      <c r="H15" s="2406"/>
      <c r="I15" s="2406"/>
      <c r="J15" s="2406"/>
      <c r="K15" s="2406"/>
      <c r="L15" s="2407"/>
    </row>
    <row r="16" spans="1:29" ht="12.2" customHeight="1" x14ac:dyDescent="0.2">
      <c r="A16" s="2385">
        <f>COVER!A25</f>
        <v>62814</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618-357-3000</v>
      </c>
      <c r="H18" s="2383"/>
      <c r="I18" s="2383"/>
      <c r="J18" s="2383"/>
      <c r="K18" s="2382" t="str">
        <f>COVER!X21</f>
        <v>618-357-3654</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integral part of these statements.
&amp;CPage 37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83" sqref="D8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Farrington CCSD 99</v>
      </c>
      <c r="B1" s="2419"/>
      <c r="C1" s="2419"/>
      <c r="D1" s="2419"/>
    </row>
    <row r="2" spans="1:11" s="1212" customFormat="1" ht="12.75" x14ac:dyDescent="0.2">
      <c r="A2" s="2424">
        <f>'Single Audit Cover'!E7</f>
        <v>13041099004</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oddFooter>&amp;LThe notes are an integral part of these statements.
&amp;CPage 38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54" sqref="B5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Farrington CCSD 99</v>
      </c>
      <c r="B1" s="2427"/>
      <c r="C1" s="2427"/>
      <c r="D1" s="2427"/>
      <c r="E1" s="2427"/>
    </row>
    <row r="2" spans="1:5" x14ac:dyDescent="0.2">
      <c r="A2" s="2428">
        <f>'Single Audit Cover'!E7</f>
        <v>13041099004</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40891.07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-3032.08</v>
      </c>
    </row>
    <row r="19" spans="1:4" ht="13.5" thickBot="1" x14ac:dyDescent="0.25">
      <c r="A19" s="1262" t="s">
        <v>1235</v>
      </c>
      <c r="D19" s="1263">
        <f>SUM(D10:D17)</f>
        <v>37858.99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t="s">
        <v>2077</v>
      </c>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37858.99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37858.99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&amp;LThe notes are integral part of these statements.
&amp;CPage 39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9" zoomScaleNormal="100" workbookViewId="0">
      <selection activeCell="F33" sqref="F3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Farrington CCSD 99</v>
      </c>
      <c r="C1" s="2431"/>
      <c r="D1" s="2431"/>
      <c r="E1" s="2431"/>
      <c r="F1" s="2431"/>
      <c r="G1" s="2431"/>
      <c r="H1" s="2431"/>
      <c r="I1" s="2431"/>
      <c r="J1" s="2431"/>
      <c r="K1" s="2431"/>
      <c r="L1" s="2431"/>
      <c r="M1" s="2431"/>
    </row>
    <row r="2" spans="2:14" ht="15" x14ac:dyDescent="0.2">
      <c r="B2" s="2432">
        <f>'Single Audit Cover'!E7</f>
        <v>13041099004</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2077</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&amp;LThe notes are an integral part of these statements. &amp;CPage 40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showWhiteSpace="0" topLeftCell="A36" zoomScale="120" zoomScaleNormal="120" workbookViewId="0">
      <selection activeCell="B56" sqref="B5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Farrington CCSD 99</v>
      </c>
      <c r="B1" s="2436"/>
      <c r="C1" s="2436"/>
      <c r="D1" s="2436"/>
      <c r="E1" s="2436"/>
      <c r="F1" s="2436"/>
    </row>
    <row r="2" spans="1:7" ht="13.5" customHeight="1" x14ac:dyDescent="0.2">
      <c r="A2" s="2432">
        <f>'Single Audit Cover'!E7</f>
        <v>13041099004</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t="s">
        <v>2077</v>
      </c>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1"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2082</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&amp;L&amp;8The notes are an integral part of these statements.&amp;CPage 2</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3" zoomScale="110" zoomScaleNormal="110" workbookViewId="0">
      <selection activeCell="C68" sqref="C6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Farrington CCSD 99</v>
      </c>
      <c r="C1" s="2452"/>
      <c r="D1" s="2452"/>
      <c r="E1" s="2452"/>
      <c r="F1" s="2452"/>
      <c r="G1" s="2452"/>
      <c r="H1" s="2452"/>
      <c r="I1" s="2452"/>
      <c r="J1" s="1406"/>
    </row>
    <row r="2" spans="2:10" s="317" customFormat="1" ht="12.75" customHeight="1" x14ac:dyDescent="0.2">
      <c r="B2" s="2453">
        <f>'Single Audit Cover'!E7</f>
        <v>13041099004</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t="s">
        <v>2077</v>
      </c>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42&amp;C &amp;R&amp;8Page 42</oddHeader>
    <oddFooter>&amp;LThe notes are an integral part of these statements.&amp;CPage 42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5" zoomScale="110" zoomScaleNormal="110" workbookViewId="0">
      <selection activeCell="I43" sqref="I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Farrington CCSD 99</v>
      </c>
      <c r="C1" s="2451"/>
      <c r="D1" s="2451"/>
      <c r="E1" s="2451"/>
      <c r="F1" s="2451"/>
      <c r="G1" s="2451"/>
      <c r="H1" s="2451"/>
      <c r="I1" s="2451"/>
      <c r="J1" s="2451"/>
      <c r="K1" s="2451"/>
      <c r="L1" s="1371"/>
      <c r="M1" s="1371"/>
    </row>
    <row r="2" spans="1:13" ht="12" customHeight="1" x14ac:dyDescent="0.2">
      <c r="B2" s="2453">
        <f>'Single Audit Cover'!E7</f>
        <v>13041099004</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2077</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integral part of these statements
&amp;CPage 43</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8" zoomScale="110" zoomScaleNormal="110" workbookViewId="0">
      <selection activeCell="J44" sqref="J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Farrington CCSD 99</v>
      </c>
      <c r="C1" s="2478"/>
      <c r="D1" s="2478"/>
      <c r="E1" s="2478"/>
      <c r="F1" s="2478"/>
      <c r="G1" s="2478"/>
      <c r="H1" s="2478"/>
      <c r="I1" s="2478"/>
      <c r="J1" s="2478"/>
      <c r="K1" s="2478"/>
      <c r="L1" s="1449"/>
    </row>
    <row r="2" spans="1:12" ht="12.75" customHeight="1" x14ac:dyDescent="0.2">
      <c r="B2" s="2479">
        <f>'Single Audit Cover'!E7</f>
        <v>13041099004</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t="s">
        <v>2077</v>
      </c>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&amp;LThese notes are an integral part of these statements
&amp;CPage 44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Farrington CCSD 99</v>
      </c>
      <c r="C1" s="2451"/>
      <c r="D1" s="2451"/>
      <c r="E1" s="1469"/>
    </row>
    <row r="2" spans="2:5" s="1279" customFormat="1" ht="12.75" customHeight="1" x14ac:dyDescent="0.2">
      <c r="B2" s="2453">
        <f>'Single Audit Cover'!E7</f>
        <v>13041099004</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2077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integral part of these statements.
&amp;CPage 45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J36" sqref="J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7540321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1.001735E-2</v>
      </c>
      <c r="E10" s="356" t="s">
        <v>1005</v>
      </c>
      <c r="F10" s="355">
        <v>1.8772999999999999E-3</v>
      </c>
      <c r="G10" s="356" t="s">
        <v>1005</v>
      </c>
      <c r="H10" s="355">
        <v>9.0209999999999997E-4</v>
      </c>
      <c r="I10" s="356" t="s">
        <v>1006</v>
      </c>
      <c r="J10" s="1732">
        <f>ROUND(D10+F10+H10,5)</f>
        <v>1.2800000000000001E-2</v>
      </c>
      <c r="K10" s="222"/>
      <c r="L10" s="355">
        <v>3.7599999999999998E-4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576402.56999999995</v>
      </c>
      <c r="E16" s="356"/>
      <c r="F16" s="1733">
        <f>SUM('Acct Summary 7-8'!C17,'Acct Summary 7-8'!D17,'Acct Summary 7-8'!F17)</f>
        <v>541501.03</v>
      </c>
      <c r="G16" s="356"/>
      <c r="H16" s="1733">
        <f>SUM(D16-F16)</f>
        <v>34901.539999999921</v>
      </c>
      <c r="I16" s="222"/>
      <c r="J16" s="1733">
        <f>SUM('Acct Summary 7-8'!C81,'Acct Summary 7-8'!D81,'Acct Summary 7-8'!F81,'Acct Summary 7-8'!I81)</f>
        <v>804949.54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586</v>
      </c>
      <c r="D31" s="237" t="s">
        <v>1072</v>
      </c>
      <c r="E31" s="222"/>
      <c r="F31" s="222"/>
      <c r="G31" s="363"/>
      <c r="H31" s="1735">
        <f>IF(B31="X",(J7*0.069),IF(B32="X",(J7*0.138),"Enter x in a.or b."))</f>
        <v>520282.14900000003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firstPageNumber="3" orientation="portrait" useFirstPageNumber="1" r:id="rId1"/>
  <headerFooter alignWithMargins="0">
    <oddHeader>&amp;L&amp;8Page &amp;P&amp;C &amp;R&amp;8Page &amp;P</oddHeader>
    <oddFooter>&amp;L&amp;8The notes are an integral part of these statements.&amp;CPage 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A7" zoomScale="110" zoomScaleNormal="110" workbookViewId="0">
      <selection activeCell="E44" sqref="E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Farrington CCSD 99</v>
      </c>
      <c r="E7" s="391"/>
      <c r="G7" s="252"/>
      <c r="H7" s="387"/>
      <c r="I7" s="387"/>
      <c r="J7" s="387"/>
      <c r="K7" s="387"/>
      <c r="L7" s="329"/>
      <c r="M7" s="329"/>
      <c r="N7" s="329"/>
      <c r="O7" s="329"/>
      <c r="P7" s="329"/>
    </row>
    <row r="8" spans="1:18" ht="12.75" x14ac:dyDescent="0.2">
      <c r="A8" s="329"/>
      <c r="B8" s="329"/>
      <c r="C8" s="389" t="s">
        <v>1125</v>
      </c>
      <c r="D8" s="392">
        <f>COVER!A13</f>
        <v>13041099004</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804949.54</v>
      </c>
      <c r="I12" s="404"/>
      <c r="J12" s="404"/>
      <c r="K12" s="405">
        <f>TRUNC((H12/H13*100000),5)/100000</f>
        <v>1.3965058136000001</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576402.56999999995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541501.03</v>
      </c>
      <c r="I17" s="404"/>
      <c r="J17" s="416"/>
      <c r="K17" s="405">
        <f>TRUNC((H17/H18*100000),5)/100000</f>
        <v>0.93944936779999999</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576402.56999999995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802125</v>
      </c>
      <c r="I24" s="422"/>
      <c r="J24" s="422"/>
      <c r="K24" s="423">
        <f>TRUNC(((H24/H25*100000)/100000),2)</f>
        <v>533.26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1504.1695299999999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82038.692479999998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225000</v>
      </c>
      <c r="I32" s="420"/>
      <c r="J32" s="420"/>
      <c r="K32" s="423">
        <f>TRUNC(100-((((H32/H33*100))*100)/100),2)</f>
        <v>56.75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520282.14900000003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8" firstPageNumber="4" orientation="landscape" useFirstPageNumber="1" r:id="rId3"/>
  <headerFooter alignWithMargins="0">
    <oddHeader>&amp;L&amp;8Page &amp;P&amp;C &amp;R&amp;8Page &amp;P</oddHeader>
    <oddFooter>&amp;L&amp;8The notes are an integral part of these statements.&amp;CPage 4</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A16" colorId="8" zoomScale="110" zoomScaleNormal="110" workbookViewId="0">
      <selection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205121</v>
      </c>
      <c r="D4" s="466">
        <v>60874</v>
      </c>
      <c r="E4" s="466">
        <v>10138</v>
      </c>
      <c r="F4" s="466">
        <v>74261</v>
      </c>
      <c r="G4" s="466">
        <v>10997</v>
      </c>
      <c r="H4" s="466">
        <v>0</v>
      </c>
      <c r="I4" s="466">
        <v>480</v>
      </c>
      <c r="J4" s="467">
        <v>32631</v>
      </c>
      <c r="K4" s="466">
        <v>4929</v>
      </c>
      <c r="L4" s="466">
        <v>5310</v>
      </c>
      <c r="M4" s="468"/>
      <c r="N4" s="469"/>
    </row>
    <row r="5" spans="1:14" x14ac:dyDescent="0.2">
      <c r="A5" s="463" t="s">
        <v>992</v>
      </c>
      <c r="B5" s="470">
        <v>120</v>
      </c>
      <c r="C5" s="465">
        <v>241343</v>
      </c>
      <c r="D5" s="466"/>
      <c r="E5" s="466"/>
      <c r="F5" s="466"/>
      <c r="G5" s="466"/>
      <c r="H5" s="466"/>
      <c r="I5" s="466">
        <v>220046</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6000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446464</v>
      </c>
      <c r="D13" s="1737">
        <f t="shared" ref="D13:L13" si="0">SUM(D4:D12)</f>
        <v>60874</v>
      </c>
      <c r="E13" s="1737">
        <f t="shared" si="0"/>
        <v>10138</v>
      </c>
      <c r="F13" s="1737">
        <f t="shared" si="0"/>
        <v>74261</v>
      </c>
      <c r="G13" s="1737">
        <f t="shared" si="0"/>
        <v>10997</v>
      </c>
      <c r="H13" s="1737">
        <f t="shared" si="0"/>
        <v>0</v>
      </c>
      <c r="I13" s="1737">
        <f t="shared" si="0"/>
        <v>226526</v>
      </c>
      <c r="J13" s="1737">
        <f t="shared" si="0"/>
        <v>32631</v>
      </c>
      <c r="K13" s="1737">
        <f t="shared" si="0"/>
        <v>4929</v>
      </c>
      <c r="L13" s="1737">
        <f t="shared" si="0"/>
        <v>5310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1200</v>
      </c>
      <c r="N16" s="484"/>
    </row>
    <row r="17" spans="1:14" s="485" customFormat="1" ht="12.75" customHeight="1" x14ac:dyDescent="0.2">
      <c r="A17" s="482" t="s">
        <v>1403</v>
      </c>
      <c r="B17" s="483">
        <v>230</v>
      </c>
      <c r="C17" s="477"/>
      <c r="D17" s="477"/>
      <c r="E17" s="477"/>
      <c r="F17" s="477"/>
      <c r="G17" s="477"/>
      <c r="H17" s="477"/>
      <c r="I17" s="477"/>
      <c r="J17" s="477"/>
      <c r="K17" s="477"/>
      <c r="L17" s="477"/>
      <c r="M17" s="467">
        <v>295238</v>
      </c>
      <c r="N17" s="484"/>
    </row>
    <row r="18" spans="1:14" s="485" customFormat="1" ht="12.75" customHeight="1" x14ac:dyDescent="0.2">
      <c r="A18" s="482" t="s">
        <v>1404</v>
      </c>
      <c r="B18" s="483">
        <v>240</v>
      </c>
      <c r="C18" s="477"/>
      <c r="D18" s="477"/>
      <c r="E18" s="477"/>
      <c r="F18" s="477"/>
      <c r="G18" s="477"/>
      <c r="H18" s="477"/>
      <c r="I18" s="477"/>
      <c r="J18" s="477"/>
      <c r="K18" s="477"/>
      <c r="L18" s="477"/>
      <c r="M18" s="467">
        <v>2610</v>
      </c>
      <c r="N18" s="484"/>
    </row>
    <row r="19" spans="1:14" s="485" customFormat="1" ht="12.75" customHeight="1" x14ac:dyDescent="0.2">
      <c r="A19" s="482" t="s">
        <v>1405</v>
      </c>
      <c r="B19" s="483">
        <v>250</v>
      </c>
      <c r="C19" s="477"/>
      <c r="D19" s="477"/>
      <c r="E19" s="477"/>
      <c r="F19" s="477"/>
      <c r="G19" s="477"/>
      <c r="H19" s="477"/>
      <c r="I19" s="477"/>
      <c r="J19" s="477"/>
      <c r="K19" s="477"/>
      <c r="L19" s="477"/>
      <c r="M19" s="467">
        <v>244007</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214862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10138</v>
      </c>
    </row>
    <row r="23" spans="1:14" ht="13.5" customHeight="1" thickBot="1" x14ac:dyDescent="0.25">
      <c r="A23" s="1736" t="s">
        <v>643</v>
      </c>
      <c r="B23" s="1741"/>
      <c r="C23" s="468"/>
      <c r="D23" s="468"/>
      <c r="E23" s="468"/>
      <c r="F23" s="468"/>
      <c r="G23" s="468"/>
      <c r="H23" s="468"/>
      <c r="I23" s="468"/>
      <c r="J23" s="468"/>
      <c r="K23" s="468"/>
      <c r="L23" s="468"/>
      <c r="M23" s="1688">
        <f>SUM(M15:M22)</f>
        <v>543055</v>
      </c>
      <c r="N23" s="1688">
        <f>SUM(N21:N22)</f>
        <v>225000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v>6000</v>
      </c>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3175</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5310</v>
      </c>
      <c r="M33" s="468"/>
      <c r="N33" s="469"/>
    </row>
    <row r="34" spans="1:14" ht="13.5" customHeight="1" thickBot="1" x14ac:dyDescent="0.25">
      <c r="A34" s="1738" t="s">
        <v>654</v>
      </c>
      <c r="B34" s="1739"/>
      <c r="C34" s="1740">
        <f>SUM(C25:C33)</f>
        <v>3175</v>
      </c>
      <c r="D34" s="1740">
        <f t="shared" ref="D34:K34" si="1">SUM(D25:D33)</f>
        <v>0</v>
      </c>
      <c r="E34" s="1740">
        <f t="shared" si="1"/>
        <v>6000</v>
      </c>
      <c r="F34" s="1740">
        <f t="shared" si="1"/>
        <v>0</v>
      </c>
      <c r="G34" s="1740">
        <f t="shared" si="1"/>
        <v>0</v>
      </c>
      <c r="H34" s="1740">
        <f t="shared" si="1"/>
        <v>0</v>
      </c>
      <c r="I34" s="1740">
        <f t="shared" si="1"/>
        <v>0</v>
      </c>
      <c r="J34" s="1740">
        <f t="shared" si="1"/>
        <v>0</v>
      </c>
      <c r="K34" s="1740">
        <f t="shared" si="1"/>
        <v>0</v>
      </c>
      <c r="L34" s="1721">
        <f>SUM(L33)</f>
        <v>5310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225000</v>
      </c>
    </row>
    <row r="37" spans="1:14" ht="13.5" thickBot="1" x14ac:dyDescent="0.25">
      <c r="A37" s="1736" t="s">
        <v>653</v>
      </c>
      <c r="B37" s="1741"/>
      <c r="C37" s="477"/>
      <c r="D37" s="477"/>
      <c r="E37" s="477"/>
      <c r="F37" s="477"/>
      <c r="G37" s="477"/>
      <c r="H37" s="477"/>
      <c r="I37" s="477"/>
      <c r="J37" s="477"/>
      <c r="K37" s="477"/>
      <c r="L37" s="480"/>
      <c r="M37" s="468"/>
      <c r="N37" s="1688">
        <f>SUM(N36:N36)</f>
        <v>225000</v>
      </c>
    </row>
    <row r="38" spans="1:14" s="329" customFormat="1" ht="13.5" customHeight="1" thickTop="1" x14ac:dyDescent="0.2">
      <c r="A38" s="496" t="s">
        <v>420</v>
      </c>
      <c r="B38" s="483">
        <v>714</v>
      </c>
      <c r="C38" s="466"/>
      <c r="D38" s="466">
        <v>0</v>
      </c>
      <c r="E38" s="466">
        <v>4138</v>
      </c>
      <c r="F38" s="466"/>
      <c r="G38" s="466"/>
      <c r="H38" s="466"/>
      <c r="I38" s="466"/>
      <c r="J38" s="467">
        <v>32631</v>
      </c>
      <c r="K38" s="466">
        <v>4929</v>
      </c>
      <c r="L38" s="481"/>
      <c r="M38" s="497"/>
      <c r="N38" s="497"/>
    </row>
    <row r="39" spans="1:14" s="329" customFormat="1" ht="13.5" customHeight="1" x14ac:dyDescent="0.2">
      <c r="A39" s="496" t="s">
        <v>342</v>
      </c>
      <c r="B39" s="483">
        <v>730</v>
      </c>
      <c r="C39" s="466">
        <v>443289</v>
      </c>
      <c r="D39" s="466">
        <v>60874</v>
      </c>
      <c r="E39" s="466"/>
      <c r="F39" s="466">
        <v>74261</v>
      </c>
      <c r="G39" s="466">
        <v>10997</v>
      </c>
      <c r="H39" s="466">
        <v>0</v>
      </c>
      <c r="I39" s="466">
        <v>226526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543055</v>
      </c>
      <c r="N40" s="497"/>
    </row>
    <row r="41" spans="1:14" ht="13.5" customHeight="1" thickBot="1" x14ac:dyDescent="0.25">
      <c r="A41" s="1736" t="s">
        <v>655</v>
      </c>
      <c r="B41" s="1706"/>
      <c r="C41" s="1688">
        <f>(SUM(C34,C37,C38,C39))</f>
        <v>446464</v>
      </c>
      <c r="D41" s="1688">
        <f t="shared" ref="D41:L41" si="2">SUM(D34,D37,D38:D39)</f>
        <v>60874</v>
      </c>
      <c r="E41" s="1688">
        <f t="shared" si="2"/>
        <v>10138</v>
      </c>
      <c r="F41" s="1688">
        <f t="shared" si="2"/>
        <v>74261</v>
      </c>
      <c r="G41" s="1688">
        <f t="shared" si="2"/>
        <v>10997</v>
      </c>
      <c r="H41" s="1688">
        <f t="shared" si="2"/>
        <v>0</v>
      </c>
      <c r="I41" s="1688">
        <f t="shared" si="2"/>
        <v>226526</v>
      </c>
      <c r="J41" s="1688">
        <f t="shared" si="2"/>
        <v>32631</v>
      </c>
      <c r="K41" s="1688">
        <f t="shared" si="2"/>
        <v>4929</v>
      </c>
      <c r="L41" s="1688">
        <f t="shared" si="2"/>
        <v>5310</v>
      </c>
      <c r="M41" s="1688">
        <f>SUM(M40)</f>
        <v>543055</v>
      </c>
      <c r="N41" s="1688">
        <f>SUM(N37)</f>
        <v>225000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52" colorId="8" zoomScale="110" zoomScaleNormal="110" zoomScaleSheetLayoutView="100" workbookViewId="0">
      <selection activeCell="D80" sqref="D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113014.85</v>
      </c>
      <c r="D4" s="1742">
        <f>'Revenues 9-14'!D109</f>
        <v>13488.740000000002</v>
      </c>
      <c r="E4" s="1742">
        <f>'Revenues 9-14'!E109</f>
        <v>55019</v>
      </c>
      <c r="F4" s="1742">
        <f>'Revenues 9-14'!F109</f>
        <v>6531.5</v>
      </c>
      <c r="G4" s="1742">
        <f>'Revenues 9-14'!G109</f>
        <v>6436.9</v>
      </c>
      <c r="H4" s="1742">
        <f>'Revenues 9-14'!H109</f>
        <v>0</v>
      </c>
      <c r="I4" s="1742">
        <f>'Revenues 9-14'!I109</f>
        <v>2701.83</v>
      </c>
      <c r="J4" s="1742">
        <f>'Revenues 9-14'!J109</f>
        <v>16072.08</v>
      </c>
      <c r="K4" s="1742">
        <f>'Revenues 9-14'!K109</f>
        <v>2701.83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347863.55</v>
      </c>
      <c r="D6" s="1743">
        <f>'Revenues 9-14'!D170</f>
        <v>17000</v>
      </c>
      <c r="E6" s="1743">
        <f>'Revenues 9-14'!E170</f>
        <v>0</v>
      </c>
      <c r="F6" s="1743">
        <f>'Revenues 9-14'!F170</f>
        <v>34911.03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40767.67</v>
      </c>
      <c r="D7" s="1743">
        <f>'Revenues 9-14'!D267</f>
        <v>123.4</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501646.07</v>
      </c>
      <c r="D8" s="1688">
        <f t="shared" ref="D8:K8" si="0">SUM(D4:D7)</f>
        <v>30612.140000000003</v>
      </c>
      <c r="E8" s="1688">
        <f t="shared" si="0"/>
        <v>55019</v>
      </c>
      <c r="F8" s="1688">
        <f t="shared" si="0"/>
        <v>41442.53</v>
      </c>
      <c r="G8" s="1688">
        <f t="shared" si="0"/>
        <v>6436.9</v>
      </c>
      <c r="H8" s="1688">
        <f t="shared" si="0"/>
        <v>0</v>
      </c>
      <c r="I8" s="1688">
        <f t="shared" si="0"/>
        <v>2701.83</v>
      </c>
      <c r="J8" s="1688">
        <f t="shared" si="0"/>
        <v>16072.08</v>
      </c>
      <c r="K8" s="1688">
        <f t="shared" si="0"/>
        <v>2701.83</v>
      </c>
      <c r="L8" s="347"/>
    </row>
    <row r="9" spans="1:13" ht="15.75" thickTop="1" x14ac:dyDescent="0.2">
      <c r="A9" s="514" t="s">
        <v>1653</v>
      </c>
      <c r="B9" s="515">
        <v>3998</v>
      </c>
      <c r="C9" s="481">
        <v>26239</v>
      </c>
      <c r="D9" s="516"/>
      <c r="E9" s="481"/>
      <c r="F9" s="481"/>
      <c r="G9" s="517"/>
      <c r="H9" s="481"/>
      <c r="I9" s="509" t="s">
        <v>1169</v>
      </c>
      <c r="J9" s="478"/>
      <c r="K9" s="481"/>
      <c r="L9" s="347"/>
    </row>
    <row r="10" spans="1:13" s="519" customFormat="1" ht="13.5" thickBot="1" x14ac:dyDescent="0.25">
      <c r="A10" s="1736" t="s">
        <v>1173</v>
      </c>
      <c r="B10" s="1709"/>
      <c r="C10" s="1688">
        <f>SUM(C8:C9)</f>
        <v>527885.07000000007</v>
      </c>
      <c r="D10" s="1688">
        <f t="shared" ref="D10:K10" si="1">SUM(D8:D9)</f>
        <v>30612.140000000003</v>
      </c>
      <c r="E10" s="1688">
        <f t="shared" si="1"/>
        <v>55019</v>
      </c>
      <c r="F10" s="1688">
        <f t="shared" si="1"/>
        <v>41442.53</v>
      </c>
      <c r="G10" s="1688">
        <f t="shared" si="1"/>
        <v>6436.9</v>
      </c>
      <c r="H10" s="1688">
        <f t="shared" si="1"/>
        <v>0</v>
      </c>
      <c r="I10" s="1688">
        <f t="shared" si="1"/>
        <v>2701.83</v>
      </c>
      <c r="J10" s="1688">
        <f t="shared" si="1"/>
        <v>16072.08</v>
      </c>
      <c r="K10" s="1688">
        <f t="shared" si="1"/>
        <v>2701.83</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205713.05</v>
      </c>
      <c r="D12" s="520" t="s">
        <v>1169</v>
      </c>
      <c r="E12" s="468" t="s">
        <v>1169</v>
      </c>
      <c r="F12" s="468" t="s">
        <v>1169</v>
      </c>
      <c r="G12" s="1742">
        <f>'Expenditures 15-22'!K229</f>
        <v>3187.98</v>
      </c>
      <c r="H12" s="521"/>
      <c r="I12" s="468" t="s">
        <v>1169</v>
      </c>
      <c r="J12" s="468" t="s">
        <v>1169</v>
      </c>
      <c r="K12" s="521" t="s">
        <v>1169</v>
      </c>
      <c r="L12" s="347"/>
    </row>
    <row r="13" spans="1:13" ht="15.75" customHeight="1" x14ac:dyDescent="0.2">
      <c r="A13" s="1576" t="s">
        <v>457</v>
      </c>
      <c r="B13" s="1578">
        <v>2000</v>
      </c>
      <c r="C13" s="1743">
        <f>'Expenditures 15-22'!K74</f>
        <v>220095.1</v>
      </c>
      <c r="D13" s="1743">
        <f>'Expenditures 15-22'!K129</f>
        <v>25574.36</v>
      </c>
      <c r="E13" s="469" t="s">
        <v>1169</v>
      </c>
      <c r="F13" s="1743">
        <f>'Expenditures 15-22'!K184</f>
        <v>29956.35</v>
      </c>
      <c r="G13" s="1743">
        <f>'Expenditures 15-22'!K279</f>
        <v>4093.13</v>
      </c>
      <c r="H13" s="1743">
        <f>'Expenditures 15-22'!K303</f>
        <v>0</v>
      </c>
      <c r="I13" s="468" t="s">
        <v>1169</v>
      </c>
      <c r="J13" s="1743">
        <f>'Expenditures 15-22'!K330</f>
        <v>9433</v>
      </c>
      <c r="K13" s="1747">
        <f>'Expenditures 15-22'!K352</f>
        <v>2639.82</v>
      </c>
      <c r="L13" s="347"/>
    </row>
    <row r="14" spans="1:13" ht="15.75" customHeight="1" x14ac:dyDescent="0.2">
      <c r="A14" s="1576" t="s">
        <v>449</v>
      </c>
      <c r="B14" s="1578">
        <v>3000</v>
      </c>
      <c r="C14" s="1743">
        <f>'Expenditures 15-22'!K75</f>
        <v>1752.6599999999999</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58409.51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63262.7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485970.32</v>
      </c>
      <c r="D17" s="1688">
        <f t="shared" si="2"/>
        <v>25574.36</v>
      </c>
      <c r="E17" s="1688">
        <f t="shared" si="2"/>
        <v>63262.7</v>
      </c>
      <c r="F17" s="1688">
        <f t="shared" si="2"/>
        <v>29956.35</v>
      </c>
      <c r="G17" s="1688">
        <f t="shared" si="2"/>
        <v>7281.1100000000006</v>
      </c>
      <c r="H17" s="1688">
        <f t="shared" si="2"/>
        <v>0</v>
      </c>
      <c r="I17" s="468"/>
      <c r="J17" s="1688">
        <f>SUM(J12:J16)</f>
        <v>9433</v>
      </c>
      <c r="K17" s="1688">
        <f>SUM(K12:K16)</f>
        <v>2639.82</v>
      </c>
      <c r="L17" s="347"/>
    </row>
    <row r="18" spans="1:12" ht="15" customHeight="1" thickTop="1" x14ac:dyDescent="0.2">
      <c r="A18" s="1744" t="s">
        <v>1654</v>
      </c>
      <c r="B18" s="1745">
        <v>4180</v>
      </c>
      <c r="C18" s="1742">
        <f t="shared" ref="C18:H18" si="3">C9</f>
        <v>26239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512209.32</v>
      </c>
      <c r="D19" s="1688">
        <f t="shared" si="4"/>
        <v>25574.36</v>
      </c>
      <c r="E19" s="1688">
        <f t="shared" si="4"/>
        <v>63262.7</v>
      </c>
      <c r="F19" s="1688">
        <f t="shared" si="4"/>
        <v>29956.35</v>
      </c>
      <c r="G19" s="1688">
        <f t="shared" si="4"/>
        <v>7281.1100000000006</v>
      </c>
      <c r="H19" s="1688">
        <f t="shared" si="4"/>
        <v>0</v>
      </c>
      <c r="I19" s="468"/>
      <c r="J19" s="1688">
        <f>SUM(J17:J18)</f>
        <v>9433</v>
      </c>
      <c r="K19" s="1688">
        <f>SUM(K17:K18)</f>
        <v>2639.82</v>
      </c>
      <c r="L19" s="347"/>
    </row>
    <row r="20" spans="1:12" ht="16.5" thickTop="1" thickBot="1" x14ac:dyDescent="0.25">
      <c r="A20" s="2124" t="s">
        <v>1655</v>
      </c>
      <c r="B20" s="2125"/>
      <c r="C20" s="1746">
        <f>C8-C17</f>
        <v>15675.75</v>
      </c>
      <c r="D20" s="1746">
        <f t="shared" ref="D20:K20" si="5">D8-D17</f>
        <v>5037.7800000000025</v>
      </c>
      <c r="E20" s="1746">
        <f t="shared" si="5"/>
        <v>-8243.6999999999971</v>
      </c>
      <c r="F20" s="1746">
        <f t="shared" si="5"/>
        <v>11486.18</v>
      </c>
      <c r="G20" s="1746">
        <f t="shared" si="5"/>
        <v>-844.21000000000095</v>
      </c>
      <c r="H20" s="1746">
        <f t="shared" si="5"/>
        <v>0</v>
      </c>
      <c r="I20" s="1746">
        <f t="shared" si="5"/>
        <v>2701.83</v>
      </c>
      <c r="J20" s="1746">
        <f t="shared" si="5"/>
        <v>6639.08</v>
      </c>
      <c r="K20" s="1746">
        <f t="shared" si="5"/>
        <v>62.009999999999764</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120000</v>
      </c>
      <c r="D25" s="467">
        <v>47000</v>
      </c>
      <c r="E25" s="467"/>
      <c r="F25" s="467">
        <v>26000</v>
      </c>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v>8500</v>
      </c>
      <c r="F33" s="467"/>
      <c r="G33" s="477"/>
      <c r="H33" s="467"/>
      <c r="I33" s="467">
        <v>216500</v>
      </c>
      <c r="J33" s="467"/>
      <c r="K33" s="467"/>
      <c r="L33" s="524"/>
    </row>
    <row r="34" spans="1:12" s="485" customFormat="1" x14ac:dyDescent="0.2">
      <c r="A34" s="1489" t="s">
        <v>1001</v>
      </c>
      <c r="B34" s="525">
        <v>7220</v>
      </c>
      <c r="C34" s="467"/>
      <c r="D34" s="467"/>
      <c r="E34" s="467"/>
      <c r="F34" s="467"/>
      <c r="G34" s="477"/>
      <c r="H34" s="478"/>
      <c r="I34" s="478">
        <v>3546</v>
      </c>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3">
        <f>SUM(C24:C43)</f>
        <v>120000</v>
      </c>
      <c r="D44" s="1703">
        <f t="shared" ref="D44:K44" si="6">SUM(D24:D43)</f>
        <v>47000</v>
      </c>
      <c r="E44" s="1703">
        <f t="shared" si="6"/>
        <v>8500</v>
      </c>
      <c r="F44" s="1703">
        <f t="shared" si="6"/>
        <v>26000</v>
      </c>
      <c r="G44" s="1703">
        <f t="shared" si="6"/>
        <v>0</v>
      </c>
      <c r="H44" s="1703">
        <f t="shared" si="6"/>
        <v>0</v>
      </c>
      <c r="I44" s="1703">
        <f t="shared" si="6"/>
        <v>220046</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193000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193000</v>
      </c>
      <c r="J76" s="1703">
        <f t="shared" si="7"/>
        <v>0</v>
      </c>
      <c r="K76" s="1703">
        <f t="shared" si="7"/>
        <v>0</v>
      </c>
      <c r="L76" s="524"/>
    </row>
    <row r="77" spans="1:12" ht="14.25" thickTop="1" thickBot="1" x14ac:dyDescent="0.25">
      <c r="A77" s="2116" t="s">
        <v>1177</v>
      </c>
      <c r="B77" s="2117"/>
      <c r="C77" s="1703">
        <f t="shared" ref="C77:K77" si="8">C44-C76</f>
        <v>120000</v>
      </c>
      <c r="D77" s="1703">
        <f t="shared" si="8"/>
        <v>47000</v>
      </c>
      <c r="E77" s="1703">
        <f t="shared" si="8"/>
        <v>8500</v>
      </c>
      <c r="F77" s="1703">
        <f t="shared" si="8"/>
        <v>26000</v>
      </c>
      <c r="G77" s="1703">
        <f t="shared" si="8"/>
        <v>0</v>
      </c>
      <c r="H77" s="1703">
        <f t="shared" si="8"/>
        <v>0</v>
      </c>
      <c r="I77" s="1703">
        <f t="shared" si="8"/>
        <v>27046</v>
      </c>
      <c r="J77" s="1703">
        <f t="shared" si="8"/>
        <v>0</v>
      </c>
      <c r="K77" s="1703">
        <f t="shared" si="8"/>
        <v>0</v>
      </c>
      <c r="L77" s="347"/>
    </row>
    <row r="78" spans="1:12" ht="21.75" customHeight="1" thickTop="1" thickBot="1" x14ac:dyDescent="0.25">
      <c r="A78" s="2120" t="s">
        <v>597</v>
      </c>
      <c r="B78" s="2121"/>
      <c r="C78" s="1702">
        <f t="shared" ref="C78:K78" si="9">C20+C77</f>
        <v>135675.75</v>
      </c>
      <c r="D78" s="1702">
        <f t="shared" si="9"/>
        <v>52037.78</v>
      </c>
      <c r="E78" s="1702">
        <f t="shared" si="9"/>
        <v>256.30000000000291</v>
      </c>
      <c r="F78" s="1702">
        <f t="shared" si="9"/>
        <v>37486.18</v>
      </c>
      <c r="G78" s="1702">
        <f t="shared" si="9"/>
        <v>-844.21000000000095</v>
      </c>
      <c r="H78" s="1702">
        <f t="shared" si="9"/>
        <v>0</v>
      </c>
      <c r="I78" s="1702">
        <f t="shared" si="9"/>
        <v>29747.83</v>
      </c>
      <c r="J78" s="1702">
        <f t="shared" si="9"/>
        <v>6639.08</v>
      </c>
      <c r="K78" s="1702">
        <f t="shared" si="9"/>
        <v>62.009999999999764</v>
      </c>
      <c r="L78" s="533"/>
    </row>
    <row r="79" spans="1:12" ht="13.5" thickTop="1" x14ac:dyDescent="0.2">
      <c r="A79" s="1494" t="s">
        <v>1949</v>
      </c>
      <c r="B79" s="534"/>
      <c r="C79" s="478">
        <v>310056</v>
      </c>
      <c r="D79" s="535">
        <v>8590</v>
      </c>
      <c r="E79" s="535">
        <v>3882</v>
      </c>
      <c r="F79" s="535">
        <v>34743</v>
      </c>
      <c r="G79" s="535">
        <v>11733</v>
      </c>
      <c r="H79" s="535">
        <v>0</v>
      </c>
      <c r="I79" s="535">
        <v>196778</v>
      </c>
      <c r="J79" s="535">
        <v>25992</v>
      </c>
      <c r="K79" s="535">
        <v>4809</v>
      </c>
      <c r="L79" s="347"/>
    </row>
    <row r="80" spans="1:12" x14ac:dyDescent="0.2">
      <c r="A80" s="2126" t="s">
        <v>1795</v>
      </c>
      <c r="B80" s="2127"/>
      <c r="C80" s="467">
        <v>-2443</v>
      </c>
      <c r="D80" s="467">
        <v>246</v>
      </c>
      <c r="E80" s="467"/>
      <c r="F80" s="467">
        <v>2032</v>
      </c>
      <c r="G80" s="467">
        <v>108</v>
      </c>
      <c r="H80" s="467"/>
      <c r="I80" s="467"/>
      <c r="J80" s="467"/>
      <c r="K80" s="467">
        <v>58</v>
      </c>
      <c r="L80" s="347"/>
    </row>
    <row r="81" spans="1:12" ht="13.5" thickBot="1" x14ac:dyDescent="0.25">
      <c r="A81" s="2118" t="s">
        <v>1950</v>
      </c>
      <c r="B81" s="2119"/>
      <c r="C81" s="1688">
        <f>(SUM(C78:C80))</f>
        <v>443288.75</v>
      </c>
      <c r="D81" s="1688">
        <f>SUM(D78:D80)</f>
        <v>60873.78</v>
      </c>
      <c r="E81" s="1688">
        <f t="shared" ref="E81:K81" si="10">SUM(E78:E80)</f>
        <v>4138.3000000000029</v>
      </c>
      <c r="F81" s="1688">
        <f t="shared" si="10"/>
        <v>74261.179999999993</v>
      </c>
      <c r="G81" s="1688">
        <f t="shared" si="10"/>
        <v>10996.789999999999</v>
      </c>
      <c r="H81" s="1688">
        <f t="shared" si="10"/>
        <v>0</v>
      </c>
      <c r="I81" s="1688">
        <f t="shared" si="10"/>
        <v>226525.83000000002</v>
      </c>
      <c r="J81" s="1688">
        <f t="shared" si="10"/>
        <v>32631.08</v>
      </c>
      <c r="K81" s="1688">
        <f t="shared" si="10"/>
        <v>4929.01</v>
      </c>
      <c r="L81" s="347"/>
    </row>
    <row r="82" spans="1:12" ht="0.75" customHeight="1" thickTop="1" thickBot="1" x14ac:dyDescent="0.25">
      <c r="A82" s="536" t="s">
        <v>343</v>
      </c>
      <c r="B82" s="537"/>
      <c r="C82" s="538">
        <f>(C81-C79)</f>
        <v>133232.75</v>
      </c>
      <c r="D82" s="538">
        <f t="shared" ref="D82:K82" si="11">(D81-D79)</f>
        <v>52283.78</v>
      </c>
      <c r="E82" s="538">
        <f t="shared" si="11"/>
        <v>256.30000000000291</v>
      </c>
      <c r="F82" s="538">
        <f t="shared" si="11"/>
        <v>39518.179999999993</v>
      </c>
      <c r="G82" s="538">
        <f t="shared" si="11"/>
        <v>-736.21000000000095</v>
      </c>
      <c r="H82" s="538">
        <f t="shared" si="11"/>
        <v>0</v>
      </c>
      <c r="I82" s="538">
        <f t="shared" si="11"/>
        <v>29747.830000000016</v>
      </c>
      <c r="J82" s="538">
        <f t="shared" si="11"/>
        <v>6639.0800000000017</v>
      </c>
      <c r="K82" s="538">
        <f t="shared" si="11"/>
        <v>120.01000000000022</v>
      </c>
    </row>
    <row r="83" spans="1:12" ht="14.25" hidden="1" thickTop="1" thickBot="1" x14ac:dyDescent="0.25">
      <c r="A83" s="539" t="s">
        <v>344</v>
      </c>
      <c r="B83" s="464"/>
      <c r="C83" s="540">
        <f>C82/C81</f>
        <v>0.30055522500852999</v>
      </c>
      <c r="D83" s="540">
        <f t="shared" ref="D83:K83" si="12">D82/D81</f>
        <v>0.85888834240291956</v>
      </c>
      <c r="E83" s="540">
        <f t="shared" si="12"/>
        <v>6.1933644250055028E-2</v>
      </c>
      <c r="F83" s="540">
        <f t="shared" si="12"/>
        <v>0.53215125318504231</v>
      </c>
      <c r="G83" s="540">
        <f t="shared" si="12"/>
        <v>-6.6947718379636326E-2</v>
      </c>
      <c r="H83" s="540" t="e">
        <f t="shared" si="12"/>
        <v>#DIV/0!</v>
      </c>
      <c r="I83" s="540">
        <f t="shared" si="12"/>
        <v>0.13132202186390848</v>
      </c>
      <c r="J83" s="540">
        <f t="shared" si="12"/>
        <v>0.20345878836986092</v>
      </c>
      <c r="K83" s="540">
        <f t="shared" si="12"/>
        <v>2.4347688481054047E-2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are an intrgral part of these statements.&amp;CPage 7-8</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242" colorId="8" zoomScale="110" zoomScaleNormal="110" zoomScaleSheetLayoutView="75" workbookViewId="0">
      <selection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70732.77</v>
      </c>
      <c r="D5" s="481">
        <v>13295.29</v>
      </c>
      <c r="E5" s="466">
        <v>54230.16</v>
      </c>
      <c r="F5" s="548">
        <v>6388.54</v>
      </c>
      <c r="G5" s="466">
        <v>932.33</v>
      </c>
      <c r="H5" s="466"/>
      <c r="I5" s="466">
        <v>2663.08</v>
      </c>
      <c r="J5" s="467">
        <v>15841.58</v>
      </c>
      <c r="K5" s="466">
        <v>2663.08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1076.53</v>
      </c>
      <c r="D7" s="466"/>
      <c r="E7" s="468"/>
      <c r="F7" s="467"/>
      <c r="G7" s="467"/>
      <c r="H7" s="467"/>
      <c r="I7" s="468"/>
      <c r="J7" s="468"/>
      <c r="K7" s="468"/>
    </row>
    <row r="8" spans="1:12" x14ac:dyDescent="0.2">
      <c r="A8" s="463" t="s">
        <v>413</v>
      </c>
      <c r="B8" s="470">
        <v>1150</v>
      </c>
      <c r="C8" s="475"/>
      <c r="D8" s="475"/>
      <c r="E8" s="477"/>
      <c r="F8" s="477"/>
      <c r="G8" s="481">
        <v>1863.82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71809.3</v>
      </c>
      <c r="D12" s="1707">
        <f t="shared" si="0"/>
        <v>13295.29</v>
      </c>
      <c r="E12" s="1707">
        <f t="shared" si="0"/>
        <v>54230.16</v>
      </c>
      <c r="F12" s="1707">
        <f t="shared" si="0"/>
        <v>6388.54</v>
      </c>
      <c r="G12" s="1707">
        <f t="shared" si="0"/>
        <v>2796.15</v>
      </c>
      <c r="H12" s="1707">
        <f t="shared" si="0"/>
        <v>0</v>
      </c>
      <c r="I12" s="1707">
        <f t="shared" si="0"/>
        <v>2663.08</v>
      </c>
      <c r="J12" s="1707">
        <f t="shared" si="0"/>
        <v>15841.58</v>
      </c>
      <c r="K12" s="1688">
        <f t="shared" si="0"/>
        <v>2663.08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f>1032.32+15.66</f>
        <v>1047.98</v>
      </c>
      <c r="D14" s="466">
        <v>193.45</v>
      </c>
      <c r="E14" s="466">
        <v>788.84</v>
      </c>
      <c r="F14" s="466">
        <v>92.96</v>
      </c>
      <c r="G14" s="466">
        <f>13.57+27.12</f>
        <v>40.69</v>
      </c>
      <c r="H14" s="466"/>
      <c r="I14" s="466">
        <v>38.75</v>
      </c>
      <c r="J14" s="467">
        <v>230.5</v>
      </c>
      <c r="K14" s="466">
        <v>38.75</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7789.46</v>
      </c>
      <c r="D16" s="466"/>
      <c r="E16" s="466"/>
      <c r="F16" s="466"/>
      <c r="G16" s="466">
        <v>3600.06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8837.44</v>
      </c>
      <c r="D18" s="1710">
        <f t="shared" ref="D18:K18" si="1">SUM(D14:D17)</f>
        <v>193.45</v>
      </c>
      <c r="E18" s="1710">
        <f t="shared" si="1"/>
        <v>788.84</v>
      </c>
      <c r="F18" s="1710">
        <f t="shared" si="1"/>
        <v>92.96</v>
      </c>
      <c r="G18" s="1710">
        <f t="shared" si="1"/>
        <v>3640.75</v>
      </c>
      <c r="H18" s="1710">
        <f t="shared" si="1"/>
        <v>0</v>
      </c>
      <c r="I18" s="1710">
        <f t="shared" si="1"/>
        <v>38.75</v>
      </c>
      <c r="J18" s="1710">
        <f t="shared" si="1"/>
        <v>230.5</v>
      </c>
      <c r="K18" s="1711">
        <f t="shared" si="1"/>
        <v>38.75</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14332.25</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14332.25</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6952.27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470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7422.27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1230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1230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400</v>
      </c>
      <c r="D95" s="551"/>
      <c r="E95" s="521"/>
      <c r="F95" s="521"/>
      <c r="G95" s="521"/>
      <c r="H95" s="521"/>
      <c r="I95" s="521"/>
      <c r="J95" s="521"/>
      <c r="K95" s="521"/>
    </row>
    <row r="96" spans="1:11" ht="12.75" customHeight="1" x14ac:dyDescent="0.2">
      <c r="A96" s="463" t="s">
        <v>391</v>
      </c>
      <c r="B96" s="470">
        <v>1920</v>
      </c>
      <c r="C96" s="551">
        <v>5451.35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3082.7+449.54</f>
        <v>3532.24</v>
      </c>
      <c r="D107" s="466"/>
      <c r="E107" s="466"/>
      <c r="F107" s="466">
        <v>50</v>
      </c>
      <c r="G107" s="466"/>
      <c r="H107" s="466"/>
      <c r="I107" s="466"/>
      <c r="J107" s="467"/>
      <c r="K107" s="466"/>
    </row>
    <row r="108" spans="1:12" ht="12.75" customHeight="1" thickBot="1" x14ac:dyDescent="0.25">
      <c r="A108" s="1708" t="s">
        <v>487</v>
      </c>
      <c r="B108" s="1712"/>
      <c r="C108" s="1707">
        <f>SUM(C95:C107)</f>
        <v>9383.59</v>
      </c>
      <c r="D108" s="1707">
        <f t="shared" ref="D108:K108" si="3">SUM(D95:D107)</f>
        <v>0</v>
      </c>
      <c r="E108" s="1707">
        <f t="shared" si="3"/>
        <v>0</v>
      </c>
      <c r="F108" s="1707">
        <f t="shared" si="3"/>
        <v>50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113014.85</v>
      </c>
      <c r="D109" s="1715">
        <f t="shared" si="4"/>
        <v>13488.740000000002</v>
      </c>
      <c r="E109" s="1715">
        <f t="shared" si="4"/>
        <v>55019</v>
      </c>
      <c r="F109" s="1715">
        <f t="shared" si="4"/>
        <v>6531.5</v>
      </c>
      <c r="G109" s="1715">
        <f t="shared" si="4"/>
        <v>6436.9</v>
      </c>
      <c r="H109" s="1715">
        <f t="shared" si="4"/>
        <v>0</v>
      </c>
      <c r="I109" s="1715">
        <f t="shared" si="4"/>
        <v>2701.83</v>
      </c>
      <c r="J109" s="1715">
        <f t="shared" si="4"/>
        <v>16072.08</v>
      </c>
      <c r="K109" s="1702">
        <f t="shared" si="4"/>
        <v>2701.83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339628.33</v>
      </c>
      <c r="D117" s="481">
        <v>17000</v>
      </c>
      <c r="E117" s="466"/>
      <c r="F117" s="481">
        <v>10500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339628.33</v>
      </c>
      <c r="D122" s="1707">
        <f t="shared" si="5"/>
        <v>17000</v>
      </c>
      <c r="E122" s="1707">
        <f t="shared" si="5"/>
        <v>0</v>
      </c>
      <c r="F122" s="1707">
        <f t="shared" si="5"/>
        <v>10500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135.22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20349.099999999999</v>
      </c>
      <c r="G152" s="467"/>
      <c r="H152" s="468"/>
      <c r="I152" s="468"/>
      <c r="J152" s="468"/>
      <c r="K152" s="468"/>
    </row>
    <row r="153" spans="1:11" ht="12.75" customHeight="1" x14ac:dyDescent="0.2">
      <c r="A153" s="463" t="s">
        <v>1057</v>
      </c>
      <c r="B153" s="562">
        <v>3510</v>
      </c>
      <c r="C153" s="551"/>
      <c r="D153" s="466"/>
      <c r="E153" s="561"/>
      <c r="F153" s="466">
        <v>4061.93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24411.03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8100</v>
      </c>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8235.2199999999993</v>
      </c>
      <c r="D169" s="1722">
        <f t="shared" si="6"/>
        <v>0</v>
      </c>
      <c r="E169" s="1722">
        <f t="shared" si="6"/>
        <v>0</v>
      </c>
      <c r="F169" s="1722">
        <f t="shared" si="6"/>
        <v>24411.03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347863.55</v>
      </c>
      <c r="D170" s="1715">
        <f t="shared" si="7"/>
        <v>17000</v>
      </c>
      <c r="E170" s="1715">
        <f t="shared" si="7"/>
        <v>0</v>
      </c>
      <c r="F170" s="1715">
        <f t="shared" si="7"/>
        <v>34911.03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12028.82</v>
      </c>
      <c r="D174" s="466"/>
      <c r="E174" s="467"/>
      <c r="F174" s="466"/>
      <c r="G174" s="466"/>
      <c r="H174" s="467"/>
      <c r="I174" s="467"/>
      <c r="J174" s="467"/>
      <c r="K174" s="467"/>
    </row>
    <row r="175" spans="1:11" ht="13.5" thickBot="1" x14ac:dyDescent="0.25">
      <c r="A175" s="2148" t="s">
        <v>1665</v>
      </c>
      <c r="B175" s="2149"/>
      <c r="C175" s="1707">
        <f>SUM(C173:C174)</f>
        <v>12028.82</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v>123.4</v>
      </c>
      <c r="E180" s="468"/>
      <c r="F180" s="466"/>
      <c r="G180" s="466"/>
      <c r="H180" s="466"/>
      <c r="I180" s="468"/>
      <c r="J180" s="468"/>
      <c r="K180" s="466"/>
    </row>
    <row r="181" spans="1:11" ht="13.5" thickBot="1" x14ac:dyDescent="0.25">
      <c r="A181" s="2150" t="s">
        <v>785</v>
      </c>
      <c r="B181" s="2151"/>
      <c r="C181" s="1707">
        <f>SUM(C177:C180)</f>
        <v>0</v>
      </c>
      <c r="D181" s="1707">
        <f>SUM(D177:D180)</f>
        <v>123.4</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10475.58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10475.58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7210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7210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5075.1899999999996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5075.1899999999996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2946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f>2846.75+185.33</f>
        <v>3032.08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28738.85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40767.67</v>
      </c>
      <c r="D267" s="1715">
        <f>SUM(D175,D181,D266)</f>
        <v>123.4</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501646.07</v>
      </c>
      <c r="D268" s="1715">
        <f t="shared" si="12"/>
        <v>30612.140000000003</v>
      </c>
      <c r="E268" s="1715">
        <f t="shared" si="12"/>
        <v>55019</v>
      </c>
      <c r="F268" s="1715">
        <f t="shared" si="12"/>
        <v>41442.53</v>
      </c>
      <c r="G268" s="1715">
        <f t="shared" si="12"/>
        <v>6436.9</v>
      </c>
      <c r="H268" s="1715">
        <f t="shared" si="12"/>
        <v>0</v>
      </c>
      <c r="I268" s="1715">
        <f t="shared" si="12"/>
        <v>2701.83</v>
      </c>
      <c r="J268" s="1715">
        <f t="shared" si="12"/>
        <v>16072.08</v>
      </c>
      <c r="K268" s="1702">
        <f t="shared" si="12"/>
        <v>2701.83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&amp;L&amp;8The notes are an integral part of these statements. &amp;CPage 9-14</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256" colorId="8" zoomScale="110" zoomScaleNormal="110" workbookViewId="0">
      <selection activeCell="E134" sqref="E13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117095.41</v>
      </c>
      <c r="D5" s="466">
        <v>21737.32</v>
      </c>
      <c r="E5" s="466">
        <f>14405.34+3136.88</f>
        <v>17542.22</v>
      </c>
      <c r="F5" s="466">
        <f>4802.92+2677.18</f>
        <v>7480.1</v>
      </c>
      <c r="G5" s="466">
        <f>777.86+2426</f>
        <v>3203.86</v>
      </c>
      <c r="H5" s="466"/>
      <c r="I5" s="467"/>
      <c r="J5" s="467"/>
      <c r="K5" s="1671">
        <f>SUM(C5:J5)</f>
        <v>167058.91</v>
      </c>
      <c r="L5" s="466">
        <v>214894</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28469.78</v>
      </c>
      <c r="D8" s="466"/>
      <c r="E8" s="466">
        <v>10163.64</v>
      </c>
      <c r="F8" s="466">
        <v>20.72</v>
      </c>
      <c r="G8" s="466"/>
      <c r="H8" s="466"/>
      <c r="I8" s="467"/>
      <c r="J8" s="467"/>
      <c r="K8" s="1671">
        <f t="shared" si="0"/>
        <v>38654.14</v>
      </c>
      <c r="L8" s="466">
        <v>40328</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300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c r="G13" s="466"/>
      <c r="H13" s="466"/>
      <c r="I13" s="467"/>
      <c r="J13" s="467"/>
      <c r="K13" s="1671">
        <f t="shared" si="0"/>
        <v>0</v>
      </c>
      <c r="L13" s="466">
        <v>0</v>
      </c>
    </row>
    <row r="14" spans="1:14" x14ac:dyDescent="0.2">
      <c r="A14" s="1504" t="s">
        <v>963</v>
      </c>
      <c r="B14" s="614">
        <v>1500</v>
      </c>
      <c r="C14" s="466"/>
      <c r="D14" s="466"/>
      <c r="E14" s="466"/>
      <c r="F14" s="466"/>
      <c r="G14" s="466"/>
      <c r="H14" s="466"/>
      <c r="I14" s="467"/>
      <c r="J14" s="467"/>
      <c r="K14" s="1671">
        <f t="shared" si="0"/>
        <v>0</v>
      </c>
      <c r="L14" s="466">
        <v>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145565.19</v>
      </c>
      <c r="D33" s="1670">
        <f t="shared" ref="D33:L33" si="1">SUM(D5:D32)</f>
        <v>21737.32</v>
      </c>
      <c r="E33" s="1670">
        <f t="shared" si="1"/>
        <v>27705.86</v>
      </c>
      <c r="F33" s="1670">
        <f t="shared" si="1"/>
        <v>7500.8200000000006</v>
      </c>
      <c r="G33" s="1670">
        <f t="shared" si="1"/>
        <v>3203.86</v>
      </c>
      <c r="H33" s="1670">
        <f t="shared" si="1"/>
        <v>0</v>
      </c>
      <c r="I33" s="1670">
        <f t="shared" si="1"/>
        <v>0</v>
      </c>
      <c r="J33" s="1670">
        <f t="shared" si="1"/>
        <v>0</v>
      </c>
      <c r="K33" s="1670">
        <f t="shared" si="1"/>
        <v>205713.05</v>
      </c>
      <c r="L33" s="1670">
        <f t="shared" si="1"/>
        <v>255522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c r="D38" s="466"/>
      <c r="E38" s="466">
        <v>150</v>
      </c>
      <c r="F38" s="466">
        <v>25.95</v>
      </c>
      <c r="G38" s="466"/>
      <c r="H38" s="466"/>
      <c r="I38" s="467"/>
      <c r="J38" s="467"/>
      <c r="K38" s="1671">
        <f t="shared" si="2"/>
        <v>175.95</v>
      </c>
      <c r="L38" s="466">
        <v>325</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0</v>
      </c>
      <c r="D42" s="1670">
        <f t="shared" ref="D42:L42" si="3">SUM(D36:D41)</f>
        <v>0</v>
      </c>
      <c r="E42" s="1670">
        <f t="shared" si="3"/>
        <v>150</v>
      </c>
      <c r="F42" s="1670">
        <f t="shared" si="3"/>
        <v>25.95</v>
      </c>
      <c r="G42" s="1670">
        <f t="shared" si="3"/>
        <v>0</v>
      </c>
      <c r="H42" s="1670">
        <f t="shared" si="3"/>
        <v>0</v>
      </c>
      <c r="I42" s="1670">
        <f t="shared" si="3"/>
        <v>0</v>
      </c>
      <c r="J42" s="1670">
        <f t="shared" si="3"/>
        <v>0</v>
      </c>
      <c r="K42" s="1670">
        <f t="shared" si="3"/>
        <v>175.95</v>
      </c>
      <c r="L42" s="1670">
        <f t="shared" si="3"/>
        <v>325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750</v>
      </c>
      <c r="D44" s="481">
        <v>7.88</v>
      </c>
      <c r="E44" s="481">
        <f>1691.71+2012.57</f>
        <v>3704.2799999999997</v>
      </c>
      <c r="F44" s="481">
        <v>12584.92</v>
      </c>
      <c r="G44" s="481"/>
      <c r="H44" s="481"/>
      <c r="I44" s="467"/>
      <c r="J44" s="467"/>
      <c r="K44" s="1672">
        <f>SUM(C44:J44)</f>
        <v>17047.080000000002</v>
      </c>
      <c r="L44" s="481">
        <v>12524</v>
      </c>
    </row>
    <row r="45" spans="1:14" x14ac:dyDescent="0.2">
      <c r="A45" s="1504" t="s">
        <v>815</v>
      </c>
      <c r="B45" s="614">
        <v>2220</v>
      </c>
      <c r="C45" s="466"/>
      <c r="D45" s="466"/>
      <c r="E45" s="466">
        <v>30</v>
      </c>
      <c r="F45" s="466"/>
      <c r="G45" s="466">
        <v>1708.2</v>
      </c>
      <c r="H45" s="466"/>
      <c r="I45" s="467"/>
      <c r="J45" s="467"/>
      <c r="K45" s="1672">
        <f>SUM(C45:J45)</f>
        <v>1738.2</v>
      </c>
      <c r="L45" s="466">
        <v>1750</v>
      </c>
    </row>
    <row r="46" spans="1:14" x14ac:dyDescent="0.2">
      <c r="A46" s="1504" t="s">
        <v>816</v>
      </c>
      <c r="B46" s="614">
        <v>2230</v>
      </c>
      <c r="C46" s="466"/>
      <c r="D46" s="466"/>
      <c r="E46" s="466">
        <v>3535.39</v>
      </c>
      <c r="F46" s="466">
        <v>3123.63</v>
      </c>
      <c r="G46" s="466"/>
      <c r="H46" s="466"/>
      <c r="I46" s="467"/>
      <c r="J46" s="467"/>
      <c r="K46" s="1672">
        <f>SUM(C46:J46)</f>
        <v>6659.02</v>
      </c>
      <c r="L46" s="466">
        <v>2754</v>
      </c>
    </row>
    <row r="47" spans="1:14" ht="12.75" customHeight="1" thickBot="1" x14ac:dyDescent="0.25">
      <c r="A47" s="1668" t="s">
        <v>561</v>
      </c>
      <c r="B47" s="1669" t="s">
        <v>32</v>
      </c>
      <c r="C47" s="1670">
        <f>SUM(C44:C46)</f>
        <v>750</v>
      </c>
      <c r="D47" s="1670">
        <f t="shared" ref="D47:K47" si="4">SUM(D44:D46)</f>
        <v>7.88</v>
      </c>
      <c r="E47" s="1670">
        <f t="shared" si="4"/>
        <v>7269.67</v>
      </c>
      <c r="F47" s="1670">
        <f t="shared" si="4"/>
        <v>15708.55</v>
      </c>
      <c r="G47" s="1670">
        <f t="shared" si="4"/>
        <v>1708.2</v>
      </c>
      <c r="H47" s="1670">
        <f t="shared" si="4"/>
        <v>0</v>
      </c>
      <c r="I47" s="1670">
        <f t="shared" si="4"/>
        <v>0</v>
      </c>
      <c r="J47" s="1670">
        <f t="shared" si="4"/>
        <v>0</v>
      </c>
      <c r="K47" s="1670">
        <f t="shared" si="4"/>
        <v>25444.300000000003</v>
      </c>
      <c r="L47" s="1670">
        <f>SUM(L44:L46)</f>
        <v>17028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v>6140</v>
      </c>
    </row>
    <row r="50" spans="1:14" x14ac:dyDescent="0.2">
      <c r="A50" s="1504" t="s">
        <v>818</v>
      </c>
      <c r="B50" s="614">
        <v>2320</v>
      </c>
      <c r="C50" s="466">
        <v>52817.65</v>
      </c>
      <c r="D50" s="466">
        <v>4634.12</v>
      </c>
      <c r="E50" s="466">
        <v>2139.8200000000002</v>
      </c>
      <c r="F50" s="466">
        <v>116.91</v>
      </c>
      <c r="G50" s="466"/>
      <c r="H50" s="466"/>
      <c r="I50" s="467"/>
      <c r="J50" s="467"/>
      <c r="K50" s="1672">
        <f>SUM(C50:J50)</f>
        <v>59708.500000000007</v>
      </c>
      <c r="L50" s="466">
        <v>41725</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52817.65</v>
      </c>
      <c r="D53" s="1670">
        <f t="shared" ref="D53:L53" si="5">SUM(D49:D52)</f>
        <v>4634.12</v>
      </c>
      <c r="E53" s="1670">
        <f t="shared" si="5"/>
        <v>2139.8200000000002</v>
      </c>
      <c r="F53" s="1670">
        <f t="shared" si="5"/>
        <v>116.91</v>
      </c>
      <c r="G53" s="1670">
        <f t="shared" si="5"/>
        <v>0</v>
      </c>
      <c r="H53" s="1670">
        <f t="shared" si="5"/>
        <v>0</v>
      </c>
      <c r="I53" s="1670">
        <f t="shared" si="5"/>
        <v>0</v>
      </c>
      <c r="J53" s="1670">
        <f t="shared" si="5"/>
        <v>0</v>
      </c>
      <c r="K53" s="1670">
        <f t="shared" si="5"/>
        <v>59708.500000000007</v>
      </c>
      <c r="L53" s="1670">
        <f t="shared" si="5"/>
        <v>47865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35872.28</v>
      </c>
      <c r="D55" s="481">
        <v>4634.3599999999997</v>
      </c>
      <c r="E55" s="481">
        <v>1234.0899999999999</v>
      </c>
      <c r="F55" s="481">
        <v>12.97</v>
      </c>
      <c r="G55" s="481"/>
      <c r="H55" s="481"/>
      <c r="I55" s="467"/>
      <c r="J55" s="467"/>
      <c r="K55" s="1672">
        <f>SUM(C55:J55)</f>
        <v>41753.699999999997</v>
      </c>
      <c r="L55" s="481">
        <v>46275</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35872.28</v>
      </c>
      <c r="D57" s="1674">
        <f t="shared" ref="D57:K57" si="6">SUM(D55:D56)</f>
        <v>4634.3599999999997</v>
      </c>
      <c r="E57" s="1674">
        <f t="shared" si="6"/>
        <v>1234.0899999999999</v>
      </c>
      <c r="F57" s="1674">
        <f t="shared" si="6"/>
        <v>12.97</v>
      </c>
      <c r="G57" s="1674">
        <f t="shared" si="6"/>
        <v>0</v>
      </c>
      <c r="H57" s="1674">
        <f t="shared" si="6"/>
        <v>0</v>
      </c>
      <c r="I57" s="1674">
        <f t="shared" si="6"/>
        <v>0</v>
      </c>
      <c r="J57" s="1674">
        <f t="shared" si="6"/>
        <v>0</v>
      </c>
      <c r="K57" s="1674">
        <f t="shared" si="6"/>
        <v>41753.699999999997</v>
      </c>
      <c r="L57" s="1670">
        <f>SUM(L55:L56)</f>
        <v>46275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16755.53</v>
      </c>
      <c r="D60" s="466"/>
      <c r="E60" s="466">
        <f>6435.78+11.65</f>
        <v>6447.4299999999994</v>
      </c>
      <c r="F60" s="466">
        <v>240.21</v>
      </c>
      <c r="G60" s="466"/>
      <c r="H60" s="466"/>
      <c r="I60" s="467"/>
      <c r="J60" s="467"/>
      <c r="K60" s="1672">
        <f t="shared" si="7"/>
        <v>23443.17</v>
      </c>
      <c r="L60" s="466">
        <v>25650</v>
      </c>
      <c r="M60" s="609"/>
      <c r="N60" s="609"/>
    </row>
    <row r="61" spans="1:14" s="343" customFormat="1" x14ac:dyDescent="0.2">
      <c r="A61" s="1504" t="s">
        <v>197</v>
      </c>
      <c r="B61" s="614">
        <v>2540</v>
      </c>
      <c r="C61" s="466"/>
      <c r="D61" s="466"/>
      <c r="E61" s="466">
        <f>28375.27+15678.18</f>
        <v>44053.45</v>
      </c>
      <c r="F61" s="466">
        <v>81.87</v>
      </c>
      <c r="G61" s="466"/>
      <c r="H61" s="466"/>
      <c r="I61" s="467"/>
      <c r="J61" s="467"/>
      <c r="K61" s="1672">
        <f t="shared" si="7"/>
        <v>44135.32</v>
      </c>
      <c r="L61" s="466">
        <v>49875</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620</v>
      </c>
      <c r="D63" s="466"/>
      <c r="E63" s="466">
        <v>107.57</v>
      </c>
      <c r="F63" s="466">
        <v>23347.3</v>
      </c>
      <c r="G63" s="466"/>
      <c r="H63" s="466"/>
      <c r="I63" s="467"/>
      <c r="J63" s="467"/>
      <c r="K63" s="1672">
        <f t="shared" si="7"/>
        <v>24074.87</v>
      </c>
      <c r="L63" s="466">
        <v>21650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17375.53</v>
      </c>
      <c r="D65" s="1670">
        <f t="shared" ref="D65:L65" si="8">SUM(D59:D64)</f>
        <v>0</v>
      </c>
      <c r="E65" s="1670">
        <f t="shared" si="8"/>
        <v>50608.45</v>
      </c>
      <c r="F65" s="1670">
        <f t="shared" si="8"/>
        <v>23669.38</v>
      </c>
      <c r="G65" s="1670">
        <f t="shared" si="8"/>
        <v>0</v>
      </c>
      <c r="H65" s="1670">
        <f t="shared" si="8"/>
        <v>0</v>
      </c>
      <c r="I65" s="1670">
        <f t="shared" si="8"/>
        <v>0</v>
      </c>
      <c r="J65" s="1670">
        <f t="shared" si="8"/>
        <v>0</v>
      </c>
      <c r="K65" s="1670">
        <f t="shared" si="8"/>
        <v>91653.359999999986</v>
      </c>
      <c r="L65" s="1670">
        <f t="shared" si="8"/>
        <v>97175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v>207.9</v>
      </c>
      <c r="G69" s="466"/>
      <c r="H69" s="466"/>
      <c r="I69" s="467"/>
      <c r="J69" s="467"/>
      <c r="K69" s="1672">
        <f>SUM(C69:J69)</f>
        <v>207.9</v>
      </c>
      <c r="L69" s="466">
        <v>600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v>1000</v>
      </c>
      <c r="F71" s="466"/>
      <c r="G71" s="466"/>
      <c r="H71" s="466"/>
      <c r="I71" s="467"/>
      <c r="J71" s="467"/>
      <c r="K71" s="1672">
        <f>SUM(C71:J71)</f>
        <v>1000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1000</v>
      </c>
      <c r="F72" s="1670">
        <f t="shared" si="9"/>
        <v>207.9</v>
      </c>
      <c r="G72" s="1670">
        <f t="shared" si="9"/>
        <v>0</v>
      </c>
      <c r="H72" s="1670">
        <f t="shared" si="9"/>
        <v>0</v>
      </c>
      <c r="I72" s="1670">
        <f t="shared" si="9"/>
        <v>0</v>
      </c>
      <c r="J72" s="1670">
        <f t="shared" si="9"/>
        <v>0</v>
      </c>
      <c r="K72" s="1670">
        <f t="shared" si="9"/>
        <v>1207.9000000000001</v>
      </c>
      <c r="L72" s="1670">
        <f>SUM(L67:L71)</f>
        <v>600</v>
      </c>
      <c r="M72" s="609"/>
      <c r="N72" s="609"/>
    </row>
    <row r="73" spans="1:14" s="343" customFormat="1" ht="14.25" thickTop="1" thickBot="1" x14ac:dyDescent="0.25">
      <c r="A73" s="1510" t="s">
        <v>980</v>
      </c>
      <c r="B73" s="632" t="s">
        <v>574</v>
      </c>
      <c r="C73" s="573"/>
      <c r="D73" s="573"/>
      <c r="E73" s="573"/>
      <c r="F73" s="573">
        <v>151.38999999999999</v>
      </c>
      <c r="G73" s="573"/>
      <c r="H73" s="573"/>
      <c r="I73" s="531"/>
      <c r="J73" s="531"/>
      <c r="K73" s="1670">
        <f>SUM(C73:J73)</f>
        <v>151.38999999999999</v>
      </c>
      <c r="L73" s="576">
        <v>0</v>
      </c>
      <c r="M73" s="609"/>
      <c r="N73" s="609"/>
    </row>
    <row r="74" spans="1:14" ht="12.75" customHeight="1" thickTop="1" thickBot="1" x14ac:dyDescent="0.25">
      <c r="A74" s="1668" t="s">
        <v>811</v>
      </c>
      <c r="B74" s="1676">
        <v>2000</v>
      </c>
      <c r="C74" s="1677">
        <f>SUM(C42,C47,C53,C57,C65,C72,C73)</f>
        <v>106815.45999999999</v>
      </c>
      <c r="D74" s="1677">
        <f t="shared" ref="D74:K74" si="10">SUM(D42,D47,D53,D57,D65,D72,D73)</f>
        <v>9276.36</v>
      </c>
      <c r="E74" s="1677">
        <f t="shared" si="10"/>
        <v>62402.03</v>
      </c>
      <c r="F74" s="1677">
        <f t="shared" si="10"/>
        <v>39893.050000000003</v>
      </c>
      <c r="G74" s="1677">
        <f t="shared" si="10"/>
        <v>1708.2</v>
      </c>
      <c r="H74" s="1677">
        <f t="shared" si="10"/>
        <v>0</v>
      </c>
      <c r="I74" s="1677">
        <f t="shared" si="10"/>
        <v>0</v>
      </c>
      <c r="J74" s="1677">
        <f t="shared" si="10"/>
        <v>0</v>
      </c>
      <c r="K74" s="1677">
        <f t="shared" si="10"/>
        <v>220095.1</v>
      </c>
      <c r="L74" s="1677">
        <f>SUM(L42,L47,L53,L57,L65,L72,L73)</f>
        <v>209268</v>
      </c>
    </row>
    <row r="75" spans="1:14" s="259" customFormat="1" ht="15.75" customHeight="1" thickTop="1" thickBot="1" x14ac:dyDescent="0.25">
      <c r="A75" s="1610" t="s">
        <v>47</v>
      </c>
      <c r="B75" s="1611" t="s">
        <v>575</v>
      </c>
      <c r="C75" s="573"/>
      <c r="D75" s="573"/>
      <c r="E75" s="573">
        <v>1000</v>
      </c>
      <c r="F75" s="573">
        <v>752.66</v>
      </c>
      <c r="G75" s="573"/>
      <c r="H75" s="573"/>
      <c r="I75" s="531"/>
      <c r="J75" s="531"/>
      <c r="K75" s="1670">
        <f>SUM(C75:J75)</f>
        <v>1752.6599999999999</v>
      </c>
      <c r="L75" s="576">
        <v>1500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75</v>
      </c>
      <c r="F78" s="616"/>
      <c r="G78" s="616"/>
      <c r="H78" s="634"/>
      <c r="I78" s="477"/>
      <c r="J78" s="477"/>
      <c r="K78" s="1671">
        <f t="shared" ref="K78:K83" si="11">SUM(C78:J78)</f>
        <v>75</v>
      </c>
      <c r="L78" s="481">
        <v>75</v>
      </c>
    </row>
    <row r="79" spans="1:14" x14ac:dyDescent="0.2">
      <c r="A79" s="1504" t="s">
        <v>304</v>
      </c>
      <c r="B79" s="614">
        <v>4120</v>
      </c>
      <c r="C79" s="616"/>
      <c r="D79" s="616"/>
      <c r="E79" s="466">
        <v>32.96</v>
      </c>
      <c r="F79" s="616"/>
      <c r="G79" s="616"/>
      <c r="H79" s="466"/>
      <c r="I79" s="477"/>
      <c r="J79" s="477"/>
      <c r="K79" s="1671">
        <f t="shared" si="11"/>
        <v>32.96</v>
      </c>
      <c r="L79" s="466">
        <v>35</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107.96000000000001</v>
      </c>
      <c r="F84" s="616"/>
      <c r="G84" s="616"/>
      <c r="H84" s="1670">
        <f>SUM(H78:H83)</f>
        <v>0</v>
      </c>
      <c r="I84" s="477"/>
      <c r="J84" s="477"/>
      <c r="K84" s="1670">
        <f>SUM(K78:K83)</f>
        <v>107.96000000000001</v>
      </c>
      <c r="L84" s="1670">
        <f>SUM(L78:L83)</f>
        <v>110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38273.440000000002</v>
      </c>
      <c r="I86" s="477"/>
      <c r="J86" s="477"/>
      <c r="K86" s="1677">
        <f t="shared" ref="K86:K98" si="12">H86</f>
        <v>38273.440000000002</v>
      </c>
      <c r="L86" s="530">
        <v>50000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38273.440000000002</v>
      </c>
      <c r="I92" s="477"/>
      <c r="J92" s="477"/>
      <c r="K92" s="1677">
        <f t="shared" si="12"/>
        <v>38273.440000000002</v>
      </c>
      <c r="L92" s="1670">
        <f>SUM(L85:L91)</f>
        <v>50000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f>3985.44+16042.67</f>
        <v>20028.11</v>
      </c>
      <c r="I94" s="477"/>
      <c r="J94" s="477"/>
      <c r="K94" s="1677">
        <f t="shared" si="12"/>
        <v>20028.11</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20028.11</v>
      </c>
      <c r="I100" s="477"/>
      <c r="J100" s="477"/>
      <c r="K100" s="1677">
        <f>SUM(K93:K99)</f>
        <v>20028.11</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107.96000000000001</v>
      </c>
      <c r="F102" s="616"/>
      <c r="G102" s="616"/>
      <c r="H102" s="1677">
        <f>SUM(H84,H92,H100,H101)</f>
        <v>58301.55</v>
      </c>
      <c r="I102" s="477"/>
      <c r="J102" s="477"/>
      <c r="K102" s="1677">
        <f>SUM(K84,K92,K100,K101)</f>
        <v>58409.51</v>
      </c>
      <c r="L102" s="1677">
        <f>SUM(L84,L92,L100,L101)</f>
        <v>50110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252380.65</v>
      </c>
      <c r="D114" s="1670">
        <f t="shared" ref="D114:K114" si="13">SUM(D33,D74,D75,D102,D112,D113)</f>
        <v>31013.68</v>
      </c>
      <c r="E114" s="1670">
        <f t="shared" si="13"/>
        <v>91215.85</v>
      </c>
      <c r="F114" s="1670">
        <f t="shared" si="13"/>
        <v>48146.530000000006</v>
      </c>
      <c r="G114" s="1670">
        <f t="shared" si="13"/>
        <v>4912.0600000000004</v>
      </c>
      <c r="H114" s="1670">
        <f>SUM(H33,H74,H75,H102,H112,H113)</f>
        <v>58301.55</v>
      </c>
      <c r="I114" s="1670">
        <f t="shared" si="13"/>
        <v>0</v>
      </c>
      <c r="J114" s="1670">
        <f t="shared" si="13"/>
        <v>0</v>
      </c>
      <c r="K114" s="1670">
        <f t="shared" si="13"/>
        <v>485970.32</v>
      </c>
      <c r="L114" s="1670">
        <f>SUM(L33,L74,L75,L102,L112,L113)</f>
        <v>516400</v>
      </c>
    </row>
    <row r="115" spans="1:14" ht="13.5" thickTop="1" x14ac:dyDescent="0.2">
      <c r="A115" s="2154" t="s">
        <v>996</v>
      </c>
      <c r="B115" s="2155"/>
      <c r="C115" s="618"/>
      <c r="D115" s="618"/>
      <c r="E115" s="618"/>
      <c r="F115" s="618"/>
      <c r="G115" s="618"/>
      <c r="H115" s="618"/>
      <c r="I115" s="618"/>
      <c r="J115" s="618"/>
      <c r="K115" s="1684">
        <f>'Revenues 9-14'!C268-'Expenditures 15-22'!K114</f>
        <v>15675.75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3250.61</v>
      </c>
      <c r="D124" s="466"/>
      <c r="E124" s="466">
        <v>17763.13</v>
      </c>
      <c r="F124" s="466">
        <v>4560.62</v>
      </c>
      <c r="G124" s="466"/>
      <c r="H124" s="466"/>
      <c r="I124" s="467"/>
      <c r="J124" s="467"/>
      <c r="K124" s="1670">
        <f>SUM(C124:J124)</f>
        <v>25574.36</v>
      </c>
      <c r="L124" s="466">
        <v>32300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3250.61</v>
      </c>
      <c r="D127" s="1670">
        <f t="shared" ref="D127:L127" si="14">SUM(D122:D126)</f>
        <v>0</v>
      </c>
      <c r="E127" s="1670">
        <f t="shared" si="14"/>
        <v>17763.13</v>
      </c>
      <c r="F127" s="1670">
        <f t="shared" si="14"/>
        <v>4560.62</v>
      </c>
      <c r="G127" s="1670">
        <f t="shared" si="14"/>
        <v>0</v>
      </c>
      <c r="H127" s="1670">
        <f t="shared" si="14"/>
        <v>0</v>
      </c>
      <c r="I127" s="1670">
        <f t="shared" si="14"/>
        <v>0</v>
      </c>
      <c r="J127" s="1670">
        <f t="shared" si="14"/>
        <v>0</v>
      </c>
      <c r="K127" s="1670">
        <f t="shared" si="14"/>
        <v>25574.36</v>
      </c>
      <c r="L127" s="1670">
        <f t="shared" si="14"/>
        <v>32300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3250.61</v>
      </c>
      <c r="D129" s="1677">
        <f t="shared" ref="D129:L129" si="15">SUM(D120,D127,D128)</f>
        <v>0</v>
      </c>
      <c r="E129" s="1677">
        <f t="shared" si="15"/>
        <v>17763.13</v>
      </c>
      <c r="F129" s="1677">
        <f t="shared" si="15"/>
        <v>4560.62</v>
      </c>
      <c r="G129" s="1677">
        <f t="shared" si="15"/>
        <v>0</v>
      </c>
      <c r="H129" s="1677">
        <f t="shared" si="15"/>
        <v>0</v>
      </c>
      <c r="I129" s="1677">
        <f t="shared" si="15"/>
        <v>0</v>
      </c>
      <c r="J129" s="1677">
        <f t="shared" si="15"/>
        <v>0</v>
      </c>
      <c r="K129" s="1677">
        <f t="shared" si="15"/>
        <v>25574.36</v>
      </c>
      <c r="L129" s="1677">
        <f t="shared" si="15"/>
        <v>32300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1"/>
      <c r="C151" s="1670">
        <f>SUM(C129,C130,C139,C149,C150)</f>
        <v>3250.61</v>
      </c>
      <c r="D151" s="1670">
        <f t="shared" ref="D151:K151" si="16">SUM(D129,D130,D139,D149,D150)</f>
        <v>0</v>
      </c>
      <c r="E151" s="1670">
        <f t="shared" si="16"/>
        <v>17763.13</v>
      </c>
      <c r="F151" s="1670">
        <f t="shared" si="16"/>
        <v>4560.62</v>
      </c>
      <c r="G151" s="1670">
        <f t="shared" si="16"/>
        <v>0</v>
      </c>
      <c r="H151" s="1670">
        <f t="shared" si="16"/>
        <v>0</v>
      </c>
      <c r="I151" s="1670">
        <f t="shared" si="16"/>
        <v>0</v>
      </c>
      <c r="J151" s="1670">
        <f t="shared" si="16"/>
        <v>0</v>
      </c>
      <c r="K151" s="1670">
        <f t="shared" si="16"/>
        <v>25574.36</v>
      </c>
      <c r="L151" s="1670">
        <f>SUM(L129,L130,L139,L149,L150)</f>
        <v>32300</v>
      </c>
    </row>
    <row r="152" spans="1:14" ht="12.75" customHeight="1" thickTop="1" x14ac:dyDescent="0.2">
      <c r="A152" s="2174" t="s">
        <v>1178</v>
      </c>
      <c r="B152" s="2175"/>
      <c r="C152" s="618"/>
      <c r="D152" s="618"/>
      <c r="E152" s="618"/>
      <c r="F152" s="618"/>
      <c r="G152" s="618"/>
      <c r="H152" s="618"/>
      <c r="I152" s="618"/>
      <c r="J152" s="616"/>
      <c r="K152" s="1684">
        <f>'Revenues 9-14'!D268-'Expenditures 15-22'!K151</f>
        <v>5037.7800000000025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2562.6999999999998</v>
      </c>
      <c r="I169" s="616"/>
      <c r="J169" s="616"/>
      <c r="K169" s="1671">
        <f>SUM(C169:H169)</f>
        <v>2562.6999999999998</v>
      </c>
      <c r="L169" s="656">
        <v>2563</v>
      </c>
    </row>
    <row r="170" spans="1:14" ht="33.75" customHeight="1" x14ac:dyDescent="0.2">
      <c r="A170" s="669" t="s">
        <v>1670</v>
      </c>
      <c r="B170" s="671" t="s">
        <v>31</v>
      </c>
      <c r="C170" s="616"/>
      <c r="D170" s="616"/>
      <c r="E170" s="616"/>
      <c r="F170" s="616"/>
      <c r="G170" s="616"/>
      <c r="H170" s="569">
        <v>52300</v>
      </c>
      <c r="I170" s="616"/>
      <c r="J170" s="616"/>
      <c r="K170" s="1671">
        <f>SUM(C170:J170)</f>
        <v>52300</v>
      </c>
      <c r="L170" s="569">
        <v>52300</v>
      </c>
    </row>
    <row r="171" spans="1:14" ht="15.75" customHeight="1" x14ac:dyDescent="0.2">
      <c r="A171" s="621" t="s">
        <v>766</v>
      </c>
      <c r="B171" s="672" t="s">
        <v>84</v>
      </c>
      <c r="C171" s="616"/>
      <c r="D171" s="616"/>
      <c r="E171" s="466"/>
      <c r="F171" s="616"/>
      <c r="G171" s="616"/>
      <c r="H171" s="569">
        <v>8400</v>
      </c>
      <c r="I171" s="477"/>
      <c r="J171" s="616"/>
      <c r="K171" s="1671">
        <f>SUM(C171:J171)</f>
        <v>8400</v>
      </c>
      <c r="L171" s="569">
        <v>8400</v>
      </c>
    </row>
    <row r="172" spans="1:14" ht="12.75" customHeight="1" thickBot="1" x14ac:dyDescent="0.25">
      <c r="A172" s="1668" t="s">
        <v>638</v>
      </c>
      <c r="B172" s="1669" t="s">
        <v>492</v>
      </c>
      <c r="C172" s="616"/>
      <c r="D172" s="616"/>
      <c r="E172" s="1677">
        <f>SUM(E168,E169,E170,E171)</f>
        <v>0</v>
      </c>
      <c r="F172" s="616"/>
      <c r="G172" s="616"/>
      <c r="H172" s="1677">
        <f>SUM(H168,H169,H170,H171)</f>
        <v>63262.7</v>
      </c>
      <c r="I172" s="638"/>
      <c r="J172" s="616"/>
      <c r="K172" s="1677">
        <f>SUM(K168,K169,K170,K171)</f>
        <v>63262.7</v>
      </c>
      <c r="L172" s="1677">
        <f>SUM(L168,L169,L170,L171)</f>
        <v>63263</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63262.7</v>
      </c>
      <c r="I174" s="638"/>
      <c r="J174" s="616"/>
      <c r="K174" s="1677">
        <f>SUM(K160,K172,K173)</f>
        <v>63262.7</v>
      </c>
      <c r="L174" s="1677">
        <f>SUM(L160,L172,L173)</f>
        <v>63263</v>
      </c>
    </row>
    <row r="175" spans="1:14" ht="13.5" thickTop="1" x14ac:dyDescent="0.2">
      <c r="A175" s="2154" t="s">
        <v>996</v>
      </c>
      <c r="B175" s="2155"/>
      <c r="C175" s="616"/>
      <c r="D175" s="616"/>
      <c r="E175" s="616"/>
      <c r="F175" s="616"/>
      <c r="G175" s="616"/>
      <c r="H175" s="618"/>
      <c r="I175" s="616"/>
      <c r="J175" s="616"/>
      <c r="K175" s="1684">
        <f>'Revenues 9-14'!E268-'Expenditures 15-22'!K174</f>
        <v>-8243.6999999999971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14588</v>
      </c>
      <c r="D182" s="466"/>
      <c r="E182" s="466">
        <v>11413.85</v>
      </c>
      <c r="F182" s="466">
        <v>3954.5</v>
      </c>
      <c r="G182" s="466"/>
      <c r="H182" s="466"/>
      <c r="I182" s="467"/>
      <c r="J182" s="467"/>
      <c r="K182" s="1671">
        <f>SUM(C182:J182)</f>
        <v>29956.35</v>
      </c>
      <c r="L182" s="466">
        <v>37450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14588</v>
      </c>
      <c r="D184" s="1677">
        <f t="shared" ref="D184:J184" si="17">SUM(D180,D182,D183)</f>
        <v>0</v>
      </c>
      <c r="E184" s="1677">
        <f t="shared" si="17"/>
        <v>11413.85</v>
      </c>
      <c r="F184" s="1677">
        <f t="shared" si="17"/>
        <v>3954.5</v>
      </c>
      <c r="G184" s="1677">
        <f t="shared" si="17"/>
        <v>0</v>
      </c>
      <c r="H184" s="1677">
        <f t="shared" si="17"/>
        <v>0</v>
      </c>
      <c r="I184" s="1677">
        <f t="shared" si="17"/>
        <v>0</v>
      </c>
      <c r="J184" s="1677">
        <f t="shared" si="17"/>
        <v>0</v>
      </c>
      <c r="K184" s="1677">
        <f>SUM(K180,K182,K183)</f>
        <v>29956.35</v>
      </c>
      <c r="L184" s="1677">
        <f>SUM(L180, L182:L183)</f>
        <v>37450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14588</v>
      </c>
      <c r="D210" s="1670">
        <f>SUM(D184,D185)</f>
        <v>0</v>
      </c>
      <c r="E210" s="1670">
        <f>SUM(E184,E185,E196)</f>
        <v>11413.85</v>
      </c>
      <c r="F210" s="1670">
        <f>SUM(F184,F185)</f>
        <v>3954.5</v>
      </c>
      <c r="G210" s="1670">
        <f>SUM(G184,G185)</f>
        <v>0</v>
      </c>
      <c r="H210" s="1670">
        <f>SUM(H184,H185,H196,H208,H209)</f>
        <v>0</v>
      </c>
      <c r="I210" s="1670">
        <f>SUM(I184,I185)</f>
        <v>0</v>
      </c>
      <c r="J210" s="1670">
        <f>SUM(J184,J185)</f>
        <v>0</v>
      </c>
      <c r="K210" s="1671">
        <f>SUM(K184,K185,K196,K208,K209)</f>
        <v>29956.35</v>
      </c>
      <c r="L210" s="1670">
        <f>SUM(L184,L185,L196,L208,L209)</f>
        <v>37450</v>
      </c>
    </row>
    <row r="211" spans="1:14" ht="13.5" thickTop="1" x14ac:dyDescent="0.2">
      <c r="A211" s="2154" t="s">
        <v>996</v>
      </c>
      <c r="B211" s="2155"/>
      <c r="C211" s="618"/>
      <c r="D211" s="618"/>
      <c r="E211" s="618"/>
      <c r="F211" s="618"/>
      <c r="G211" s="618"/>
      <c r="H211" s="618"/>
      <c r="I211" s="616"/>
      <c r="J211" s="616"/>
      <c r="K211" s="1684">
        <f>'Revenues 9-14'!F268-'Expenditures 15-22'!K210</f>
        <v>11486.18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3187.98</v>
      </c>
      <c r="E215" s="616"/>
      <c r="F215" s="616"/>
      <c r="G215" s="616"/>
      <c r="H215" s="616"/>
      <c r="I215" s="616"/>
      <c r="J215" s="616"/>
      <c r="K215" s="1671">
        <f>D215</f>
        <v>3187.98</v>
      </c>
      <c r="L215" s="466">
        <v>2770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c r="E217" s="616"/>
      <c r="F217" s="616"/>
      <c r="G217" s="616"/>
      <c r="H217" s="616"/>
      <c r="I217" s="616"/>
      <c r="J217" s="616"/>
      <c r="K217" s="1671">
        <f t="shared" si="19"/>
        <v>0</v>
      </c>
      <c r="L217" s="466">
        <v>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3187.98</v>
      </c>
      <c r="E229" s="616"/>
      <c r="F229" s="616"/>
      <c r="G229" s="616"/>
      <c r="H229" s="616"/>
      <c r="I229" s="616"/>
      <c r="J229" s="616"/>
      <c r="K229" s="1670">
        <f>SUM(K215:K228)</f>
        <v>3187.98</v>
      </c>
      <c r="L229" s="1670">
        <f>SUM(L215:L228)</f>
        <v>2770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v>1391.21</v>
      </c>
      <c r="E241" s="616"/>
      <c r="F241" s="616"/>
      <c r="G241" s="616"/>
      <c r="H241" s="616"/>
      <c r="I241" s="616"/>
      <c r="J241" s="616"/>
      <c r="K241" s="1672">
        <f>D241</f>
        <v>1391.21</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1391.21</v>
      </c>
      <c r="E243" s="616"/>
      <c r="F243" s="616"/>
      <c r="G243" s="616"/>
      <c r="H243" s="616"/>
      <c r="I243" s="616"/>
      <c r="J243" s="616"/>
      <c r="K243" s="1670">
        <f>SUM(K240:K242)</f>
        <v>1391.21</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c r="E246" s="616"/>
      <c r="F246" s="616"/>
      <c r="G246" s="616"/>
      <c r="H246" s="616"/>
      <c r="I246" s="616"/>
      <c r="J246" s="616"/>
      <c r="K246" s="1672">
        <f t="shared" ref="K246:K256" si="21">D246</f>
        <v>0</v>
      </c>
      <c r="L246" s="466">
        <v>1390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1390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1289.8399999999999</v>
      </c>
      <c r="E264" s="616"/>
      <c r="F264" s="616"/>
      <c r="G264" s="616"/>
      <c r="H264" s="616"/>
      <c r="I264" s="616"/>
      <c r="J264" s="616"/>
      <c r="K264" s="1672">
        <f t="shared" ref="K264:K269" si="22">D264</f>
        <v>1289.8399999999999</v>
      </c>
      <c r="L264" s="466">
        <v>1300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248.68</v>
      </c>
      <c r="E266" s="616"/>
      <c r="F266" s="616"/>
      <c r="G266" s="616"/>
      <c r="H266" s="616"/>
      <c r="I266" s="616"/>
      <c r="J266" s="616"/>
      <c r="K266" s="1672">
        <f t="shared" si="22"/>
        <v>248.68</v>
      </c>
      <c r="L266" s="466">
        <v>565</v>
      </c>
    </row>
    <row r="267" spans="1:14" x14ac:dyDescent="0.2">
      <c r="A267" s="1504" t="s">
        <v>953</v>
      </c>
      <c r="B267" s="614">
        <v>2550</v>
      </c>
      <c r="C267" s="616"/>
      <c r="D267" s="466">
        <v>1042.53</v>
      </c>
      <c r="E267" s="616"/>
      <c r="F267" s="616"/>
      <c r="G267" s="616"/>
      <c r="H267" s="616"/>
      <c r="I267" s="616"/>
      <c r="J267" s="616"/>
      <c r="K267" s="1672">
        <f t="shared" si="22"/>
        <v>1042.53</v>
      </c>
      <c r="L267" s="466">
        <v>1000</v>
      </c>
    </row>
    <row r="268" spans="1:14" x14ac:dyDescent="0.2">
      <c r="A268" s="1504" t="s">
        <v>100</v>
      </c>
      <c r="B268" s="614">
        <v>2560</v>
      </c>
      <c r="C268" s="616"/>
      <c r="D268" s="466">
        <v>120.87</v>
      </c>
      <c r="E268" s="616"/>
      <c r="F268" s="616"/>
      <c r="G268" s="616"/>
      <c r="H268" s="616"/>
      <c r="I268" s="616"/>
      <c r="J268" s="616"/>
      <c r="K268" s="1672">
        <f t="shared" si="22"/>
        <v>120.87</v>
      </c>
      <c r="L268" s="466">
        <v>145</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2701.92</v>
      </c>
      <c r="E270" s="616"/>
      <c r="F270" s="616"/>
      <c r="G270" s="616"/>
      <c r="H270" s="616"/>
      <c r="I270" s="616"/>
      <c r="J270" s="616"/>
      <c r="K270" s="1670">
        <f>SUM(K263:K269)</f>
        <v>2701.92</v>
      </c>
      <c r="L270" s="1670">
        <f>SUM(L263:L269)</f>
        <v>3010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4093.13</v>
      </c>
      <c r="E279" s="616"/>
      <c r="F279" s="616"/>
      <c r="G279" s="616"/>
      <c r="H279" s="616"/>
      <c r="I279" s="616"/>
      <c r="J279" s="616"/>
      <c r="K279" s="1677">
        <f>SUM(K238,K243,K257,K261,K270,K277,K278)</f>
        <v>4093.13</v>
      </c>
      <c r="L279" s="1677">
        <f>SUM(L238,L243,L257,L261,L270,L277,L278)</f>
        <v>4400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7281.1100000000006</v>
      </c>
      <c r="E295" s="616"/>
      <c r="F295" s="616"/>
      <c r="G295" s="616"/>
      <c r="H295" s="1670">
        <f>H293</f>
        <v>0</v>
      </c>
      <c r="I295" s="616"/>
      <c r="J295" s="616"/>
      <c r="K295" s="1670">
        <f>SUM(K229,K279,K280,K285,K293,K294)</f>
        <v>7281.1100000000006</v>
      </c>
      <c r="L295" s="1670">
        <f>SUM(L229,L279,L280,L285,L293,L294)</f>
        <v>7170</v>
      </c>
    </row>
    <row r="296" spans="1:14" ht="13.5" thickTop="1" x14ac:dyDescent="0.2">
      <c r="A296" s="2154" t="s">
        <v>996</v>
      </c>
      <c r="B296" s="2155"/>
      <c r="C296" s="616"/>
      <c r="D296" s="618"/>
      <c r="E296" s="616"/>
      <c r="F296" s="616"/>
      <c r="G296" s="616"/>
      <c r="H296" s="687"/>
      <c r="I296" s="616"/>
      <c r="J296" s="616"/>
      <c r="K296" s="1684">
        <f>'Revenues 9-14'!G268-'Expenditures 15-22'!K295</f>
        <v>-844.21000000000095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v>725</v>
      </c>
      <c r="F319" s="467"/>
      <c r="G319" s="467"/>
      <c r="H319" s="467"/>
      <c r="I319" s="467"/>
      <c r="J319" s="467"/>
      <c r="K319" s="1671">
        <f>SUM(C319:J319)</f>
        <v>725</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2000</v>
      </c>
      <c r="M320" s="665"/>
      <c r="N320" s="665"/>
    </row>
    <row r="321" spans="1:14" s="674" customFormat="1" x14ac:dyDescent="0.2">
      <c r="A321" s="1519" t="s">
        <v>300</v>
      </c>
      <c r="B321" s="697" t="s">
        <v>283</v>
      </c>
      <c r="C321" s="467"/>
      <c r="D321" s="467"/>
      <c r="E321" s="467">
        <v>1134</v>
      </c>
      <c r="F321" s="467"/>
      <c r="G321" s="467"/>
      <c r="H321" s="467"/>
      <c r="I321" s="467"/>
      <c r="J321" s="467"/>
      <c r="K321" s="1671">
        <f t="shared" si="24"/>
        <v>1134</v>
      </c>
      <c r="L321" s="467">
        <v>1200</v>
      </c>
      <c r="M321" s="665"/>
      <c r="N321" s="665"/>
    </row>
    <row r="322" spans="1:14" s="674" customFormat="1" x14ac:dyDescent="0.2">
      <c r="A322" s="1519" t="s">
        <v>238</v>
      </c>
      <c r="B322" s="697" t="s">
        <v>284</v>
      </c>
      <c r="C322" s="467"/>
      <c r="D322" s="467"/>
      <c r="E322" s="467">
        <v>6924</v>
      </c>
      <c r="F322" s="467"/>
      <c r="G322" s="467"/>
      <c r="H322" s="467"/>
      <c r="I322" s="467"/>
      <c r="J322" s="467"/>
      <c r="K322" s="1671">
        <f t="shared" si="24"/>
        <v>6924</v>
      </c>
      <c r="L322" s="467">
        <v>7200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650</v>
      </c>
      <c r="F327" s="467"/>
      <c r="G327" s="467"/>
      <c r="H327" s="467"/>
      <c r="I327" s="467"/>
      <c r="J327" s="467"/>
      <c r="K327" s="1671">
        <f t="shared" si="24"/>
        <v>650</v>
      </c>
      <c r="L327" s="467">
        <v>1200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9433</v>
      </c>
      <c r="F330" s="1670">
        <f t="shared" si="25"/>
        <v>0</v>
      </c>
      <c r="G330" s="1670">
        <f t="shared" si="25"/>
        <v>0</v>
      </c>
      <c r="H330" s="1670">
        <f t="shared" si="25"/>
        <v>0</v>
      </c>
      <c r="I330" s="1670">
        <f t="shared" si="25"/>
        <v>0</v>
      </c>
      <c r="J330" s="1670">
        <f t="shared" si="25"/>
        <v>0</v>
      </c>
      <c r="K330" s="1670">
        <f>SUM(K319:K329)</f>
        <v>9433</v>
      </c>
      <c r="L330" s="1670">
        <f>SUM(L319:L329)</f>
        <v>11600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9433</v>
      </c>
      <c r="F342" s="1670">
        <f>SUM(F330)</f>
        <v>0</v>
      </c>
      <c r="G342" s="1670">
        <f>SUM(G330)</f>
        <v>0</v>
      </c>
      <c r="H342" s="1670">
        <f>SUM(H330,H334,H340)</f>
        <v>0</v>
      </c>
      <c r="I342" s="1670">
        <f>SUM(I330)</f>
        <v>0</v>
      </c>
      <c r="J342" s="1670">
        <f>SUM(J330)</f>
        <v>0</v>
      </c>
      <c r="K342" s="1670">
        <f>SUM(K330,K334,K340)</f>
        <v>9433</v>
      </c>
      <c r="L342" s="1677">
        <f>SUM(L330,L340,L341)</f>
        <v>11600</v>
      </c>
    </row>
    <row r="343" spans="1:14" ht="12.75" customHeight="1" thickTop="1" x14ac:dyDescent="0.2">
      <c r="A343" s="2167" t="s">
        <v>996</v>
      </c>
      <c r="B343" s="2168"/>
      <c r="C343" s="616"/>
      <c r="D343" s="616"/>
      <c r="E343" s="616"/>
      <c r="F343" s="616"/>
      <c r="G343" s="616"/>
      <c r="H343" s="616"/>
      <c r="I343" s="616"/>
      <c r="J343" s="616"/>
      <c r="K343" s="1684">
        <f>'Revenues 9-14'!J268-'Expenditures 15-22'!K342</f>
        <v>6639.08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v>2511.5100000000002</v>
      </c>
      <c r="F349" s="466">
        <v>128.31</v>
      </c>
      <c r="G349" s="466"/>
      <c r="H349" s="466"/>
      <c r="I349" s="467"/>
      <c r="J349" s="467"/>
      <c r="K349" s="1671">
        <f>SUM(C349:J349)</f>
        <v>2639.82</v>
      </c>
      <c r="L349" s="466">
        <v>2700</v>
      </c>
    </row>
    <row r="350" spans="1:14" ht="12.75" customHeight="1" thickBot="1" x14ac:dyDescent="0.25">
      <c r="A350" s="1668" t="s">
        <v>719</v>
      </c>
      <c r="B350" s="1669" t="s">
        <v>35</v>
      </c>
      <c r="C350" s="1670">
        <f>SUM(C348:C349)</f>
        <v>0</v>
      </c>
      <c r="D350" s="1670">
        <f t="shared" ref="D350:L350" si="26">SUM(D348:D349)</f>
        <v>0</v>
      </c>
      <c r="E350" s="1670">
        <f t="shared" si="26"/>
        <v>2511.5100000000002</v>
      </c>
      <c r="F350" s="1670">
        <f t="shared" si="26"/>
        <v>128.31</v>
      </c>
      <c r="G350" s="1670">
        <f t="shared" si="26"/>
        <v>0</v>
      </c>
      <c r="H350" s="1670">
        <f t="shared" si="26"/>
        <v>0</v>
      </c>
      <c r="I350" s="1670">
        <f t="shared" si="26"/>
        <v>0</v>
      </c>
      <c r="J350" s="1670">
        <f t="shared" si="26"/>
        <v>0</v>
      </c>
      <c r="K350" s="1670">
        <f t="shared" si="26"/>
        <v>2639.82</v>
      </c>
      <c r="L350" s="1670">
        <f t="shared" si="26"/>
        <v>2700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2511.5100000000002</v>
      </c>
      <c r="F352" s="1670">
        <f t="shared" si="27"/>
        <v>128.31</v>
      </c>
      <c r="G352" s="1670">
        <f t="shared" si="27"/>
        <v>0</v>
      </c>
      <c r="H352" s="1670">
        <f t="shared" si="27"/>
        <v>0</v>
      </c>
      <c r="I352" s="1670">
        <f t="shared" si="27"/>
        <v>0</v>
      </c>
      <c r="J352" s="1670">
        <f t="shared" si="27"/>
        <v>0</v>
      </c>
      <c r="K352" s="1670">
        <f t="shared" si="27"/>
        <v>2639.82</v>
      </c>
      <c r="L352" s="1670">
        <f t="shared" si="27"/>
        <v>2700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2511.5100000000002</v>
      </c>
      <c r="F367" s="1670">
        <f t="shared" si="28"/>
        <v>128.31</v>
      </c>
      <c r="G367" s="1670">
        <f t="shared" si="28"/>
        <v>0</v>
      </c>
      <c r="H367" s="1670">
        <f t="shared" si="28"/>
        <v>0</v>
      </c>
      <c r="I367" s="1670">
        <f t="shared" si="28"/>
        <v>0</v>
      </c>
      <c r="J367" s="1670">
        <f t="shared" si="28"/>
        <v>0</v>
      </c>
      <c r="K367" s="1670">
        <f t="shared" si="28"/>
        <v>2639.82</v>
      </c>
      <c r="L367" s="1670">
        <f t="shared" si="28"/>
        <v>2700</v>
      </c>
    </row>
    <row r="368" spans="1:14" ht="13.5" thickTop="1" x14ac:dyDescent="0.2">
      <c r="A368" s="2154" t="s">
        <v>996</v>
      </c>
      <c r="B368" s="2155"/>
      <c r="C368" s="654"/>
      <c r="D368" s="654"/>
      <c r="E368" s="626"/>
      <c r="F368" s="626"/>
      <c r="G368" s="626"/>
      <c r="H368" s="626"/>
      <c r="I368" s="626"/>
      <c r="J368" s="623"/>
      <c r="K368" s="1671">
        <f>'Revenues 9-14'!K268-'Expenditures 15-22'!K367</f>
        <v>62.009999999999764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are an integral part of these statements.&amp;CPage 15-22</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4d435f69-8686-490b-bd6d-b153bf22ab50"/>
    <ds:schemaRef ds:uri="http://purl.org/dc/elements/1.1/"/>
    <ds:schemaRef ds:uri="d21dc803-237d-4c68-8692-8d731fd29118"/>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2020-01-09T15:13:28Z</cp:lastPrinted>
  <dcterms:created xsi:type="dcterms:W3CDTF">2003-10-29T19:06:34Z</dcterms:created>
  <dcterms:modified xsi:type="dcterms:W3CDTF">2020-01-10T16:44:22Z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