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274B126-5289-4372-8DC3-5288634A6FFE}"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E19" i="181"/>
  <c r="F19" i="181" s="1"/>
  <c r="F20" i="181" l="1"/>
  <c r="G20" i="181" s="1"/>
  <c r="G19"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352" i="29" l="1"/>
  <c r="J367" i="29" s="1"/>
  <c r="B7245" i="106" s="1"/>
  <c r="D7245" i="106" s="1"/>
  <c r="D6103" i="106"/>
  <c r="K76" i="4"/>
  <c r="B3586" i="106" s="1"/>
  <c r="D3586" i="106" s="1"/>
  <c r="E29" i="108"/>
  <c r="C342" i="29"/>
  <c r="B7216" i="106" s="1"/>
  <c r="D7216" i="106" s="1"/>
  <c r="B3647" i="106"/>
  <c r="D3647" i="106" s="1"/>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6" i="106" l="1"/>
  <c r="D7251" i="106"/>
  <c r="L114" i="29"/>
  <c r="C114" i="29"/>
  <c r="B757" i="106" s="1"/>
  <c r="D757" i="106" s="1"/>
  <c r="B5527" i="106"/>
  <c r="D5527" i="106" s="1"/>
  <c r="B5778" i="106"/>
  <c r="D5778" i="106" s="1"/>
  <c r="G6" i="4"/>
  <c r="B2604" i="106" s="1"/>
  <c r="D2604" i="106" s="1"/>
  <c r="B5770" i="106"/>
  <c r="D5770" i="106" s="1"/>
  <c r="K342" i="29"/>
  <c r="F13" i="34" s="1"/>
  <c r="L16" i="11"/>
  <c r="B2061" i="106" s="1"/>
  <c r="D2061" i="106" s="1"/>
  <c r="B2031" i="106"/>
  <c r="D2031"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<sst xmlns="http://schemas.openxmlformats.org/spreadsheetml/2006/main" count="5140" uniqueCount="2125">
  <si>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</si>
  <si>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</si>
  <si>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</si>
  <si>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</si>
  <si>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</si>
  <si>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</si>
  <si>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</si>
  <si>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</si>
  <si>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</si>
  <si>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</si>
  <si>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</si>
  <si>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</si>
  <si>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</si>
  <si>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</si>
  <si>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</si>
  <si>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</si>
  <si>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</si>
  <si>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</si>
  <si>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</si>
  <si>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</si>
  <si>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</si>
  <si>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</si>
  <si>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</si>
  <si>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</si>
  <si>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</si>
  <si>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</si>
  <si>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</si>
  <si>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</si>
  <si>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</si>
  <si>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</si>
  <si>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</si>
  <si>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</si>
  <si>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</si>
  <si>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</si>
  <si>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</si>
  <si>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</si>
  <si>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</si>
  <si>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</si>
  <si>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</si>
  <si>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</si>
  <si>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</si>
  <si>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</si>
  <si>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</si>
  <si>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</si>
  <si>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</si>
  <si>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</si>
  <si>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</si>
  <si>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</si>
  <si>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</si>
  <si>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</si>
  <si>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</si>
  <si>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</si>
  <si>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</si>
  <si>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</si>
  <si>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</si>
  <si>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</si>
  <si>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</si>
  <si>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</si>
  <si>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</si>
  <si>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</si>
  <si>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</si>
  <si>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</si>
  <si>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</si>
  <si>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</si>
  <si>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</si>
  <si>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</si>
  <si>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</si>
  <si>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</si>
  <si>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</si>
  <si>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</si>
  <si>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</si>
  <si>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</si>
  <si>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</si>
  <si>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</si>
  <si>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</si>
  <si>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</si>
  <si>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</si>
  <si>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</si>
  <si>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</si>
  <si>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</si>
  <si>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</si>
  <si>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</si>
  <si>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</si>
  <si>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</si>
  <si>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</si>
  <si>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</si>
  <si>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</si>
  <si>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</si>
  <si>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</si>
  <si>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</si>
  <si>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</si>
  <si>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</si>
  <si>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</si>
  <si>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</si>
  <si>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</si>
  <si>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</si>
  <si>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</si>
  <si>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</si>
  <si>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</si>
  <si>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</si>
  <si>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</si>
  <si>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</si>
  <si>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</si>
  <si>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</si>
  <si>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</si>
  <si>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</si>
  <si>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</si>
  <si>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</si>
  <si>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</si>
  <si>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</si>
  <si>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</si>
  <si>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</si>
  <si>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</si>
  <si>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</si>
  <si>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</si>
  <si>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</si>
  <si>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</si>
  <si>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</si>
  <si>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</si>
  <si>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</si>
  <si>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</si>
  <si>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</si>
  <si>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</si>
  <si>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</si>
  <si>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</si>
  <si>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</si>
  <si>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</si>
  <si>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</si>
  <si>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</si>
  <si>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</si>
  <si>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</si>
  <si>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</si>
  <si>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</si>
  <si>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</si>
  <si>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</si>
  <si>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</si>
  <si>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</si>
  <si>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</si>
  <si>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</si>
  <si>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</si>
  <si>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</si>
  <si>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</si>
  <si>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</si>
  <si>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</si>
  <si>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</si>
  <si>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</si>
  <si>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</si>
  <si>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</si>
  <si>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</si>
  <si>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</si>
  <si>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</si>
  <si>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</si>
  <si>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</si>
  <si>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</si>
  <si>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</si>
  <si>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</si>
  <si>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</si>
  <si>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</si>
  <si>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</si>
  <si>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</si>
  <si>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</si>
  <si>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</si>
  <si>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</si>
  <si>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</si>
  <si>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</si>
  <si>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</si>
  <si>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</si>
  <si>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</si>
  <si>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</si>
  <si>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</si>
  <si>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</si>
  <si>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</si>
  <si>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</si>
  <si>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</si>
  <si>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</si>
  <si>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</si>
  <si>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</si>
  <si>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</si>
  <si>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</si>
  <si>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</si>
  <si>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</si>
  <si>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</si>
  <si>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</si>
  <si>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</si>
  <si>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</si>
  <si>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</si>
  <si>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</si>
  <si>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</si>
  <si>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</si>
  <si>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</si>
  <si>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</si>
  <si>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</si>
  <si>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</si>
  <si>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</si>
  <si>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</si>
  <si>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</si>
  <si>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</si>
  <si>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</si>
  <si>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</si>
  <si>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</si>
  <si>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</si>
  <si>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</si>
  <si>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</si>
  <si>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</si>
  <si>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</si>
  <si>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</si>
  <si>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</si>
  <si>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</si>
  <si>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</si>
  <si>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</si>
  <si>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</si>
  <si>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</si>
  <si>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</si>
  <si>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</si>
  <si>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</si>
  <si>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</si>
  <si>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</si>
  <si>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</si>
  <si>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</si>
  <si>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</si>
  <si>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</si>
  <si>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</si>
  <si>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</si>
  <si>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</si>
  <si>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</si>
  <si>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</si>
  <si>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</si>
  <si>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</si>
  <si>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</si>
  <si>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</si>
  <si>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</si>
  <si>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</si>
  <si>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</si>
  <si>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</si>
  <si>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</si>
  <si>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</si>
  <si>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</si>
  <si>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</si>
  <si>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</si>
  <si>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</si>
  <si>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</si>
  <si>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</si>
  <si>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</si>
  <si>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</si>
  <si>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</si>
  <si>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</si>
  <si>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</si>
  <si>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</si>
  <si>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</si>
  <si>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</si>
  <si>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</si>
  <si>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</si>
  <si>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</si>
  <si>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</si>
  <si>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</si>
  <si>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</si>
  <si>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</si>
  <si>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</si>
  <si>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</si>
  <si>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</si>
  <si>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</si>
  <si>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</si>
  <si>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</si>
  <si>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</si>
  <si>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</si>
  <si>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</si>
  <si>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</si>
  <si>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</si>
  <si>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</si>
  <si>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</si>
  <si>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</si>
  <si>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</si>
  <si>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</si>
  <si>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</si>
  <si>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</si>
  <si>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</si>
  <si>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</si>
  <si>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</si>
  <si>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</si>
  <si>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</si>
  <si>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</si>
  <si>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</si>
  <si>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</si>
  <si>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</si>
  <si>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</si>
  <si>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</si>
  <si>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</si>
  <si>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</si>
  <si>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</si>
  <si>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</si>
  <si>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</si>
  <si>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</si>
  <si>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</si>
  <si>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</si>
  <si>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</si>
  <si>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</si>
  <si>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</si>
  <si>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</si>
  <si>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</si>
  <si>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</si>
  <si>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</si>
  <si>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</si>
  <si>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</si>
  <si>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</si>
  <si>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</si>
  <si>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</si>
  <si>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</si>
  <si>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</si>
  <si>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</si>
  <si>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</si>
  <si>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</si>
  <si>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</si>
  <si>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</si>
  <si>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</si>
  <si>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</si>
  <si>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</si>
  <si>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</si>
  <si>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</si>
  <si>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</si>
  <si>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</si>
  <si>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</si>
  <si>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</si>
  <si>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</si>
  <si>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</si>
  <si>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</si>
  <si>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</si>
  <si>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</si>
  <si>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</si>
  <si>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</si>
  <si>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</si>
  <si>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</si>
  <si>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</si>
  <si>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</si>
  <si>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</si>
  <si>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</si>
  <si>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</si>
  <si>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</si>
  <si>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</si>
  <si>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</si>
  <si>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</si>
  <si>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</si>
  <si>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</si>
  <si>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</si>
  <si>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</si>
  <si>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</si>
  <si>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</si>
  <si>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</si>
  <si>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</si>
  <si>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</si>
  <si>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</si>
  <si>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</si>
  <si>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</si>
  <si>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</si>
  <si>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</si>
  <si>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</si>
  <si>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</si>
  <si>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</si>
  <si>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</si>
  <si>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</si>
  <si>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</si>
  <si>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</si>
  <si>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</si>
  <si>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</si>
  <si>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</si>
  <si>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</si>
  <si>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</si>
  <si>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</si>
  <si>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</si>
  <si>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</si>
  <si>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</si>
  <si>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</si>
  <si>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</si>
  <si>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</si>
  <si>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</si>
  <si>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</si>
  <si>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</si>
  <si>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</si>
  <si>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</si>
  <si>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</si>
  <si>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</si>
  <si>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</si>
  <si>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</si>
  <si>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</si>
  <si>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</si>
  <si>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</si>
  <si>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</si>
  <si>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</si>
  <si>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</si>
  <si>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</si>
  <si>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</si>
  <si>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</si>
  <si>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</si>
  <si>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</si>
  <si>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</si>
  <si>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</si>
  <si>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</si>
  <si>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</si>
  <si>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</si>
  <si>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</si>
  <si>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</si>
  <si>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</si>
  <si>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</si>
  <si>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</si>
  <si>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</si>
  <si>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</si>
  <si>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</si>
  <si>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</si>
  <si>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</si>
  <si>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</si>
  <si>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</si>
  <si>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</si>
  <si>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</si>
  <si>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</si>
  <si>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</si>
  <si>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</si>
  <si>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</si>
  <si>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</si>
  <si>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</si>
  <si>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</si>
  <si>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</si>
  <si>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</si>
  <si>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</si>
  <si>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</si>
  <si>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</si>
  <si>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</si>
  <si>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</si>
  <si>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</si>
  <si>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</si>
  <si>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</si>
  <si>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</si>
  <si>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</si>
  <si>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</si>
  <si>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</si>
  <si>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</si>
  <si>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</si>
  <si>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</si>
  <si>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</si>
  <si>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</si>
  <si>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</si>
  <si>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</si>
  <si>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</si>
  <si>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</si>
  <si>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</si>
  <si>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</si>
  <si>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</si>
  <si>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</si>
  <si>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</si>
  <si>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</si>
  <si>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</si>
  <si>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</si>
  <si>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</si>
  <si>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</si>
  <si>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</si>
  <si>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</si>
  <si>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</si>
  <si>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</si>
  <si>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</si>
  <si>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</si>
  <si>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</si>
  <si>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</si>
  <si>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</si>
  <si>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</si>
  <si>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</si>
  <si>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</si>
  <si>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</si>
  <si>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</si>
  <si>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</si>
  <si>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</si>
  <si>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</si>
  <si>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</si>
  <si>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</si>
  <si>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</si>
  <si>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</si>
  <si>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</si>
  <si>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</si>
  <si>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</si>
  <si>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</si>
  <si>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</si>
  <si>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</si>
  <si>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</si>
  <si>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</si>
  <si>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</si>
  <si>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</si>
  <si>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</si>
  <si>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</si>
  <si>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</si>
  <si>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</si>
  <si>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</si>
  <si>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</si>
  <si>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</si>
  <si>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</si>
  <si>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</si>
  <si>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</si>
  <si>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</si>
  <si>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</si>
  <si>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</si>
  <si>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</si>
  <si>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</si>
  <si>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</si>
  <si>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</si>
  <si>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</si>
  <si>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</si>
  <si>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</si>
  <si>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</si>
  <si>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</si>
  <si>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</si>
  <si>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</si>
  <si>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</si>
  <si>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</si>
  <si>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</si>
  <si>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</si>
  <si>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</si>
  <si>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</si>
  <si>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</si>
  <si>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</si>
  <si>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</si>
  <si>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</si>
  <si>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</si>
  <si>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</si>
  <si>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</si>
  <si>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</si>
  <si>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</si>
  <si>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</si>
  <si>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</si>
  <si>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</si>
  <si>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</si>
  <si>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</si>
  <si>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</si>
  <si>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</si>
  <si>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</si>
  <si>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</si>
  <si>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</si>
  <si>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</si>
  <si>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</si>
  <si>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</si>
  <si>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</si>
  <si>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</si>
  <si>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</si>
  <si>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</si>
  <si>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</si>
  <si>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</si>
  <si>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</si>
  <si>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</si>
  <si>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</si>
  <si>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</si>
  <si>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</si>
  <si>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</si>
  <si>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</si>
  <si>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</si>
  <si>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</si>
  <si>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</si>
  <si>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</si>
  <si>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</si>
  <si>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</si>
  <si>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</si>
  <si>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</si>
  <si>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</si>
  <si>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</si>
  <si>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</si>
  <si>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</si>
  <si>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</si>
  <si>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</si>
  <si>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</si>
  <si>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</si>
  <si>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</si>
  <si>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</si>
  <si>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</si>
  <si>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</si>
  <si>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</si>
  <si>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</si>
  <si>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</si>
  <si>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</si>
  <si>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</si>
  <si>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</si>
  <si>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</si>
  <si>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</si>
  <si>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</si>
  <si>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</si>
  <si>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</si>
  <si>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</si>
  <si>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</si>
  <si>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</si>
  <si>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</si>
  <si>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</si>
  <si>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</si>
  <si>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</si>
  <si>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</si>
  <si>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</si>
  <si>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</si>
  <si>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</si>
  <si>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</si>
  <si>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</si>
  <si>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</si>
  <si>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</si>
  <si>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</si>
  <si>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</si>
  <si>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</si>
  <si>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</si>
  <si>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</si>
  <si>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</si>
  <si>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</si>
  <si>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</si>
  <si>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</si>
  <si>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</si>
  <si>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</si>
  <si>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</si>
  <si>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</si>
  <si>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</si>
  <si>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</si>
  <si>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</si>
  <si>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</si>
  <si>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</si>
  <si>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</si>
  <si>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</si>
  <si>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</si>
  <si>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</si>
  <si>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</si>
  <si>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</si>
  <si>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</si>
  <si>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</si>
  <si>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</si>
  <si>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</si>
  <si>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</si>
  <si>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</si>
  <si>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</si>
  <si>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</si>
  <si>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</si>
  <si>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</si>
  <si>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</si>
  <si>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</si>
  <si>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</si>
  <si>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</si>
  <si>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</si>
  <si>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</si>
  <si>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</si>
  <si>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</si>
  <si>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</si>
  <si>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</si>
  <si>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</si>
  <si>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</si>
  <si>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</si>
  <si>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</si>
  <si>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</si>
  <si>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</si>
  <si>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</si>
  <si>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</si>
  <si>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</si>
  <si>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</si>
  <si>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</si>
  <si>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</si>
  <si>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</si>
  <si>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</si>
  <si>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</si>
  <si>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</si>
  <si>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</si>
  <si>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</si>
  <si>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</si>
  <si>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</si>
  <si>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</si>
  <si>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</si>
  <si>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</si>
  <si>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</si>
  <si>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</si>
  <si>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</si>
  <si>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</si>
  <si>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</si>
  <si>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</si>
  <si>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</si>
  <si>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</si>
  <si>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</si>
  <si>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</si>
  <si>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</si>
  <si>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</si>
  <si>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</si>
  <si>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</si>
  <si>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</si>
  <si>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</si>
  <si>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</si>
  <si>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</si>
  <si>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</si>
  <si>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</si>
  <si>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</si>
  <si>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</si>
  <si>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</si>
  <si>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</si>
  <si>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</si>
  <si>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</si>
  <si>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</si>
  <si>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</si>
  <si>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</si>
  <si>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</si>
  <si>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</si>
  <si>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</si>
  <si>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</si>
  <si>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</si>
  <si>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</si>
  <si>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</si>
  <si>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</si>
  <si>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</si>
  <si>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</si>
  <si>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</si>
  <si>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</si>
  <si>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</si>
  <si>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</si>
  <si>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</si>
  <si>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</si>
  <si>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</si>
  <si>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</si>
  <si>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</si>
  <si>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</si>
  <si>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</si>
  <si>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</si>
  <si>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</si>
  <si>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</si>
  <si>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</si>
  <si>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</si>
  <si>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</si>
  <si>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</si>
  <si>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</si>
  <si>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</si>
  <si>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</si>
  <si>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</si>
  <si>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</si>
  <si>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</si>
  <si>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</si>
  <si>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</si>
  <si>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</si>
  <si>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</si>
  <si>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</si>
  <si>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</si>
  <si>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</si>
  <si>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</si>
  <si>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</si>
  <si>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</si>
  <si>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</si>
  <si>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</si>
  <si>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</si>
  <si>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</si>
  <si>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</si>
  <si>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</si>
  <si>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</si>
  <si>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</si>
  <si>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</si>
  <si>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</si>
  <si>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</si>
  <si>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</si>
  <si>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</si>
  <si>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</si>
  <si>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</si>
  <si>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</si>
  <si>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</si>
  <si>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</si>
  <si>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</si>
  <si>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</si>
  <si>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</si>
  <si>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</si>
  <si>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</si>
  <si>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</si>
  <si>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</si>
  <si>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</si>
  <si>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</si>
  <si>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</si>
  <si>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</si>
  <si>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</si>
  <si>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</si>
  <si>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</si>
  <si>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</si>
  <si>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</si>
  <si>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</si>
  <si>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</si>
  <si>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</si>
  <si>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</si>
  <si>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</si>
  <si>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</si>
  <si>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</si>
  <si>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</si>
  <si>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</si>
  <si>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</si>
  <si>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</si>
  <si>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</si>
  <si>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</si>
  <si>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</si>
  <si>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</si>
  <si>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</si>
  <si>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</si>
  <si>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</si>
  <si>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</si>
  <si>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</si>
  <si>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</si>
  <si>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</si>
  <si>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</si>
  <si>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</si>
  <si>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</si>
  <si>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</si>
  <si>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</si>
  <si>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</si>
  <si>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</si>
  <si>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</si>
  <si>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</si>
  <si>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</si>
  <si>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</si>
  <si>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</si>
  <si>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</si>
  <si>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</si>
  <si>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</si>
  <si>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</si>
  <si>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</si>
  <si>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</si>
  <si>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</si>
  <si>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</si>
  <si>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</si>
  <si>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</si>
  <si>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</si>
  <si>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</si>
  <si>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</si>
  <si>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</si>
  <si>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</si>
  <si>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</si>
  <si>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</si>
  <si>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</si>
  <si>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</si>
  <si>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</si>
  <si>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</si>
  <si>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</si>
  <si>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</si>
  <si>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</si>
  <si>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</si>
  <si>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</si>
  <si>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</si>
  <si>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</si>
  <si>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</si>
  <si>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</si>
  <si>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</si>
  <si>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</si>
  <si>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</si>
  <si>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</si>
  <si>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</si>
  <si>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</si>
  <si>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</si>
  <si>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</si>
  <si>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</si>
  <si>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</si>
  <si>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</si>
  <si>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</si>
  <si>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</si>
  <si>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</si>
  <si>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</si>
  <si>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</si>
  <si>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</si>
  <si>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</si>
  <si>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</si>
  <si>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</si>
  <si>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</si>
  <si>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</si>
  <si>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</si>
  <si>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</si>
  <si>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</si>
  <si>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</si>
  <si>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</si>
  <si>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</si>
  <si>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</si>
  <si>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</si>
  <si>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</si>
  <si>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</si>
  <si>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</si>
  <si>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</si>
  <si>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</si>
  <si>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</si>
  <si>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</si>
  <si>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</si>
  <si>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</si>
  <si>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</si>
  <si>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</si>
  <si>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</si>
  <si>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</si>
  <si>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</si>
  <si>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</si>
  <si>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</si>
  <si>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</si>
  <si>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</si>
  <si>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</si>
  <si>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</si>
  <si>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</si>
  <si>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</si>
  <si>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</si>
  <si>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</si>
  <si>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</si>
  <si>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</si>
  <si>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</si>
  <si>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</si>
  <si>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</si>
  <si>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</si>
  <si>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</si>
  <si>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</si>
  <si>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</si>
  <si>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</si>
  <si>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</si>
  <si>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</si>
  <si>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</si>
  <si>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</si>
  <si>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</si>
  <si>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</si>
  <si>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</si>
  <si>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</si>
  <si>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</si>
  <si>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</si>
  <si>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</si>
  <si>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</si>
  <si>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</si>
  <si>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</si>
  <si>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</si>
  <si>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</si>
  <si>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</si>
  <si>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</si>
  <si>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</si>
  <si>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</si>
  <si>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</si>
  <si>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</si>
  <si>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</si>
  <si>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</si>
  <si>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</si>
  <si>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</si>
  <si>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</si>
  <si>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</si>
  <si>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</si>
  <si>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</si>
  <si>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</si>
  <si>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</si>
  <si>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</si>
  <si>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</si>
  <si>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</si>
  <si>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</si>
  <si>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</si>
  <si>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</si>
  <si>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</si>
  <si>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</si>
  <si>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</si>
  <si>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</si>
  <si>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</si>
  <si>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</si>
  <si>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</si>
  <si>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</si>
  <si>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</si>
  <si>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</si>
  <si>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</si>
  <si>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</si>
  <si>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</si>
  <si>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</si>
  <si>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</si>
  <si>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</si>
  <si>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</si>
  <si>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</si>
  <si>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</si>
  <si>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</si>
  <si>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</si>
  <si>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</si>
  <si>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</si>
  <si>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</si>
  <si>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</si>
  <si>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</si>
  <si>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</si>
  <si>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</si>
  <si>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</si>
  <si>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</si>
  <si>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</si>
  <si>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</si>
  <si>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</si>
  <si>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</si>
  <si>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</si>
  <si>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</si>
  <si>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</si>
  <si>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</si>
  <si>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</si>
  <si>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</si>
  <si>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</si>
  <si>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</si>
  <si>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</si>
  <si>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</si>
  <si>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</si>
  <si>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</si>
  <si>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</si>
  <si>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</si>
  <si>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</si>
  <si>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</si>
  <si>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</si>
  <si>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</si>
  <si>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</si>
  <si>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</si>
  <si>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</si>
  <si>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</si>
  <si>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</si>
  <si>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</si>
  <si>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</si>
  <si>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</si>
  <si>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</si>
  <si>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</si>
  <si>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</si>
  <si>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</si>
  <si>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</si>
  <si>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</si>
  <si>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</si>
  <si>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</si>
  <si>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</si>
  <si>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</si>
  <si>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</si>
  <si>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</si>
  <si>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</si>
  <si>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</si>
  <si>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</si>
  <si>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</si>
  <si>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</si>
  <si>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</si>
  <si>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</si>
  <si>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</si>
  <si>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</si>
  <si>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</si>
  <si>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</si>
  <si>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</si>
  <si>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</si>
  <si>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</si>
  <si>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</si>
  <si>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</si>
  <si>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</si>
  <si>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</si>
  <si>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</si>
  <si>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</si>
  <si>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</si>
  <si>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</si>
  <si>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</si>
  <si>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</si>
  <si>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</si>
  <si>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</si>
  <si>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</si>
  <si>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</si>
  <si>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</si>
  <si>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</si>
  <si>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</si>
  <si>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</si>
  <si>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</si>
  <si>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</si>
  <si>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</si>
  <si>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</si>
  <si>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</si>
  <si>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</si>
  <si>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</si>
  <si>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</si>
  <si>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</si>
  <si>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</si>
  <si>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</si>
  <si>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</si>
  <si>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</si>
  <si>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</si>
  <si>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</si>
  <si>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</si>
  <si>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</si>
  <si>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</si>
  <si>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</si>
  <si>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</si>
  <si>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</si>
  <si>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</si>
  <si>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</si>
  <si>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</si>
  <si>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</si>
  <si>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</si>
  <si>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</si>
  <si>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</si>
  <si>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</si>
  <si>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</si>
  <si>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</si>
  <si>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</si>
  <si>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</si>
  <si>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</si>
  <si>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</si>
  <si>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</si>
  <si>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</si>
  <si>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</si>
  <si>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</si>
  <si>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</si>
  <si>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</si>
  <si>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</si>
  <si>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</si>
  <si>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</si>
  <si>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</si>
  <si>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</si>
  <si>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</si>
  <si>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</si>
  <si>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</si>
  <si>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</si>
  <si>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</si>
  <si>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</si>
  <si>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</si>
  <si>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</si>
  <si>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</si>
  <si>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</si>
  <si>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</si>
  <si>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</si>
  <si>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</si>
  <si>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</si>
  <si>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</si>
  <si>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</si>
  <si>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</si>
  <si>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</si>
  <si>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</si>
  <si>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</si>
  <si>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</si>
  <si>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</si>
  <si>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</si>
  <si>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</si>
  <si>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</si>
  <si>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</si>
  <si>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</si>
  <si>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</si>
  <si>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</si>
  <si>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</si>
  <si>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</si>
  <si>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</si>
  <si>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</si>
  <si>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</si>
  <si>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</si>
  <si>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</si>
  <si>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</si>
  <si>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</si>
  <si>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</si>
  <si>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</si>
  <si>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</si>
  <si>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</si>
  <si>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</si>
  <si>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</si>
  <si>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</si>
  <si>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</si>
  <si>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</si>
  <si>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</si>
  <si>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</si>
  <si>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</si>
  <si>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</si>
  <si>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</si>
  <si>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</si>
  <si>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</si>
  <si>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</si>
  <si>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</si>
  <si>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</si>
  <si>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</si>
  <si>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</si>
  <si>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</si>
  <si>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</si>
  <si>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</si>
  <si>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</si>
  <si>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</si>
  <si>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</si>
  <si>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</si>
  <si>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</si>
  <si>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</si>
  <si>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</si>
  <si>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</si>
  <si>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</si>
  <si>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</si>
  <si>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</si>
  <si>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</si>
  <si>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</si>
  <si>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</si>
  <si>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</si>
  <si>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</si>
  <si>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</si>
  <si>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</si>
  <si>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</si>
  <si>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</si>
  <si>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</si>
  <si>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</si>
  <si>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</si>
  <si>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</si>
  <si>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</si>
  <si>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</si>
  <si>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</si>
  <si>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</si>
  <si>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</si>
  <si>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</si>
  <si>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</si>
  <si>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</si>
  <si>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</si>
  <si>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</si>
  <si>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</si>
  <si>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</si>
  <si>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</si>
  <si>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</si>
  <si>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</si>
  <si>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</si>
  <si>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</si>
  <si>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</si>
  <si>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</si>
  <si>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</si>
  <si>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</si>
  <si>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</si>
  <si>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</si>
  <si>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</si>
  <si>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</si>
  <si>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</si>
  <si>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</si>
  <si>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</si>
  <si>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</si>
  <si>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</si>
  <si>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</si>
  <si>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</si>
  <si>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</si>
  <si>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</si>
  <si>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</si>
  <si>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</si>
  <si>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</si>
  <si>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</si>
  <si>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</si>
  <si>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</si>
  <si>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</si>
  <si>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</si>
  <si>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</si>
  <si>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</si>
  <si>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</si>
  <si>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</si>
  <si>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</si>
  <si>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</si>
  <si>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</si>
  <si>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</si>
  <si>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</si>
  <si>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</si>
  <si>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</si>
  <si>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</si>
  <si>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</si>
  <si>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</si>
  <si>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</si>
  <si>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</si>
  <si>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</si>
  <si>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</si>
  <si>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</si>
  <si>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</si>
  <si>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</si>
  <si>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</si>
  <si>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</si>
  <si>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</si>
  <si>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</si>
  <si>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</si>
  <si>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</si>
  <si>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</si>
  <si>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</si>
  <si>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</si>
  <si>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</si>
  <si>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</si>
  <si>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</si>
  <si>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</si>
  <si>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</si>
  <si>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</si>
  <si>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</si>
  <si>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</si>
  <si>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</si>
  <si>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</si>
  <si>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</si>
  <si>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</si>
  <si>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</si>
  <si>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</si>
  <si>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</si>
  <si>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</si>
  <si>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</si>
  <si>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</si>
  <si>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</si>
  <si>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</si>
  <si>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</si>
  <si>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</si>
  <si>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</si>
  <si>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</si>
  <si>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</si>
  <si>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</si>
  <si>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</si>
  <si>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</si>
  <si>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</si>
  <si>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</si>
  <si>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</si>
  <si>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</si>
  <si>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</si>
  <si>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</si>
  <si>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</si>
  <si>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</si>
  <si>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</si>
  <si>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</si>
  <si>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</si>
  <si>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</si>
  <si>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</si>
  <si>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</si>
  <si>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</si>
  <si>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</si>
  <si>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</si>
  <si>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</si>
  <si>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</si>
  <si>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</si>
  <si>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</si>
  <si>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</si>
  <si>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</si>
  <si>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</si>
  <si>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</si>
  <si>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</si>
  <si>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</si>
  <si>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</si>
  <si>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</si>
  <si>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</si>
  <si>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</si>
  <si>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</si>
  <si>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</si>
  <si>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</si>
  <si>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</si>
  <si>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</si>
  <si>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</si>
  <si>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</si>
  <si>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</si>
  <si>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</si>
  <si>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</si>
  <si>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</si>
  <si>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</si>
  <si>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</si>
  <si>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</si>
  <si>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</si>
  <si>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</si>
  <si>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</si>
  <si>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</si>
  <si>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</si>
  <si>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</si>
  <si>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</si>
  <si>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</si>
  <si>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</si>
  <si>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</si>
  <si>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</si>
  <si>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</si>
  <si>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</si>
  <si>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</si>
  <si>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</si>
  <si>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</si>
  <si>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</si>
  <si>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</si>
  <si>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</si>
  <si>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</si>
  <si>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</si>
  <si>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</si>
  <si>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</si>
  <si>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</si>
  <si>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</si>
  <si>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</si>
  <si>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</si>
  <si>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</si>
  <si>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</si>
  <si>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</si>
  <si>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</si>
  <si>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</si>
  <si>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</si>
  <si>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</si>
  <si>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</si>
  <si>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</si>
  <si>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</si>
  <si>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</si>
  <si>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</si>
  <si>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</si>
  <si>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</si>
  <si>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</si>
  <si>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</si>
  <si>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</si>
  <si>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</si>
  <si>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</si>
  <si>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</si>
  <si>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</si>
  <si>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</si>
  <si>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</si>
  <si>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</si>
  <si>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</si>
  <si>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</si>
  <si>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</si>
  <si>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</si>
  <si>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</si>
  <si>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</si>
  <si>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</si>
  <si>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</si>
  <si>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</si>
  <si>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</si>
  <si>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</si>
  <si>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</si>
  <si>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</si>
  <si>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</si>
  <si>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</si>
  <si>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</si>
  <si>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</si>
  <si>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</si>
  <si>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</si>
  <si>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</si>
  <si>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</si>
  <si>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</si>
  <si>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</si>
  <si>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</si>
  <si>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</si>
  <si>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</si>
  <si>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</si>
  <si>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</si>
  <si>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</si>
  <si>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</si>
  <si>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</si>
  <si>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</si>
  <si>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</si>
  <si>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</si>
  <si>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</si>
  <si>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</si>
  <si>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</si>
  <si>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</si>
  <si>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</si>
  <si>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</si>
  <si>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</si>
  <si>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</si>
  <si>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</si>
  <si>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</si>
  <si>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</si>
  <si>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</si>
  <si>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</si>
  <si>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</si>
  <si>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</si>
  <si>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</si>
  <si>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</si>
  <si>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</si>
  <si>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</si>
  <si>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</si>
  <si>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</si>
  <si>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</si>
  <si>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</si>
  <si>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</si>
  <si>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</si>
  <si>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</si>
  <si>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</si>
  <si>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</si>
  <si>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</si>
  <si>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</si>
  <si>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</si>
  <si>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</si>
  <si>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</si>
  <si>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</si>
  <si>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</si>
  <si>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</si>
  <si>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</si>
  <si>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</si>
  <si>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</si>
  <si>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</si>
  <si>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</si>
  <si>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</si>
  <si>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</si>
  <si>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</si>
  <si>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</si>
  <si>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</si>
  <si>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</si>
  <si>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</si>
  <si>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</si>
  <si>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</si>
  <si>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</si>
  <si>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</si>
  <si>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</si>
  <si>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</si>
  <si>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</si>
  <si>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</si>
  <si>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</si>
  <si>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</si>
  <si>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</si>
  <si>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</si>
  <si>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</si>
  <si>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</si>
  <si>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</si>
  <si>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</si>
  <si>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</si>
  <si>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</si>
  <si>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</si>
  <si>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</si>
  <si>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</si>
  <si>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</si>
  <si>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</si>
  <si>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</si>
  <si>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</si>
  <si>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</si>
  <si>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</si>
  <si>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</si>
  <si>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</si>
  <si>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</si>
  <si>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</si>
  <si>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</si>
  <si>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</si>
  <si>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</si>
  <si>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</si>
  <si>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</si>
  <si>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</si>
  <si>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</si>
  <si>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</si>
  <si>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</si>
  <si>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</si>
  <si>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</si>
  <si>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</si>
  <si>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</si>
  <si>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</si>
  <si>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</si>
  <si>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</si>
  <si>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</si>
  <si>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</si>
  <si>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</si>
  <si>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</si>
  <si>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</si>
  <si>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</si>
  <si>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</si>
  <si>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</si>
  <si>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</si>
  <si>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</si>
  <si>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</si>
  <si>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</si>
  <si>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</si>
  <si>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</si>
  <si>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</si>
  <si>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</si>
  <si>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</si>
  <si>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</si>
  <si>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</si>
  <si>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</si>
  <si>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</si>
  <si>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</si>
  <si>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</si>
  <si>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</si>
  <si>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</si>
  <si>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</si>
  <si>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</si>
  <si>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</si>
  <si>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</si>
  <si>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</si>
  <si>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</si>
  <si>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</si>
  <si>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</si>
  <si>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</si>
  <si>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</si>
  <si>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</si>
  <si>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</si>
  <si>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</si>
  <si>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</si>
  <si>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</si>
  <si>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</si>
  <si>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</si>
  <si>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</si>
  <si>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</si>
  <si>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</si>
  <si>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</si>
  <si>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</si>
  <si>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</si>
  <si>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</si>
  <si>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</si>
  <si>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</si>
  <si>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</si>
  <si>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</si>
  <si>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</si>
  <si>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</si>
  <si>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</si>
  <si>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</si>
  <si>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</si>
  <si>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</si>
  <si>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</si>
  <si>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</si>
  <si>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</si>
  <si>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</si>
  <si>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</si>
  <si>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</si>
  <si>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</si>
  <si>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</si>
  <si>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</si>
  <si>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</si>
  <si>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</si>
  <si>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</si>
  <si>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</si>
  <si>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</si>
  <si>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</si>
  <si>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</si>
  <si>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</si>
  <si>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</si>
  <si>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</si>
  <si>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</si>
  <si>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</si>
  <si>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</si>
  <si>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</si>
  <si>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</si>
  <si>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</si>
  <si>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</si>
  <si>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</si>
  <si>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</si>
  <si>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</si>
  <si>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</si>
  <si>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</si>
  <si>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</si>
  <si>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</si>
  <si>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</si>
  <si>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</si>
  <si>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</si>
  <si>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</si>
  <si>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</si>
  <si>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</si>
  <si>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</si>
  <si>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</si>
  <si>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</si>
  <si>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</si>
  <si>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</si>
  <si>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</si>
  <si>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</si>
  <si>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</si>
  <si>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</si>
  <si>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</si>
  <si>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</si>
  <si>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</si>
  <si>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</si>
  <si>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</si>
  <si>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</si>
  <si>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</si>
  <si>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</si>
  <si>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</si>
  <si>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</si>
  <si>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</si>
  <si>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</si>
  <si>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</si>
  <si>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</si>
  <si>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</si>
  <si>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</si>
  <si>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</si>
  <si>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</si>
  <si>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</si>
  <si>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</si>
  <si>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</si>
  <si>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</si>
  <si>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</si>
  <si>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</si>
  <si>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</si>
  <si>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</si>
  <si>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</si>
  <si>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</si>
  <si>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</si>
  <si>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</si>
  <si>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</si>
  <si>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</si>
  <si>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</si>
  <si>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</si>
  <si>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</si>
  <si>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</si>
  <si>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</si>
  <si>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</si>
  <si>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</si>
  <si>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</si>
  <si>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</si>
  <si>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</si>
  <si>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</si>
  <si>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</si>
  <si>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</si>
  <si>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</si>
  <si>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</si>
  <si>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</si>
  <si>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</si>
  <si>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</si>
  <si>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</si>
  <si>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</si>
  <si>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</si>
  <si>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</si>
  <si>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</si>
  <si>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</si>
  <si>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</si>
  <si>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</si>
  <si>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</si>
  <si>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</si>
  <si>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</si>
  <si>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</si>
  <si>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</si>
  <si>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</si>
  <si>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</si>
  <si>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</si>
  <si>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</si>
  <si>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</si>
  <si>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</si>
  <si>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</si>
  <si>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</si>
  <si>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</si>
  <si>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</si>
  <si>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</si>
  <si>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</si>
  <si>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</si>
  <si>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</si>
  <si>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</si>
  <si>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</si>
  <si>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</si>
  <si>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</si>
  <si>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</si>
  <si>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</si>
  <si>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</si>
  <si>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</si>
  <si>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</si>
  <si>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</si>
  <si>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</si>
  <si>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</si>
  <si>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</si>
  <si>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</si>
  <si>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</si>
  <si>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</si>
  <si>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</si>
  <si>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</si>
  <si>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</si>
  <si>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</si>
  <si>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</si>
  <si>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</si>
  <si>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</si>
  <si>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</si>
  <si>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</si>
  <si>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</si>
  <si>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</si>
  <si>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</si>
  <si>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</si>
  <si>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</si>
  <si>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</si>
  <si>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</si>
  <si>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</si>
  <si>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</si>
  <si>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</si>
  <si>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</si>
  <si>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</si>
  <si>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</si>
  <si>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</si>
  <si>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</si>
  <si>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</si>
  <si>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</si>
  <si>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</si>
  <si>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</si>
  <si>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</si>
  <si>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</si>
  <si>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</si>
  <si>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</si>
  <si>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</si>
  <si>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</si>
  <si>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</si>
  <si>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</si>
  <si>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</si>
  <si>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</si>
  <si>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</si>
  <si>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</si>
  <si>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</si>
  <si>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</si>
  <si>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</si>
  <si>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</si>
  <si>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</si>
  <si>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</si>
  <si>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</si>
  <si>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</si>
  <si>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</si>
  <si>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</si>
  <si>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</si>
  <si>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</si>
  <si>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</si>
  <si>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</si>
  <si>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</si>
  <si>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</si>
  <si>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</si>
  <si>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</si>
  <si>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</si>
  <si>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</si>
  <si>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</si>
  <si>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</si>
  <si>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</si>
  <si>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</si>
  <si>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</si>
  <si>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</si>
  <si>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</si>
  <si>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</si>
  <si>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</si>
  <si>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</si>
  <si>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</si>
  <si>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</si>
  <si>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</si>
  <si>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</si>
  <si>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</si>
  <si>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</si>
  <si>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</si>
  <si>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</si>
  <si>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</si>
  <si>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</si>
  <si>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</si>
  <si>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</si>
  <si>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</si>
  <si>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</si>
  <si>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</si>
  <si>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</si>
  <si>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</si>
  <si>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</si>
  <si>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</si>
  <si>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</si>
  <si>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</si>
  <si>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</si>
  <si>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</si>
  <si>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</si>
  <si>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</si>
  <si>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</si>
  <si>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</si>
  <si>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</si>
  <si>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</si>
  <si>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</si>
  <si>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</si>
  <si>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</si>
  <si>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</si>
  <si>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</si>
  <si>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</si>
  <si>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</si>
  <si>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</si>
  <si>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</si>
  <si>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</si>
  <si>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</si>
  <si>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</si>
  <si>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</si>
  <si>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</si>
  <si>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</si>
  <si>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</si>
  <si>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</si>
  <si>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</si>
  <si>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</si>
  <si>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</si>
  <si>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</si>
  <si>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</si>
  <si>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</si>
  <si>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</si>
  <si>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</si>
  <si>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</si>
  <si>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</si>
  <si>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</si>
  <si>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</si>
  <si>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</si>
  <si>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</si>
  <si>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</si>
  <si>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</si>
  <si>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</si>
  <si>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</si>
  <si>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</si>
  <si>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</si>
  <si>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</si>
  <si>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</si>
  <si>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</si>
  <si>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</si>
  <si>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</si>
  <si>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</si>
  <si>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</si>
  <si>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</si>
  <si>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</si>
  <si>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</si>
  <si>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</si>
  <si>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</si>
  <si>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</si>
  <si>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</si>
  <si>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</si>
  <si>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</si>
  <si>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</si>
  <si>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</si>
  <si>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</si>
  <si>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</si>
  <si>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</si>
  <si>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</si>
  <si>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</si>
  <si>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</si>
  <si>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</si>
  <si>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</si>
  <si>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</si>
  <si>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</si>
  <si>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</si>
  <si>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</si>
  <si>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</si>
  <si>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</si>
  <si>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</si>
  <si>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</si>
  <si>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</si>
  <si>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</si>
  <si>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</si>
  <si>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</si>
  <si>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</si>
  <si>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</si>
  <si>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</si>
  <si>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</si>
  <si>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</si>
  <si>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</si>
  <si>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</si>
  <si>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</si>
  <si>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</si>
  <si>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</si>
  <si>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</si>
  <si>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</si>
  <si>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</si>
  <si>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</si>
  <si>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</si>
  <si>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</si>
  <si>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</si>
  <si>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</si>
  <si>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</si>
  <si>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</si>
  <si>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</si>
  <si>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</si>
  <si>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</si>
  <si>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</si>
  <si>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</si>
  <si>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</si>
  <si>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</si>
  <si>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</si>
  <si>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</si>
  <si>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</si>
  <si>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</si>
  <si>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</si>
  <si>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</si>
  <si>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</si>
  <si>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</si>
  <si>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</si>
  <si>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</si>
  <si>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</si>
  <si>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</si>
  <si>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</si>
  <si>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</si>
  <si>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</si>
  <si>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</si>
  <si>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</si>
  <si>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</si>
  <si>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</si>
  <si>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</si>
  <si>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</si>
  <si>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</si>
  <si>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</si>
  <si>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</si>
  <si>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</si>
  <si>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</si>
  <si>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</si>
  <si>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</si>
  <si>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</si>
  <si>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</si>
  <si>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</si>
  <si>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</si>
  <si>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</si>
  <si>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</si>
  <si>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</si>
  <si>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</si>
  <si>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</si>
  <si>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</si>
  <si>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</si>
  <si>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</si>
  <si>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</si>
  <si>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</si>
  <si>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</si>
  <si>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</si>
  <si>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</si>
  <si>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</si>
  <si>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</si>
  <si>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</si>
  <si>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</si>
  <si>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</si>
  <si>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</si>
  <si>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</si>
  <si>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</si>
  <si>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</si>
  <si>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</si>
  <si>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</si>
  <si>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</si>
  <si>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</si>
  <si>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</si>
  <si>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</si>
  <si>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</si>
  <si>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</si>
  <si>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</si>
  <si>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</si>
  <si>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</si>
  <si>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</si>
  <si>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</si>
  <si>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</si>
  <si>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</si>
  <si>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</si>
  <si>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</si>
  <si>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</si>
  <si>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</si>
  <si>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</si>
  <si>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</si>
  <si>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</si>
  <si>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</si>
  <si>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</si>
  <si>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</si>
  <si>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</si>
  <si>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</si>
  <si>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</si>
  <si>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</si>
  <si>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</si>
  <si>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</si>
  <si>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</si>
  <si>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</si>
  <si>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</si>
  <si>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</si>
  <si>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</si>
  <si>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</si>
  <si>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</si>
  <si>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</si>
  <si>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</si>
  <si>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</si>
  <si>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</si>
  <si>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</si>
  <si>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</si>
  <si>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</si>
  <si>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</si>
  <si>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</si>
  <si>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</si>
  <si>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</si>
  <si>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</si>
  <si>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</si>
  <si>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</si>
  <si>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</si>
  <si>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</si>
  <si>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</si>
  <si>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</si>
  <si>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</si>
  <si>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</si>
  <si>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</si>
  <si>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</si>
  <si>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</si>
  <si>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</si>
  <si>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</si>
  <si>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</si>
  <si>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</si>
  <si>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</si>
  <si>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</si>
  <si>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</si>
  <si>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</si>
  <si>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</si>
  <si>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</si>
  <si>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</si>
  <si>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</si>
  <si>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</si>
  <si>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</si>
  <si>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</si>
  <si>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</si>
  <si>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</si>
  <si>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</si>
  <si>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</si>
  <si>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</si>
  <si>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</si>
  <si>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</si>
  <si>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</si>
  <si>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</si>
  <si>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</si>
  <si>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</si>
  <si>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</si>
  <si>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</si>
  <si>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</si>
  <si>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</si>
  <si>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</si>
  <si>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</si>
  <si>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</si>
  <si>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</si>
  <si>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</si>
  <si>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</si>
  <si>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</si>
  <si>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</si>
  <si>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</si>
  <si>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</si>
  <si>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</si>
  <si>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</si>
  <si>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</si>
  <si>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</si>
  <si>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</si>
  <si>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</si>
  <si>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</si>
  <si>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</si>
  <si>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</si>
  <si>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</si>
  <si>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</si>
  <si>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</si>
  <si>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</si>
  <si>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</si>
  <si>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</si>
  <si>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</si>
  <si>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</si>
  <si>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</si>
  <si>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</si>
  <si>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</si>
  <si>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</si>
  <si>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</si>
  <si>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</si>
  <si>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</si>
  <si>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</si>
  <si>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</si>
  <si>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</si>
  <si>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</si>
  <si>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</si>
  <si>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</si>
  <si>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</si>
  <si>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</si>
  <si>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</si>
  <si>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JEFFERSON</t>
  </si>
  <si>
    <t>1201 BETHEL ROAD</t>
  </si>
  <si>
    <t>MT. VERNON</t>
  </si>
  <si>
    <t>ckujawa@bethelschool.net</t>
  </si>
  <si>
    <t>618-244-8095</t>
  </si>
  <si>
    <t>618-244-8096</t>
  </si>
  <si>
    <t>RON DANIELS</t>
  </si>
  <si>
    <t>rdaniels@roe13.org</t>
  </si>
  <si>
    <t>Limited School Bonds, Series 1999</t>
  </si>
  <si>
    <t>General Obligation Bonds(Alternate Revenue) Series 2011</t>
  </si>
  <si>
    <t>Alternate Revenue</t>
  </si>
  <si>
    <t>ED-Instruction-Purchased Service</t>
  </si>
  <si>
    <t>10-1000-300</t>
  </si>
  <si>
    <t>Rend Lake College</t>
  </si>
  <si>
    <t>US Bank</t>
  </si>
  <si>
    <t>TR-Support Services-Purchased Service</t>
  </si>
  <si>
    <t>40-2550-300</t>
  </si>
  <si>
    <t>Midwest Bus Sales, Inc.</t>
  </si>
  <si>
    <t>Egyptian Area Schools Employee Benefit Trust</t>
  </si>
  <si>
    <t>Ameren Energy Marketing &amp; Nextera Energy</t>
  </si>
  <si>
    <t>Regional Office of Education #13</t>
  </si>
  <si>
    <t>Franklin-Jefferson Special Education District 801</t>
  </si>
  <si>
    <t>McClellan District #12 - Sports</t>
  </si>
  <si>
    <t>Page 10, Line 108 - Education - Soda, Library Book, and Reimbursements; Operations and Maintenance - Erate and refund</t>
  </si>
  <si>
    <t>Page 10, Line 72 - Milk Sales</t>
  </si>
  <si>
    <t>Page 12, Line 168 - Healthy Communities Grant</t>
  </si>
  <si>
    <t>Page 12, Line 183 - REAP Grant</t>
  </si>
  <si>
    <t>Page 15, Line 141 - Extra Duty</t>
  </si>
  <si>
    <t>Page 19, Line 237 - Extra Duty Benefits</t>
  </si>
  <si>
    <t>Page 25, Line 10 - Mobile Home Privilage Tax</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</si>
  <si>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</si>
  <si>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bank reconciliation is not reviewed by anyone independent of the receipt and disbursement process.</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</si>
  <si>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</si>
  <si>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</si>
  <si>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</si>
  <si>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receive the bank statement unopened and review it for unusual items.  The bank statement should be forwarded to the bookkeeper to complete the bank reconciliation.  The reconciliation should then be returned to the Superintendent for review to ensure that it is completed timely and agrees to the general ledger account balance.  The review needs to be documented with the Superintendent's initials on the bank statement and reconciliation.</t>
  </si>
  <si>
    <t xml:space="preserve">Due to the small size of the District and its limited funds, hiring additional personnel is not feasible.  The District agrees with the finding and recommendation. </t>
  </si>
  <si>
    <t>CRAIG KUJAWA</t>
  </si>
  <si>
    <t>Illinois Counties Risk Management Trust</t>
  </si>
  <si>
    <t>See PDF on opinion page</t>
  </si>
  <si>
    <t>BETHEL SD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</si>
</sst>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3</xdr:row>
          <xdr:rowOff>142875</xdr:rowOff>
        </xdr:from>
        <xdr:to>
          <xdr:col>1</xdr:col>
          <xdr:colOff>2514600</xdr:colOff>
          <xdr:row>8</xdr:row>
          <xdr:rowOff>19050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5" t="s">
        <v>405</v>
      </c>
      <c r="J1" s="2016"/>
      <c r="K1" s="2016"/>
      <c r="L1" s="2016"/>
      <c r="M1" s="2016"/>
      <c r="N1" s="2016"/>
      <c r="O1" s="2016"/>
      <c r="P1" s="2016"/>
      <c r="Q1" s="2016"/>
      <c r="R1" s="2016"/>
      <c r="S1" s="2016"/>
    </row>
    <row r="2" spans="1:28" ht="12" customHeight="1" x14ac:dyDescent="0.2">
      <c r="A2" s="47" t="s">
        <v>1991</v>
      </c>
      <c r="D2" s="48"/>
      <c r="I2" s="2017" t="s">
        <v>979</v>
      </c>
      <c r="J2" s="2016"/>
      <c r="K2" s="2016"/>
      <c r="L2" s="2016"/>
      <c r="M2" s="2016"/>
      <c r="N2" s="2016"/>
      <c r="O2" s="2016"/>
      <c r="P2" s="2016"/>
      <c r="Q2" s="2016"/>
      <c r="R2" s="2016"/>
      <c r="S2" s="2016"/>
    </row>
    <row r="3" spans="1:28" ht="12" customHeight="1" x14ac:dyDescent="0.2">
      <c r="A3" s="155" t="s">
        <v>1943</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2065</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2065</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13041082002</v>
      </c>
      <c r="B13" s="1986"/>
      <c r="C13" s="1986"/>
      <c r="D13" s="1986"/>
      <c r="E13" s="1986"/>
      <c r="F13" s="1986"/>
      <c r="G13" s="1986"/>
      <c r="H13" s="1987"/>
      <c r="I13" s="31"/>
      <c r="J13" s="30"/>
      <c r="K13" s="28"/>
      <c r="L13" s="30"/>
      <c r="M13" s="30"/>
      <c r="N13" s="30"/>
      <c r="O13" s="30"/>
      <c r="P13" s="30"/>
      <c r="Q13" s="30"/>
      <c r="R13" s="30"/>
      <c r="S13" s="30"/>
      <c r="T13" s="1990" t="s">
        <v>2066</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2084</v>
      </c>
      <c r="B15" s="1988"/>
      <c r="C15" s="1988"/>
      <c r="D15" s="1988"/>
      <c r="E15" s="1988"/>
      <c r="F15" s="1988"/>
      <c r="G15" s="1988"/>
      <c r="H15" s="1989"/>
      <c r="T15" s="1951" t="s">
        <v>2067</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2124</v>
      </c>
      <c r="B17" s="2013"/>
      <c r="C17" s="2013"/>
      <c r="D17" s="2013"/>
      <c r="E17" s="2013"/>
      <c r="F17" s="2013"/>
      <c r="G17" s="2013"/>
      <c r="H17" s="2014"/>
      <c r="T17" s="2000" t="s">
        <v>2068</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2085</v>
      </c>
      <c r="B19" s="1984"/>
      <c r="C19" s="1984"/>
      <c r="D19" s="1984"/>
      <c r="E19" s="1984"/>
      <c r="F19" s="1984"/>
      <c r="G19" s="1984"/>
      <c r="H19" s="1982"/>
      <c r="I19" s="30"/>
      <c r="J19" s="99"/>
      <c r="K19" s="40"/>
      <c r="L19" s="38"/>
      <c r="M19" s="112" t="s">
        <v>315</v>
      </c>
      <c r="P19" s="27"/>
      <c r="Q19" s="27"/>
      <c r="R19" s="27"/>
      <c r="S19" s="31"/>
      <c r="T19" s="1983" t="s">
        <v>2069</v>
      </c>
      <c r="U19" s="1981"/>
      <c r="V19" s="1981"/>
      <c r="W19" s="1982"/>
      <c r="X19" s="1998" t="s">
        <v>2070</v>
      </c>
      <c r="Y19" s="1999"/>
      <c r="Z19" s="1996">
        <v>62870</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2086</v>
      </c>
      <c r="B21" s="1981"/>
      <c r="C21" s="1981"/>
      <c r="D21" s="1981"/>
      <c r="E21" s="1981"/>
      <c r="F21" s="1981"/>
      <c r="G21" s="1981"/>
      <c r="H21" s="1982"/>
      <c r="I21" s="2006" t="s">
        <v>678</v>
      </c>
      <c r="J21" s="1969"/>
      <c r="K21" s="1969"/>
      <c r="L21" s="1969"/>
      <c r="M21" s="1969"/>
      <c r="N21" s="1969"/>
      <c r="O21" s="1969"/>
      <c r="P21" s="1969"/>
      <c r="Q21" s="1969"/>
      <c r="R21" s="1969"/>
      <c r="S21" s="1970"/>
      <c r="T21" s="1948" t="s">
        <v>2071</v>
      </c>
      <c r="U21" s="1949"/>
      <c r="V21" s="1949"/>
      <c r="W21" s="1949"/>
      <c r="X21" s="1962" t="s">
        <v>2072</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2087</v>
      </c>
      <c r="B23" s="2004"/>
      <c r="C23" s="2004"/>
      <c r="D23" s="2004"/>
      <c r="E23" s="2004"/>
      <c r="F23" s="2004"/>
      <c r="G23" s="2004"/>
      <c r="H23" s="2005"/>
      <c r="T23" s="1943" t="s">
        <v>2073</v>
      </c>
      <c r="U23" s="1944"/>
      <c r="V23" s="1944"/>
      <c r="W23" s="1944"/>
      <c r="X23" s="1959">
        <v>44530</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62864</v>
      </c>
      <c r="B25" s="1981"/>
      <c r="C25" s="1981"/>
      <c r="D25" s="1981"/>
      <c r="E25" s="1981"/>
      <c r="F25" s="1981"/>
      <c r="G25" s="1981"/>
      <c r="H25" s="1982"/>
      <c r="I25" s="113"/>
      <c r="J25" s="2047"/>
      <c r="K25" s="2047"/>
      <c r="L25" s="2047"/>
      <c r="M25" s="2047"/>
      <c r="N25" s="2047"/>
      <c r="O25" s="2047"/>
      <c r="P25" s="2047"/>
      <c r="Q25" s="2047"/>
      <c r="R25" s="2047"/>
      <c r="S25" s="2048"/>
      <c r="T25" s="1940" t="s">
        <v>2074</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2121</v>
      </c>
      <c r="B38" s="2013"/>
      <c r="C38" s="2013"/>
      <c r="D38" s="2013"/>
      <c r="E38" s="2013"/>
      <c r="F38" s="1981"/>
      <c r="G38" s="1981"/>
      <c r="H38" s="1982"/>
      <c r="I38" s="2032"/>
      <c r="J38" s="1952"/>
      <c r="K38" s="1952"/>
      <c r="L38" s="1952"/>
      <c r="M38" s="1952"/>
      <c r="N38" s="1952"/>
      <c r="O38" s="1952"/>
      <c r="P38" s="1953"/>
      <c r="Q38" s="1953"/>
      <c r="R38" s="1953"/>
      <c r="S38" s="1954"/>
      <c r="T38" s="1951" t="s">
        <v>2090</v>
      </c>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2087</v>
      </c>
      <c r="B40" s="2040"/>
      <c r="C40" s="2041"/>
      <c r="D40" s="2041"/>
      <c r="E40" s="2041"/>
      <c r="F40" s="2042"/>
      <c r="G40" s="2042"/>
      <c r="H40" s="2043"/>
      <c r="I40" s="1955"/>
      <c r="J40" s="1957"/>
      <c r="K40" s="1957"/>
      <c r="L40" s="1957"/>
      <c r="M40" s="1957"/>
      <c r="N40" s="1957"/>
      <c r="O40" s="1957"/>
      <c r="P40" s="1957"/>
      <c r="Q40" s="1957"/>
      <c r="R40" s="1957"/>
      <c r="S40" s="1958"/>
      <c r="T40" s="1955" t="s">
        <v>2091</v>
      </c>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2088</v>
      </c>
      <c r="B42" s="2030"/>
      <c r="C42" s="2031"/>
      <c r="D42" s="2044" t="s">
        <v>2089</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39" sqref="A39:B3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F118" sqref="F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36161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2082</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2066</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2123</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39" sqref="A39:B3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21592778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1.4253999999999999E-2</v>
      </c>
      <c r="E10" s="356" t="s">
        <v>1005</v>
      </c>
      <c r="F10" s="355">
        <v>2.9618999999999999E-3</v>
      </c>
      <c r="G10" s="356" t="s">
        <v>1005</v>
      </c>
      <c r="H10" s="355">
        <v>1.3652E-3</v>
      </c>
      <c r="I10" s="356" t="s">
        <v>1006</v>
      </c>
      <c r="J10" s="1730">
        <f>ROUND(D10+F10+H10,5)</f>
        <v>1.8579999999999999E-2</v>
      </c>
      <c r="K10" s="222"/>
      <c r="L10" s="355">
        <v>4.86E-4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1576912</v>
      </c>
      <c r="E16" s="356"/>
      <c r="F16" s="1731">
        <f>SUM('Acct Summary 7-8'!C17,'Acct Summary 7-8'!D17,'Acct Summary 7-8'!F17)</f>
        <v>1472509</v>
      </c>
      <c r="G16" s="356"/>
      <c r="H16" s="1731">
        <f>SUM(D16-F16)</f>
        <v>104403</v>
      </c>
      <c r="I16" s="222"/>
      <c r="J16" s="1731">
        <f>SUM('Acct Summary 7-8'!C81,'Acct Summary 7-8'!D81,'Acct Summary 7-8'!F81,'Acct Summary 7-8'!I81)</f>
        <v>1146511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3">
        <f>IF(B31="X",(J7*0.069),IF(B32="X",(J7*0.138),"Enter x in a.or b."))</f>
        <v>1489901.682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140000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39" sqref="A39:B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BETHEL SD 82</v>
      </c>
      <c r="E7" s="391"/>
      <c r="G7" s="252"/>
      <c r="H7" s="387"/>
      <c r="I7" s="387"/>
      <c r="J7" s="387"/>
      <c r="K7" s="387"/>
      <c r="L7" s="329"/>
      <c r="M7" s="329"/>
      <c r="N7" s="329"/>
      <c r="O7" s="329"/>
      <c r="P7" s="329"/>
    </row>
    <row r="8" spans="1:18" ht="12.75" x14ac:dyDescent="0.2">
      <c r="A8" s="329"/>
      <c r="B8" s="329"/>
      <c r="C8" s="389" t="s">
        <v>1125</v>
      </c>
      <c r="D8" s="392">
        <f>COVER!A13</f>
        <v>13041082002</v>
      </c>
      <c r="E8" s="393"/>
      <c r="G8" s="329"/>
      <c r="H8" s="329"/>
      <c r="I8" s="329"/>
      <c r="J8" s="329"/>
      <c r="K8" s="329"/>
      <c r="L8" s="329"/>
      <c r="M8" s="329"/>
      <c r="N8" s="329"/>
      <c r="O8" s="329"/>
      <c r="P8" s="329"/>
    </row>
    <row r="9" spans="1:18" ht="12.75" x14ac:dyDescent="0.2">
      <c r="A9" s="329"/>
      <c r="B9" s="329"/>
      <c r="C9" s="389" t="s">
        <v>713</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1146511</v>
      </c>
      <c r="I12" s="404"/>
      <c r="J12" s="404"/>
      <c r="K12" s="405">
        <f>TRUNC((H12/H13*100000),5)/100000</f>
        <v>0.72706086320000007</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1576912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1472509</v>
      </c>
      <c r="I17" s="404"/>
      <c r="J17" s="416"/>
      <c r="K17" s="405">
        <f>TRUNC((H17/H18*100000),5)/100000</f>
        <v>0.93379275439999998</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1576912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1134011</v>
      </c>
      <c r="I24" s="422"/>
      <c r="J24" s="422"/>
      <c r="K24" s="423">
        <f>TRUNC(((H24/H25*100000)/100000),2)</f>
        <v>277.24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4090.30278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341014.74294999999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140000</v>
      </c>
      <c r="I32" s="420"/>
      <c r="J32" s="420"/>
      <c r="K32" s="423">
        <f>TRUNC(100-((((H32/H33*100))*100)/100),2)</f>
        <v>90.6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1489901.682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39" sqref="A39:B39"/>
      <selection pane="bottomLeft" activeCell="A39" sqref="A39:B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1063271</v>
      </c>
      <c r="D4" s="466">
        <v>26469</v>
      </c>
      <c r="E4" s="466">
        <v>13869</v>
      </c>
      <c r="F4" s="466">
        <v>44271</v>
      </c>
      <c r="G4" s="466">
        <v>26485</v>
      </c>
      <c r="H4" s="466">
        <v>21</v>
      </c>
      <c r="I4" s="466"/>
      <c r="J4" s="467">
        <v>49231</v>
      </c>
      <c r="K4" s="466">
        <v>54388</v>
      </c>
      <c r="L4" s="466">
        <v>27983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12500</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1075771</v>
      </c>
      <c r="D13" s="1735">
        <f t="shared" ref="D13:L13" si="0">SUM(D4:D12)</f>
        <v>26469</v>
      </c>
      <c r="E13" s="1735">
        <f t="shared" si="0"/>
        <v>13869</v>
      </c>
      <c r="F13" s="1735">
        <f t="shared" si="0"/>
        <v>44271</v>
      </c>
      <c r="G13" s="1735">
        <f t="shared" si="0"/>
        <v>26485</v>
      </c>
      <c r="H13" s="1735">
        <f t="shared" si="0"/>
        <v>21</v>
      </c>
      <c r="I13" s="1735">
        <f t="shared" si="0"/>
        <v>0</v>
      </c>
      <c r="J13" s="1735">
        <f t="shared" si="0"/>
        <v>49231</v>
      </c>
      <c r="K13" s="1735">
        <f t="shared" si="0"/>
        <v>54388</v>
      </c>
      <c r="L13" s="1735">
        <f t="shared" si="0"/>
        <v>27983</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11500</v>
      </c>
      <c r="N16" s="484"/>
    </row>
    <row r="17" spans="1:14" s="485" customFormat="1" ht="12.75" customHeight="1" x14ac:dyDescent="0.2">
      <c r="A17" s="482" t="s">
        <v>1403</v>
      </c>
      <c r="B17" s="483">
        <v>230</v>
      </c>
      <c r="C17" s="477"/>
      <c r="D17" s="477"/>
      <c r="E17" s="477"/>
      <c r="F17" s="477"/>
      <c r="G17" s="477"/>
      <c r="H17" s="477"/>
      <c r="I17" s="477"/>
      <c r="J17" s="477"/>
      <c r="K17" s="477"/>
      <c r="L17" s="477"/>
      <c r="M17" s="467">
        <v>2199135</v>
      </c>
      <c r="N17" s="484"/>
    </row>
    <row r="18" spans="1:14" s="485" customFormat="1" ht="12.75" customHeight="1" x14ac:dyDescent="0.2">
      <c r="A18" s="482" t="s">
        <v>1404</v>
      </c>
      <c r="B18" s="483">
        <v>240</v>
      </c>
      <c r="C18" s="477"/>
      <c r="D18" s="477"/>
      <c r="E18" s="477"/>
      <c r="F18" s="477"/>
      <c r="G18" s="477"/>
      <c r="H18" s="477"/>
      <c r="I18" s="477"/>
      <c r="J18" s="477"/>
      <c r="K18" s="477"/>
      <c r="L18" s="477"/>
      <c r="M18" s="467">
        <v>26234</v>
      </c>
      <c r="N18" s="484"/>
    </row>
    <row r="19" spans="1:14" s="485" customFormat="1" ht="12.75" customHeight="1" x14ac:dyDescent="0.2">
      <c r="A19" s="482" t="s">
        <v>1405</v>
      </c>
      <c r="B19" s="483">
        <v>250</v>
      </c>
      <c r="C19" s="477"/>
      <c r="D19" s="477"/>
      <c r="E19" s="477"/>
      <c r="F19" s="477"/>
      <c r="G19" s="477"/>
      <c r="H19" s="477"/>
      <c r="I19" s="477"/>
      <c r="J19" s="477"/>
      <c r="K19" s="477"/>
      <c r="L19" s="477"/>
      <c r="M19" s="467">
        <v>619809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13869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126131</v>
      </c>
    </row>
    <row r="23" spans="1:14" ht="13.5" customHeight="1" thickBot="1" x14ac:dyDescent="0.25">
      <c r="A23" s="1734" t="s">
        <v>643</v>
      </c>
      <c r="B23" s="1739"/>
      <c r="C23" s="468"/>
      <c r="D23" s="468"/>
      <c r="E23" s="468"/>
      <c r="F23" s="468"/>
      <c r="G23" s="468"/>
      <c r="H23" s="468"/>
      <c r="I23" s="468"/>
      <c r="J23" s="468"/>
      <c r="K23" s="468"/>
      <c r="L23" s="468"/>
      <c r="M23" s="1686">
        <f>SUM(M15:M22)</f>
        <v>2856678</v>
      </c>
      <c r="N23" s="1686">
        <f>SUM(N21:N22)</f>
        <v>140000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v>12500</v>
      </c>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27983</v>
      </c>
      <c r="M33" s="468"/>
      <c r="N33" s="469"/>
    </row>
    <row r="34" spans="1:14" ht="13.5" customHeight="1" thickBot="1" x14ac:dyDescent="0.25">
      <c r="A34" s="1736" t="s">
        <v>654</v>
      </c>
      <c r="B34" s="1737"/>
      <c r="C34" s="1738">
        <f>SUM(C25:C33)</f>
        <v>0</v>
      </c>
      <c r="D34" s="1738">
        <f t="shared" ref="D34:K34" si="1">SUM(D25:D33)</f>
        <v>0</v>
      </c>
      <c r="E34" s="1738">
        <f t="shared" si="1"/>
        <v>12500</v>
      </c>
      <c r="F34" s="1738">
        <f t="shared" si="1"/>
        <v>0</v>
      </c>
      <c r="G34" s="1738">
        <f t="shared" si="1"/>
        <v>0</v>
      </c>
      <c r="H34" s="1738">
        <f t="shared" si="1"/>
        <v>0</v>
      </c>
      <c r="I34" s="1738">
        <f t="shared" si="1"/>
        <v>0</v>
      </c>
      <c r="J34" s="1738">
        <f t="shared" si="1"/>
        <v>0</v>
      </c>
      <c r="K34" s="1738">
        <f t="shared" si="1"/>
        <v>0</v>
      </c>
      <c r="L34" s="1719">
        <f>SUM(L33)</f>
        <v>27983</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140000</v>
      </c>
    </row>
    <row r="37" spans="1:14" ht="13.5" thickBot="1" x14ac:dyDescent="0.25">
      <c r="A37" s="1734" t="s">
        <v>653</v>
      </c>
      <c r="B37" s="1739"/>
      <c r="C37" s="477"/>
      <c r="D37" s="477"/>
      <c r="E37" s="477"/>
      <c r="F37" s="477"/>
      <c r="G37" s="477"/>
      <c r="H37" s="477"/>
      <c r="I37" s="477"/>
      <c r="J37" s="477"/>
      <c r="K37" s="477"/>
      <c r="L37" s="480"/>
      <c r="M37" s="468"/>
      <c r="N37" s="1686">
        <f>SUM(N36:N36)</f>
        <v>140000</v>
      </c>
    </row>
    <row r="38" spans="1:14" s="329" customFormat="1" ht="13.5" customHeight="1" thickTop="1" x14ac:dyDescent="0.2">
      <c r="A38" s="496" t="s">
        <v>420</v>
      </c>
      <c r="B38" s="483">
        <v>714</v>
      </c>
      <c r="C38" s="466">
        <v>2042</v>
      </c>
      <c r="D38" s="466"/>
      <c r="E38" s="466"/>
      <c r="F38" s="466"/>
      <c r="G38" s="466"/>
      <c r="H38" s="466"/>
      <c r="I38" s="466"/>
      <c r="J38" s="467"/>
      <c r="K38" s="466"/>
      <c r="L38" s="481"/>
      <c r="M38" s="497"/>
      <c r="N38" s="497"/>
    </row>
    <row r="39" spans="1:14" s="329" customFormat="1" ht="13.5" customHeight="1" x14ac:dyDescent="0.2">
      <c r="A39" s="496" t="s">
        <v>342</v>
      </c>
      <c r="B39" s="483">
        <v>730</v>
      </c>
      <c r="C39" s="466">
        <v>1073729</v>
      </c>
      <c r="D39" s="466">
        <v>26469</v>
      </c>
      <c r="E39" s="466">
        <v>1369</v>
      </c>
      <c r="F39" s="466">
        <v>44271</v>
      </c>
      <c r="G39" s="466">
        <v>26485</v>
      </c>
      <c r="H39" s="466">
        <v>21</v>
      </c>
      <c r="I39" s="466"/>
      <c r="J39" s="467">
        <v>49231</v>
      </c>
      <c r="K39" s="466">
        <v>54388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2856678</v>
      </c>
      <c r="N40" s="497"/>
    </row>
    <row r="41" spans="1:14" ht="13.5" customHeight="1" thickBot="1" x14ac:dyDescent="0.25">
      <c r="A41" s="1734" t="s">
        <v>655</v>
      </c>
      <c r="B41" s="1704"/>
      <c r="C41" s="1686">
        <f>(SUM(C34,C37,C38,C39))</f>
        <v>1075771</v>
      </c>
      <c r="D41" s="1686">
        <f t="shared" ref="D41:L41" si="2">SUM(D34,D37,D38:D39)</f>
        <v>26469</v>
      </c>
      <c r="E41" s="1686">
        <f t="shared" si="2"/>
        <v>13869</v>
      </c>
      <c r="F41" s="1686">
        <f t="shared" si="2"/>
        <v>44271</v>
      </c>
      <c r="G41" s="1686">
        <f t="shared" si="2"/>
        <v>26485</v>
      </c>
      <c r="H41" s="1686">
        <f t="shared" si="2"/>
        <v>21</v>
      </c>
      <c r="I41" s="1686">
        <f t="shared" si="2"/>
        <v>0</v>
      </c>
      <c r="J41" s="1686">
        <f t="shared" si="2"/>
        <v>49231</v>
      </c>
      <c r="K41" s="1686">
        <f t="shared" si="2"/>
        <v>54388</v>
      </c>
      <c r="L41" s="1686">
        <f t="shared" si="2"/>
        <v>27983</v>
      </c>
      <c r="M41" s="1686">
        <f>SUM(M40)</f>
        <v>2856678</v>
      </c>
      <c r="N41" s="1686">
        <f>SUM(N37)</f>
        <v>140000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A39" sqref="A39:B39"/>
      <selection pane="bottomLeft" activeCell="A39" sqref="A39:B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5" t="s">
        <v>1499</v>
      </c>
      <c r="B4" s="1926">
        <v>1000</v>
      </c>
      <c r="C4" s="1740">
        <f>'Revenues 9-14'!C109</f>
        <v>431543</v>
      </c>
      <c r="D4" s="1740">
        <f>'Revenues 9-14'!D109</f>
        <v>66793</v>
      </c>
      <c r="E4" s="1740">
        <f>'Revenues 9-14'!E109</f>
        <v>30229</v>
      </c>
      <c r="F4" s="1740">
        <f>'Revenues 9-14'!F109</f>
        <v>28749</v>
      </c>
      <c r="G4" s="1740">
        <f>'Revenues 9-14'!G109</f>
        <v>51242</v>
      </c>
      <c r="H4" s="1740">
        <f>'Revenues 9-14'!H109</f>
        <v>126</v>
      </c>
      <c r="I4" s="1740">
        <f>'Revenues 9-14'!I109</f>
        <v>10039</v>
      </c>
      <c r="J4" s="1740">
        <f>'Revenues 9-14'!J109</f>
        <v>116117</v>
      </c>
      <c r="K4" s="1740">
        <f>'Revenues 9-14'!K109</f>
        <v>11566</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721027</v>
      </c>
      <c r="D6" s="1741">
        <f>'Revenues 9-14'!D170</f>
        <v>7000</v>
      </c>
      <c r="E6" s="1741">
        <f>'Revenues 9-14'!E170</f>
        <v>25700</v>
      </c>
      <c r="F6" s="1741">
        <f>'Revenues 9-14'!F170</f>
        <v>39086</v>
      </c>
      <c r="G6" s="1741">
        <f>'Revenues 9-14'!G170</f>
        <v>860</v>
      </c>
      <c r="H6" s="1741">
        <f>'Revenues 9-14'!H170</f>
        <v>52995</v>
      </c>
      <c r="I6" s="1741">
        <f>'Revenues 9-14'!I170</f>
        <v>0</v>
      </c>
      <c r="J6" s="1741">
        <f>'Revenues 9-14'!J170</f>
        <v>10000</v>
      </c>
      <c r="K6" s="1741">
        <f>'Revenues 9-14'!K170</f>
        <v>0</v>
      </c>
      <c r="L6" s="347"/>
      <c r="M6" s="513"/>
    </row>
    <row r="7" spans="1:13" ht="15.75" customHeight="1" x14ac:dyDescent="0.2">
      <c r="A7" s="1576" t="s">
        <v>1502</v>
      </c>
      <c r="B7" s="1578">
        <v>4000</v>
      </c>
      <c r="C7" s="1741">
        <f>'Revenues 9-14'!C267</f>
        <v>272675</v>
      </c>
      <c r="D7" s="1741">
        <f>'Revenues 9-14'!D267</f>
        <v>0</v>
      </c>
      <c r="E7" s="1741">
        <f>'Revenues 9-14'!E267</f>
        <v>0</v>
      </c>
      <c r="F7" s="1741">
        <f>'Revenues 9-14'!F267</f>
        <v>0</v>
      </c>
      <c r="G7" s="1741">
        <f>'Revenues 9-14'!G267</f>
        <v>3559</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1425245</v>
      </c>
      <c r="D8" s="1686">
        <f t="shared" ref="D8:K8" si="0">SUM(D4:D7)</f>
        <v>73793</v>
      </c>
      <c r="E8" s="1686">
        <f t="shared" si="0"/>
        <v>55929</v>
      </c>
      <c r="F8" s="1686">
        <f t="shared" si="0"/>
        <v>67835</v>
      </c>
      <c r="G8" s="1686">
        <f t="shared" si="0"/>
        <v>55661</v>
      </c>
      <c r="H8" s="1686">
        <f t="shared" si="0"/>
        <v>53121</v>
      </c>
      <c r="I8" s="1686">
        <f t="shared" si="0"/>
        <v>10039</v>
      </c>
      <c r="J8" s="1686">
        <f t="shared" si="0"/>
        <v>126117</v>
      </c>
      <c r="K8" s="1686">
        <f t="shared" si="0"/>
        <v>11566</v>
      </c>
      <c r="L8" s="347"/>
    </row>
    <row r="9" spans="1:13" ht="15.75" thickTop="1" x14ac:dyDescent="0.2">
      <c r="A9" s="514" t="s">
        <v>1653</v>
      </c>
      <c r="B9" s="515">
        <v>3998</v>
      </c>
      <c r="C9" s="481">
        <v>537266</v>
      </c>
      <c r="D9" s="516"/>
      <c r="E9" s="481"/>
      <c r="F9" s="481"/>
      <c r="G9" s="517"/>
      <c r="H9" s="481"/>
      <c r="I9" s="509" t="s">
        <v>1169</v>
      </c>
      <c r="J9" s="478"/>
      <c r="K9" s="481"/>
      <c r="L9" s="347"/>
    </row>
    <row r="10" spans="1:13" s="519" customFormat="1" ht="13.5" thickBot="1" x14ac:dyDescent="0.25">
      <c r="A10" s="1734" t="s">
        <v>1173</v>
      </c>
      <c r="B10" s="1707"/>
      <c r="C10" s="1686">
        <f>SUM(C8:C9)</f>
        <v>1962511</v>
      </c>
      <c r="D10" s="1686">
        <f t="shared" ref="D10:K10" si="1">SUM(D8:D9)</f>
        <v>73793</v>
      </c>
      <c r="E10" s="1686">
        <f t="shared" si="1"/>
        <v>55929</v>
      </c>
      <c r="F10" s="1686">
        <f t="shared" si="1"/>
        <v>67835</v>
      </c>
      <c r="G10" s="1686">
        <f t="shared" si="1"/>
        <v>55661</v>
      </c>
      <c r="H10" s="1686">
        <f t="shared" si="1"/>
        <v>53121</v>
      </c>
      <c r="I10" s="1686">
        <f t="shared" si="1"/>
        <v>10039</v>
      </c>
      <c r="J10" s="1686">
        <f t="shared" si="1"/>
        <v>126117</v>
      </c>
      <c r="K10" s="1686">
        <f t="shared" si="1"/>
        <v>11566</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0">
        <f>'Expenditures 15-22'!K33</f>
        <v>982231</v>
      </c>
      <c r="D12" s="520" t="s">
        <v>1169</v>
      </c>
      <c r="E12" s="468" t="s">
        <v>1169</v>
      </c>
      <c r="F12" s="468" t="s">
        <v>1169</v>
      </c>
      <c r="G12" s="1740">
        <f>'Expenditures 15-22'!K229</f>
        <v>33469</v>
      </c>
      <c r="H12" s="521"/>
      <c r="I12" s="468" t="s">
        <v>1169</v>
      </c>
      <c r="J12" s="468" t="s">
        <v>1169</v>
      </c>
      <c r="K12" s="521" t="s">
        <v>1169</v>
      </c>
      <c r="L12" s="347"/>
    </row>
    <row r="13" spans="1:13" ht="15.75" customHeight="1" x14ac:dyDescent="0.2">
      <c r="A13" s="1576" t="s">
        <v>457</v>
      </c>
      <c r="B13" s="1578">
        <v>2000</v>
      </c>
      <c r="C13" s="1741">
        <f>'Expenditures 15-22'!K74</f>
        <v>295215</v>
      </c>
      <c r="D13" s="1741">
        <f>'Expenditures 15-22'!K129</f>
        <v>95979</v>
      </c>
      <c r="E13" s="469" t="s">
        <v>1169</v>
      </c>
      <c r="F13" s="1741">
        <f>'Expenditures 15-22'!K184</f>
        <v>54123</v>
      </c>
      <c r="G13" s="1741">
        <f>'Expenditures 15-22'!K279</f>
        <v>28218</v>
      </c>
      <c r="H13" s="1741">
        <f>'Expenditures 15-22'!K303</f>
        <v>53115</v>
      </c>
      <c r="I13" s="468" t="s">
        <v>1169</v>
      </c>
      <c r="J13" s="1741">
        <f>'Expenditures 15-22'!K330</f>
        <v>111456</v>
      </c>
      <c r="K13" s="1745">
        <f>'Expenditures 15-22'!K352</f>
        <v>23347</v>
      </c>
      <c r="L13" s="347"/>
    </row>
    <row r="14" spans="1:13" ht="15.75" customHeight="1" x14ac:dyDescent="0.2">
      <c r="A14" s="1576" t="s">
        <v>449</v>
      </c>
      <c r="B14" s="1578">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44961</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4079</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55010</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1322407</v>
      </c>
      <c r="D17" s="1686">
        <f t="shared" si="2"/>
        <v>95979</v>
      </c>
      <c r="E17" s="1686">
        <f t="shared" si="2"/>
        <v>55010</v>
      </c>
      <c r="F17" s="1686">
        <f t="shared" si="2"/>
        <v>54123</v>
      </c>
      <c r="G17" s="1686">
        <f t="shared" si="2"/>
        <v>61687</v>
      </c>
      <c r="H17" s="1686">
        <f t="shared" si="2"/>
        <v>53115</v>
      </c>
      <c r="I17" s="468"/>
      <c r="J17" s="1686">
        <f>SUM(J12:J16)</f>
        <v>115535</v>
      </c>
      <c r="K17" s="1686">
        <f>SUM(K12:K16)</f>
        <v>23347</v>
      </c>
      <c r="L17" s="347"/>
    </row>
    <row r="18" spans="1:12" ht="15" customHeight="1" thickTop="1" x14ac:dyDescent="0.2">
      <c r="A18" s="1742" t="s">
        <v>1654</v>
      </c>
      <c r="B18" s="1743">
        <v>4180</v>
      </c>
      <c r="C18" s="1740">
        <f t="shared" ref="C18:H18" si="3">C9</f>
        <v>537266</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1859673</v>
      </c>
      <c r="D19" s="1686">
        <f t="shared" si="4"/>
        <v>95979</v>
      </c>
      <c r="E19" s="1686">
        <f t="shared" si="4"/>
        <v>55010</v>
      </c>
      <c r="F19" s="1686">
        <f t="shared" si="4"/>
        <v>54123</v>
      </c>
      <c r="G19" s="1686">
        <f t="shared" si="4"/>
        <v>61687</v>
      </c>
      <c r="H19" s="1686">
        <f t="shared" si="4"/>
        <v>53115</v>
      </c>
      <c r="I19" s="468"/>
      <c r="J19" s="1686">
        <f>SUM(J17:J18)</f>
        <v>115535</v>
      </c>
      <c r="K19" s="1686">
        <f>SUM(K17:K18)</f>
        <v>23347</v>
      </c>
      <c r="L19" s="347"/>
    </row>
    <row r="20" spans="1:12" ht="16.5" thickTop="1" thickBot="1" x14ac:dyDescent="0.25">
      <c r="A20" s="2125" t="s">
        <v>1655</v>
      </c>
      <c r="B20" s="2126"/>
      <c r="C20" s="1744">
        <f>C8-C17</f>
        <v>102838</v>
      </c>
      <c r="D20" s="1744">
        <f t="shared" ref="D20:K20" si="5">D8-D17</f>
        <v>-22186</v>
      </c>
      <c r="E20" s="1744">
        <f t="shared" si="5"/>
        <v>919</v>
      </c>
      <c r="F20" s="1744">
        <f t="shared" si="5"/>
        <v>13712</v>
      </c>
      <c r="G20" s="1744">
        <f t="shared" si="5"/>
        <v>-6026</v>
      </c>
      <c r="H20" s="1744">
        <f t="shared" si="5"/>
        <v>6</v>
      </c>
      <c r="I20" s="1744">
        <f t="shared" si="5"/>
        <v>10039</v>
      </c>
      <c r="J20" s="1744">
        <f t="shared" si="5"/>
        <v>10582</v>
      </c>
      <c r="K20" s="1744">
        <f t="shared" si="5"/>
        <v>-11781</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v>10039</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1">
        <f>SUM(C24:C43)</f>
        <v>10039</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10039</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1">
        <f t="shared" ref="C76:K76" si="7">SUM(C47:C75)</f>
        <v>0</v>
      </c>
      <c r="D76" s="1701">
        <f t="shared" si="7"/>
        <v>0</v>
      </c>
      <c r="E76" s="1701">
        <f t="shared" si="7"/>
        <v>0</v>
      </c>
      <c r="F76" s="1701">
        <f t="shared" si="7"/>
        <v>0</v>
      </c>
      <c r="G76" s="1701">
        <f t="shared" si="7"/>
        <v>0</v>
      </c>
      <c r="H76" s="1701">
        <f t="shared" si="7"/>
        <v>0</v>
      </c>
      <c r="I76" s="1701">
        <f t="shared" si="7"/>
        <v>10039</v>
      </c>
      <c r="J76" s="1701">
        <f t="shared" si="7"/>
        <v>0</v>
      </c>
      <c r="K76" s="1701">
        <f t="shared" si="7"/>
        <v>0</v>
      </c>
      <c r="L76" s="524"/>
    </row>
    <row r="77" spans="1:12" ht="14.25" thickTop="1" thickBot="1" x14ac:dyDescent="0.25">
      <c r="A77" s="2117" t="s">
        <v>1177</v>
      </c>
      <c r="B77" s="2118"/>
      <c r="C77" s="1701">
        <f t="shared" ref="C77:K77" si="8">C44-C76</f>
        <v>10039</v>
      </c>
      <c r="D77" s="1701">
        <f t="shared" si="8"/>
        <v>0</v>
      </c>
      <c r="E77" s="1701">
        <f t="shared" si="8"/>
        <v>0</v>
      </c>
      <c r="F77" s="1701">
        <f t="shared" si="8"/>
        <v>0</v>
      </c>
      <c r="G77" s="1701">
        <f t="shared" si="8"/>
        <v>0</v>
      </c>
      <c r="H77" s="1701">
        <f t="shared" si="8"/>
        <v>0</v>
      </c>
      <c r="I77" s="1701">
        <f t="shared" si="8"/>
        <v>-10039</v>
      </c>
      <c r="J77" s="1701">
        <f t="shared" si="8"/>
        <v>0</v>
      </c>
      <c r="K77" s="1701">
        <f t="shared" si="8"/>
        <v>0</v>
      </c>
      <c r="L77" s="347"/>
    </row>
    <row r="78" spans="1:12" ht="21.75" customHeight="1" thickTop="1" thickBot="1" x14ac:dyDescent="0.25">
      <c r="A78" s="2121" t="s">
        <v>597</v>
      </c>
      <c r="B78" s="2122"/>
      <c r="C78" s="1700">
        <f t="shared" ref="C78:K78" si="9">C20+C77</f>
        <v>112877</v>
      </c>
      <c r="D78" s="1700">
        <f t="shared" si="9"/>
        <v>-22186</v>
      </c>
      <c r="E78" s="1700">
        <f t="shared" si="9"/>
        <v>919</v>
      </c>
      <c r="F78" s="1700">
        <f t="shared" si="9"/>
        <v>13712</v>
      </c>
      <c r="G78" s="1700">
        <f t="shared" si="9"/>
        <v>-6026</v>
      </c>
      <c r="H78" s="1700">
        <f t="shared" si="9"/>
        <v>6</v>
      </c>
      <c r="I78" s="1700">
        <f t="shared" si="9"/>
        <v>0</v>
      </c>
      <c r="J78" s="1700">
        <f t="shared" si="9"/>
        <v>10582</v>
      </c>
      <c r="K78" s="1700">
        <f t="shared" si="9"/>
        <v>-11781</v>
      </c>
      <c r="L78" s="533"/>
    </row>
    <row r="79" spans="1:12" ht="13.5" thickTop="1" x14ac:dyDescent="0.2">
      <c r="A79" s="1494" t="s">
        <v>1947</v>
      </c>
      <c r="B79" s="534"/>
      <c r="C79" s="478">
        <v>962894</v>
      </c>
      <c r="D79" s="535">
        <v>48655</v>
      </c>
      <c r="E79" s="535">
        <v>450</v>
      </c>
      <c r="F79" s="535">
        <v>30559</v>
      </c>
      <c r="G79" s="535">
        <v>32511</v>
      </c>
      <c r="H79" s="535">
        <v>15</v>
      </c>
      <c r="I79" s="535"/>
      <c r="J79" s="535">
        <v>38649</v>
      </c>
      <c r="K79" s="535">
        <v>66169</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1948</v>
      </c>
      <c r="B81" s="2120"/>
      <c r="C81" s="1686">
        <f>(SUM(C78:C80))</f>
        <v>1075771</v>
      </c>
      <c r="D81" s="1686">
        <f>SUM(D78:D80)</f>
        <v>26469</v>
      </c>
      <c r="E81" s="1686">
        <f t="shared" ref="E81:K81" si="10">SUM(E78:E80)</f>
        <v>1369</v>
      </c>
      <c r="F81" s="1686">
        <f t="shared" si="10"/>
        <v>44271</v>
      </c>
      <c r="G81" s="1686">
        <f t="shared" si="10"/>
        <v>26485</v>
      </c>
      <c r="H81" s="1686">
        <f t="shared" si="10"/>
        <v>21</v>
      </c>
      <c r="I81" s="1686">
        <f t="shared" si="10"/>
        <v>0</v>
      </c>
      <c r="J81" s="1686">
        <f t="shared" si="10"/>
        <v>49231</v>
      </c>
      <c r="K81" s="1686">
        <f t="shared" si="10"/>
        <v>54388</v>
      </c>
      <c r="L81" s="347"/>
    </row>
    <row r="82" spans="1:12" ht="0.75" customHeight="1" thickTop="1" thickBot="1" x14ac:dyDescent="0.25">
      <c r="A82" s="536" t="s">
        <v>343</v>
      </c>
      <c r="B82" s="537"/>
      <c r="C82" s="538">
        <f>(C81-C79)</f>
        <v>112877</v>
      </c>
      <c r="D82" s="538">
        <f t="shared" ref="D82:K82" si="11">(D81-D79)</f>
        <v>-22186</v>
      </c>
      <c r="E82" s="538">
        <f t="shared" si="11"/>
        <v>919</v>
      </c>
      <c r="F82" s="538">
        <f t="shared" si="11"/>
        <v>13712</v>
      </c>
      <c r="G82" s="538">
        <f t="shared" si="11"/>
        <v>-6026</v>
      </c>
      <c r="H82" s="538">
        <f t="shared" si="11"/>
        <v>6</v>
      </c>
      <c r="I82" s="538">
        <f t="shared" si="11"/>
        <v>0</v>
      </c>
      <c r="J82" s="538">
        <f t="shared" si="11"/>
        <v>10582</v>
      </c>
      <c r="K82" s="538">
        <f t="shared" si="11"/>
        <v>-11781</v>
      </c>
    </row>
    <row r="83" spans="1:12" ht="14.25" hidden="1" thickTop="1" thickBot="1" x14ac:dyDescent="0.25">
      <c r="A83" s="539" t="s">
        <v>344</v>
      </c>
      <c r="B83" s="464"/>
      <c r="C83" s="540">
        <f>C82/C81</f>
        <v>0.10492660612714044</v>
      </c>
      <c r="D83" s="540">
        <f t="shared" ref="D83:K83" si="12">D82/D81</f>
        <v>-0.83818806906192145</v>
      </c>
      <c r="E83" s="540">
        <f t="shared" si="12"/>
        <v>0.6712929145361578</v>
      </c>
      <c r="F83" s="540">
        <f t="shared" si="12"/>
        <v>0.30972871631542093</v>
      </c>
      <c r="G83" s="540">
        <f t="shared" si="12"/>
        <v>-0.2275250141589579</v>
      </c>
      <c r="H83" s="540">
        <f t="shared" si="12"/>
        <v>0.2857142857142857</v>
      </c>
      <c r="I83" s="540" t="e">
        <f t="shared" si="12"/>
        <v>#DIV/0!</v>
      </c>
      <c r="J83" s="540">
        <f t="shared" si="12"/>
        <v>0.21494586744124636</v>
      </c>
      <c r="K83" s="540">
        <f t="shared" si="12"/>
        <v>-0.2166102816797823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35" activePane="bottomLeft" state="frozen"/>
      <selection activeCell="A39" sqref="A39:B39"/>
      <selection pane="bottomLeft" activeCell="C146" sqref="C14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286878</v>
      </c>
      <c r="D5" s="481">
        <v>61060</v>
      </c>
      <c r="E5" s="466">
        <v>29758</v>
      </c>
      <c r="F5" s="548">
        <v>28067</v>
      </c>
      <c r="G5" s="466">
        <v>28067</v>
      </c>
      <c r="H5" s="466"/>
      <c r="I5" s="466">
        <v>9850</v>
      </c>
      <c r="J5" s="467">
        <v>114238</v>
      </c>
      <c r="K5" s="466">
        <v>10833</v>
      </c>
    </row>
    <row r="6" spans="1:12" ht="15" x14ac:dyDescent="0.2">
      <c r="A6" s="463" t="s">
        <v>1662</v>
      </c>
      <c r="B6" s="470">
        <v>1130</v>
      </c>
      <c r="C6" s="466"/>
      <c r="D6" s="466"/>
      <c r="E6" s="475"/>
      <c r="F6" s="475"/>
      <c r="G6" s="468"/>
      <c r="H6" s="468"/>
      <c r="I6" s="468"/>
      <c r="J6" s="468"/>
      <c r="K6" s="468"/>
    </row>
    <row r="7" spans="1:12" x14ac:dyDescent="0.2">
      <c r="A7" s="463" t="s">
        <v>110</v>
      </c>
      <c r="B7" s="549">
        <v>1140</v>
      </c>
      <c r="C7" s="466">
        <v>4728</v>
      </c>
      <c r="D7" s="466"/>
      <c r="E7" s="468"/>
      <c r="F7" s="467"/>
      <c r="G7" s="467"/>
      <c r="H7" s="467"/>
      <c r="I7" s="468"/>
      <c r="J7" s="468"/>
      <c r="K7" s="468"/>
    </row>
    <row r="8" spans="1:12" x14ac:dyDescent="0.2">
      <c r="A8" s="463" t="s">
        <v>413</v>
      </c>
      <c r="B8" s="470">
        <v>1150</v>
      </c>
      <c r="C8" s="475"/>
      <c r="D8" s="475"/>
      <c r="E8" s="477"/>
      <c r="F8" s="477"/>
      <c r="G8" s="481">
        <v>2562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291606</v>
      </c>
      <c r="D12" s="1705">
        <f t="shared" si="0"/>
        <v>61060</v>
      </c>
      <c r="E12" s="1705">
        <f t="shared" si="0"/>
        <v>29758</v>
      </c>
      <c r="F12" s="1705">
        <f t="shared" si="0"/>
        <v>28067</v>
      </c>
      <c r="G12" s="1705">
        <f t="shared" si="0"/>
        <v>30629</v>
      </c>
      <c r="H12" s="1705">
        <f t="shared" si="0"/>
        <v>0</v>
      </c>
      <c r="I12" s="1705">
        <f t="shared" si="0"/>
        <v>9850</v>
      </c>
      <c r="J12" s="1705">
        <f t="shared" si="0"/>
        <v>114238</v>
      </c>
      <c r="K12" s="1686">
        <f t="shared" si="0"/>
        <v>10833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2481</v>
      </c>
      <c r="D14" s="466">
        <v>520</v>
      </c>
      <c r="E14" s="466">
        <v>253</v>
      </c>
      <c r="F14" s="466">
        <v>239</v>
      </c>
      <c r="G14" s="466">
        <v>261</v>
      </c>
      <c r="H14" s="466"/>
      <c r="I14" s="466">
        <v>84</v>
      </c>
      <c r="J14" s="467">
        <v>972</v>
      </c>
      <c r="K14" s="466">
        <v>92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120211</v>
      </c>
      <c r="D16" s="466"/>
      <c r="E16" s="466"/>
      <c r="F16" s="466"/>
      <c r="G16" s="466">
        <v>19904</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122692</v>
      </c>
      <c r="D18" s="1708">
        <f t="shared" ref="D18:K18" si="1">SUM(D14:D17)</f>
        <v>520</v>
      </c>
      <c r="E18" s="1708">
        <f t="shared" si="1"/>
        <v>253</v>
      </c>
      <c r="F18" s="1708">
        <f t="shared" si="1"/>
        <v>239</v>
      </c>
      <c r="G18" s="1708">
        <f t="shared" si="1"/>
        <v>20165</v>
      </c>
      <c r="H18" s="1708">
        <f t="shared" si="1"/>
        <v>0</v>
      </c>
      <c r="I18" s="1708">
        <f t="shared" si="1"/>
        <v>84</v>
      </c>
      <c r="J18" s="1708">
        <f t="shared" si="1"/>
        <v>972</v>
      </c>
      <c r="K18" s="1709">
        <f t="shared" si="1"/>
        <v>92</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10319</v>
      </c>
      <c r="D65" s="466">
        <v>595</v>
      </c>
      <c r="E65" s="466">
        <v>218</v>
      </c>
      <c r="F65" s="467">
        <v>443</v>
      </c>
      <c r="G65" s="466">
        <v>448</v>
      </c>
      <c r="H65" s="466">
        <v>126</v>
      </c>
      <c r="I65" s="466">
        <v>105</v>
      </c>
      <c r="J65" s="467">
        <v>907</v>
      </c>
      <c r="K65" s="466">
        <v>641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10319</v>
      </c>
      <c r="D67" s="1686">
        <f t="shared" ref="D67:K67" si="2">SUM(D65:D66)</f>
        <v>595</v>
      </c>
      <c r="E67" s="1686">
        <f t="shared" si="2"/>
        <v>218</v>
      </c>
      <c r="F67" s="1686">
        <f t="shared" si="2"/>
        <v>443</v>
      </c>
      <c r="G67" s="1686">
        <f t="shared" si="2"/>
        <v>448</v>
      </c>
      <c r="H67" s="1686">
        <f t="shared" si="2"/>
        <v>126</v>
      </c>
      <c r="I67" s="1686">
        <f t="shared" si="2"/>
        <v>105</v>
      </c>
      <c r="J67" s="1686">
        <f t="shared" si="2"/>
        <v>907</v>
      </c>
      <c r="K67" s="1686">
        <f t="shared" si="2"/>
        <v>641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386</v>
      </c>
      <c r="D72" s="468"/>
      <c r="E72" s="468"/>
      <c r="F72" s="468"/>
      <c r="G72" s="468"/>
      <c r="H72" s="468"/>
      <c r="I72" s="468"/>
      <c r="J72" s="468"/>
      <c r="K72" s="468"/>
    </row>
    <row r="73" spans="1:11" ht="12.75" customHeight="1" x14ac:dyDescent="0.2">
      <c r="A73" s="463" t="s">
        <v>998</v>
      </c>
      <c r="B73" s="470">
        <v>1620</v>
      </c>
      <c r="C73" s="551">
        <v>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430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0</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1150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1150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1050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5346</v>
      </c>
      <c r="D107" s="466">
        <v>3568</v>
      </c>
      <c r="E107" s="466"/>
      <c r="F107" s="466"/>
      <c r="G107" s="466"/>
      <c r="H107" s="466"/>
      <c r="I107" s="466"/>
      <c r="J107" s="467"/>
      <c r="K107" s="466"/>
    </row>
    <row r="108" spans="1:12" ht="12.75" customHeight="1" thickBot="1" x14ac:dyDescent="0.25">
      <c r="A108" s="1706" t="s">
        <v>487</v>
      </c>
      <c r="B108" s="1710"/>
      <c r="C108" s="1705">
        <f>SUM(C95:C107)</f>
        <v>5346</v>
      </c>
      <c r="D108" s="1705">
        <f t="shared" ref="D108:K108" si="3">SUM(D95:D107)</f>
        <v>4618</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431543</v>
      </c>
      <c r="D109" s="1713">
        <f t="shared" si="4"/>
        <v>66793</v>
      </c>
      <c r="E109" s="1713">
        <f t="shared" si="4"/>
        <v>30229</v>
      </c>
      <c r="F109" s="1713">
        <f t="shared" si="4"/>
        <v>28749</v>
      </c>
      <c r="G109" s="1713">
        <f t="shared" si="4"/>
        <v>51242</v>
      </c>
      <c r="H109" s="1713">
        <f t="shared" si="4"/>
        <v>126</v>
      </c>
      <c r="I109" s="1713">
        <f t="shared" si="4"/>
        <v>10039</v>
      </c>
      <c r="J109" s="1713">
        <f t="shared" si="4"/>
        <v>116117</v>
      </c>
      <c r="K109" s="1700">
        <f t="shared" si="4"/>
        <v>11566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680054</v>
      </c>
      <c r="D117" s="481">
        <v>7000</v>
      </c>
      <c r="E117" s="466">
        <v>25700</v>
      </c>
      <c r="F117" s="481">
        <v>15000</v>
      </c>
      <c r="G117" s="481"/>
      <c r="H117" s="466">
        <v>52995</v>
      </c>
      <c r="I117" s="468"/>
      <c r="J117" s="467">
        <v>10000</v>
      </c>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680054</v>
      </c>
      <c r="D122" s="1705">
        <f t="shared" si="5"/>
        <v>7000</v>
      </c>
      <c r="E122" s="1705">
        <f t="shared" si="5"/>
        <v>25700</v>
      </c>
      <c r="F122" s="1705">
        <f t="shared" si="5"/>
        <v>15000</v>
      </c>
      <c r="G122" s="1705">
        <f t="shared" si="5"/>
        <v>0</v>
      </c>
      <c r="H122" s="1705">
        <f t="shared" si="5"/>
        <v>52995</v>
      </c>
      <c r="I122" s="468"/>
      <c r="J122" s="1705">
        <f>SUM(J117:J121)</f>
        <v>10000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2606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21791</v>
      </c>
      <c r="G152" s="467"/>
      <c r="H152" s="468"/>
      <c r="I152" s="468"/>
      <c r="J152" s="468"/>
      <c r="K152" s="468"/>
    </row>
    <row r="153" spans="1:11" ht="12.75" customHeight="1" x14ac:dyDescent="0.2">
      <c r="A153" s="463" t="s">
        <v>1057</v>
      </c>
      <c r="B153" s="562">
        <v>3510</v>
      </c>
      <c r="C153" s="551"/>
      <c r="D153" s="466"/>
      <c r="E153" s="561"/>
      <c r="F153" s="466">
        <v>1695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23486</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38367</v>
      </c>
      <c r="D168" s="580"/>
      <c r="E168" s="580"/>
      <c r="F168" s="580">
        <v>600</v>
      </c>
      <c r="G168" s="581">
        <v>860</v>
      </c>
      <c r="H168" s="582"/>
      <c r="I168" s="581"/>
      <c r="J168" s="581"/>
      <c r="K168" s="582"/>
    </row>
    <row r="169" spans="1:11" ht="12.75" customHeight="1" thickTop="1" thickBot="1" x14ac:dyDescent="0.25">
      <c r="A169" s="2143" t="s">
        <v>398</v>
      </c>
      <c r="B169" s="2144"/>
      <c r="C169" s="1720">
        <f t="shared" ref="C169:K169" si="6">SUM(C132,C141,C145,C146:C150,C155,C156:C167,C168)</f>
        <v>40973</v>
      </c>
      <c r="D169" s="1720">
        <f t="shared" si="6"/>
        <v>0</v>
      </c>
      <c r="E169" s="1720">
        <f t="shared" si="6"/>
        <v>0</v>
      </c>
      <c r="F169" s="1720">
        <f t="shared" si="6"/>
        <v>24086</v>
      </c>
      <c r="G169" s="1720">
        <f t="shared" si="6"/>
        <v>860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721027</v>
      </c>
      <c r="D170" s="1713">
        <f t="shared" si="7"/>
        <v>7000</v>
      </c>
      <c r="E170" s="1713">
        <f t="shared" si="7"/>
        <v>25700</v>
      </c>
      <c r="F170" s="1713">
        <f t="shared" si="7"/>
        <v>39086</v>
      </c>
      <c r="G170" s="1713">
        <f t="shared" si="7"/>
        <v>860</v>
      </c>
      <c r="H170" s="1713">
        <f t="shared" si="7"/>
        <v>52995</v>
      </c>
      <c r="I170" s="1713">
        <f t="shared" si="7"/>
        <v>0</v>
      </c>
      <c r="J170" s="1713">
        <f t="shared" si="7"/>
        <v>10000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23358</v>
      </c>
      <c r="D180" s="466"/>
      <c r="E180" s="468"/>
      <c r="F180" s="466"/>
      <c r="G180" s="466"/>
      <c r="H180" s="466"/>
      <c r="I180" s="468"/>
      <c r="J180" s="468"/>
      <c r="K180" s="466"/>
    </row>
    <row r="181" spans="1:11" ht="13.5" thickBot="1" x14ac:dyDescent="0.25">
      <c r="A181" s="2151" t="s">
        <v>785</v>
      </c>
      <c r="B181" s="2152"/>
      <c r="C181" s="1705">
        <f>SUM(C177:C180)</f>
        <v>23358</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89567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41736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7746</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139049</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80636</v>
      </c>
      <c r="D200" s="466"/>
      <c r="E200" s="468"/>
      <c r="F200" s="466"/>
      <c r="G200" s="466">
        <v>3559</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80636</v>
      </c>
      <c r="D204" s="1705">
        <f>SUM(D200:D203)</f>
        <v>0</v>
      </c>
      <c r="E204" s="468"/>
      <c r="F204" s="1705">
        <f>SUM(F200:F203)</f>
        <v>0</v>
      </c>
      <c r="G204" s="1705">
        <f>SUM(G200:G203)</f>
        <v>3559</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2138</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2138</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14054</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14054</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5610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3481</v>
      </c>
      <c r="D263" s="576"/>
      <c r="E263" s="468"/>
      <c r="F263" s="576"/>
      <c r="G263" s="576"/>
      <c r="H263" s="468"/>
      <c r="I263" s="468"/>
      <c r="J263" s="468"/>
      <c r="K263" s="468"/>
    </row>
    <row r="264" spans="1:11" ht="12.75" customHeight="1" thickTop="1" thickBot="1" x14ac:dyDescent="0.25">
      <c r="A264" s="463" t="s">
        <v>377</v>
      </c>
      <c r="B264" s="470">
        <v>4992</v>
      </c>
      <c r="C264" s="575">
        <v>4349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249317</v>
      </c>
      <c r="D266" s="1713">
        <f t="shared" si="10"/>
        <v>0</v>
      </c>
      <c r="E266" s="1713">
        <f t="shared" si="10"/>
        <v>0</v>
      </c>
      <c r="F266" s="1713">
        <f t="shared" si="10"/>
        <v>0</v>
      </c>
      <c r="G266" s="1713">
        <f t="shared" si="10"/>
        <v>3559</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272675</v>
      </c>
      <c r="D267" s="1713">
        <f>SUM(D175,D181,D266)</f>
        <v>0</v>
      </c>
      <c r="E267" s="1713">
        <f>SUM(E175,E266)</f>
        <v>0</v>
      </c>
      <c r="F267" s="1713">
        <f t="shared" ref="F267:K267" si="11">SUM(F175,F181,F266)</f>
        <v>0</v>
      </c>
      <c r="G267" s="1713">
        <f t="shared" si="11"/>
        <v>3559</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1425245</v>
      </c>
      <c r="D268" s="1713">
        <f t="shared" si="12"/>
        <v>73793</v>
      </c>
      <c r="E268" s="1713">
        <f t="shared" si="12"/>
        <v>55929</v>
      </c>
      <c r="F268" s="1713">
        <f t="shared" si="12"/>
        <v>67835</v>
      </c>
      <c r="G268" s="1713">
        <f t="shared" si="12"/>
        <v>55661</v>
      </c>
      <c r="H268" s="1713">
        <f t="shared" si="12"/>
        <v>53121</v>
      </c>
      <c r="I268" s="1713">
        <f t="shared" si="12"/>
        <v>10039</v>
      </c>
      <c r="J268" s="1713">
        <f t="shared" si="12"/>
        <v>126117</v>
      </c>
      <c r="K268" s="1700">
        <f t="shared" si="12"/>
        <v>11566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39" sqref="A39:B39"/>
      <selection pane="bottomLeft" activeCell="A39" sqref="A39:B3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527275</v>
      </c>
      <c r="D5" s="466">
        <v>102119</v>
      </c>
      <c r="E5" s="466">
        <v>17409</v>
      </c>
      <c r="F5" s="466">
        <v>41460</v>
      </c>
      <c r="G5" s="466"/>
      <c r="H5" s="466"/>
      <c r="I5" s="467"/>
      <c r="J5" s="467"/>
      <c r="K5" s="1669">
        <f>SUM(C5:J5)</f>
        <v>688263</v>
      </c>
      <c r="L5" s="466">
        <v>689500</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170686</v>
      </c>
      <c r="D8" s="466">
        <v>13143</v>
      </c>
      <c r="E8" s="466"/>
      <c r="F8" s="466">
        <v>5546</v>
      </c>
      <c r="G8" s="466"/>
      <c r="H8" s="466"/>
      <c r="I8" s="467"/>
      <c r="J8" s="467"/>
      <c r="K8" s="1669">
        <f t="shared" si="0"/>
        <v>189375</v>
      </c>
      <c r="L8" s="466">
        <v>190046</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66188</v>
      </c>
      <c r="D10" s="466">
        <v>1720</v>
      </c>
      <c r="E10" s="466">
        <v>5102</v>
      </c>
      <c r="F10" s="466">
        <v>11362</v>
      </c>
      <c r="G10" s="466">
        <v>2458</v>
      </c>
      <c r="H10" s="466"/>
      <c r="I10" s="467"/>
      <c r="J10" s="467"/>
      <c r="K10" s="1669">
        <f t="shared" si="0"/>
        <v>86830</v>
      </c>
      <c r="L10" s="466">
        <v>79996</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v>10163</v>
      </c>
      <c r="D14" s="466">
        <v>180</v>
      </c>
      <c r="E14" s="466">
        <v>59</v>
      </c>
      <c r="F14" s="466">
        <v>7096</v>
      </c>
      <c r="G14" s="466"/>
      <c r="H14" s="466">
        <v>265</v>
      </c>
      <c r="I14" s="467"/>
      <c r="J14" s="467"/>
      <c r="K14" s="1669">
        <f t="shared" si="0"/>
        <v>17763</v>
      </c>
      <c r="L14" s="466">
        <v>21230</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c r="D17" s="467"/>
      <c r="E17" s="467"/>
      <c r="F17" s="467"/>
      <c r="G17" s="467"/>
      <c r="H17" s="467"/>
      <c r="I17" s="467"/>
      <c r="J17" s="467"/>
      <c r="K17" s="1669">
        <f t="shared" si="0"/>
        <v>0</v>
      </c>
      <c r="L17" s="466"/>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774312</v>
      </c>
      <c r="D33" s="1668">
        <f t="shared" ref="D33:L33" si="1">SUM(D5:D32)</f>
        <v>117162</v>
      </c>
      <c r="E33" s="1668">
        <f t="shared" si="1"/>
        <v>22570</v>
      </c>
      <c r="F33" s="1668">
        <f t="shared" si="1"/>
        <v>65464</v>
      </c>
      <c r="G33" s="1668">
        <f t="shared" si="1"/>
        <v>2458</v>
      </c>
      <c r="H33" s="1668">
        <f t="shared" si="1"/>
        <v>265</v>
      </c>
      <c r="I33" s="1668">
        <f t="shared" si="1"/>
        <v>0</v>
      </c>
      <c r="J33" s="1668">
        <f t="shared" si="1"/>
        <v>0</v>
      </c>
      <c r="K33" s="1668">
        <f t="shared" si="1"/>
        <v>982231</v>
      </c>
      <c r="L33" s="1668">
        <f t="shared" si="1"/>
        <v>980772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c r="D37" s="466"/>
      <c r="E37" s="466"/>
      <c r="F37" s="466"/>
      <c r="G37" s="466"/>
      <c r="H37" s="466"/>
      <c r="I37" s="467"/>
      <c r="J37" s="467"/>
      <c r="K37" s="1669">
        <f t="shared" si="2"/>
        <v>0</v>
      </c>
      <c r="L37" s="466"/>
    </row>
    <row r="38" spans="1:14" x14ac:dyDescent="0.2">
      <c r="A38" s="1504" t="s">
        <v>198</v>
      </c>
      <c r="B38" s="614">
        <v>2130</v>
      </c>
      <c r="C38" s="466"/>
      <c r="D38" s="466"/>
      <c r="E38" s="466"/>
      <c r="F38" s="466">
        <v>229</v>
      </c>
      <c r="G38" s="466"/>
      <c r="H38" s="466"/>
      <c r="I38" s="467"/>
      <c r="J38" s="467"/>
      <c r="K38" s="1669">
        <f t="shared" si="2"/>
        <v>229</v>
      </c>
      <c r="L38" s="466">
        <v>500</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v>17370</v>
      </c>
      <c r="F40" s="466"/>
      <c r="G40" s="466"/>
      <c r="H40" s="466"/>
      <c r="I40" s="467"/>
      <c r="J40" s="467"/>
      <c r="K40" s="1669">
        <f t="shared" si="2"/>
        <v>17370</v>
      </c>
      <c r="L40" s="466">
        <v>17370</v>
      </c>
    </row>
    <row r="41" spans="1:14" x14ac:dyDescent="0.2">
      <c r="A41" s="1504" t="s">
        <v>1669</v>
      </c>
      <c r="B41" s="614">
        <v>2190</v>
      </c>
      <c r="C41" s="466">
        <v>2806</v>
      </c>
      <c r="D41" s="466">
        <v>294</v>
      </c>
      <c r="E41" s="466"/>
      <c r="F41" s="466">
        <v>3823</v>
      </c>
      <c r="G41" s="466"/>
      <c r="H41" s="466"/>
      <c r="I41" s="467"/>
      <c r="J41" s="467"/>
      <c r="K41" s="1669">
        <f t="shared" si="2"/>
        <v>6923</v>
      </c>
      <c r="L41" s="466">
        <v>6950</v>
      </c>
    </row>
    <row r="42" spans="1:14" ht="12.75" customHeight="1" thickBot="1" x14ac:dyDescent="0.25">
      <c r="A42" s="1666" t="s">
        <v>560</v>
      </c>
      <c r="B42" s="1667" t="s">
        <v>716</v>
      </c>
      <c r="C42" s="1668">
        <f>SUM(C36:C41)</f>
        <v>2806</v>
      </c>
      <c r="D42" s="1668">
        <f t="shared" ref="D42:L42" si="3">SUM(D36:D41)</f>
        <v>294</v>
      </c>
      <c r="E42" s="1668">
        <f t="shared" si="3"/>
        <v>17370</v>
      </c>
      <c r="F42" s="1668">
        <f t="shared" si="3"/>
        <v>4052</v>
      </c>
      <c r="G42" s="1668">
        <f t="shared" si="3"/>
        <v>0</v>
      </c>
      <c r="H42" s="1668">
        <f t="shared" si="3"/>
        <v>0</v>
      </c>
      <c r="I42" s="1668">
        <f t="shared" si="3"/>
        <v>0</v>
      </c>
      <c r="J42" s="1668">
        <f t="shared" si="3"/>
        <v>0</v>
      </c>
      <c r="K42" s="1668">
        <f t="shared" si="3"/>
        <v>24522</v>
      </c>
      <c r="L42" s="1668">
        <f t="shared" si="3"/>
        <v>24820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1000</v>
      </c>
      <c r="D44" s="481">
        <v>2178</v>
      </c>
      <c r="E44" s="481">
        <v>7054</v>
      </c>
      <c r="F44" s="481"/>
      <c r="G44" s="481"/>
      <c r="H44" s="481"/>
      <c r="I44" s="467"/>
      <c r="J44" s="467"/>
      <c r="K44" s="1670">
        <f>SUM(C44:J44)</f>
        <v>10232</v>
      </c>
      <c r="L44" s="481">
        <v>8105</v>
      </c>
    </row>
    <row r="45" spans="1:14" x14ac:dyDescent="0.2">
      <c r="A45" s="1504" t="s">
        <v>815</v>
      </c>
      <c r="B45" s="614">
        <v>2220</v>
      </c>
      <c r="C45" s="466">
        <v>1677</v>
      </c>
      <c r="D45" s="466">
        <v>150</v>
      </c>
      <c r="E45" s="466">
        <v>4716</v>
      </c>
      <c r="F45" s="466">
        <v>1235</v>
      </c>
      <c r="G45" s="466"/>
      <c r="H45" s="466"/>
      <c r="I45" s="467"/>
      <c r="J45" s="467"/>
      <c r="K45" s="1670">
        <f>SUM(C45:J45)</f>
        <v>7778</v>
      </c>
      <c r="L45" s="466">
        <v>6336</v>
      </c>
    </row>
    <row r="46" spans="1:14" x14ac:dyDescent="0.2">
      <c r="A46" s="1504"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2677</v>
      </c>
      <c r="D47" s="1668">
        <f t="shared" ref="D47:K47" si="4">SUM(D44:D46)</f>
        <v>2328</v>
      </c>
      <c r="E47" s="1668">
        <f t="shared" si="4"/>
        <v>11770</v>
      </c>
      <c r="F47" s="1668">
        <f t="shared" si="4"/>
        <v>1235</v>
      </c>
      <c r="G47" s="1668">
        <f t="shared" si="4"/>
        <v>0</v>
      </c>
      <c r="H47" s="1668">
        <f t="shared" si="4"/>
        <v>0</v>
      </c>
      <c r="I47" s="1668">
        <f t="shared" si="4"/>
        <v>0</v>
      </c>
      <c r="J47" s="1668">
        <f t="shared" si="4"/>
        <v>0</v>
      </c>
      <c r="K47" s="1668">
        <f t="shared" si="4"/>
        <v>18010</v>
      </c>
      <c r="L47" s="1668">
        <f>SUM(L44:L46)</f>
        <v>14441</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1040</v>
      </c>
      <c r="D49" s="481"/>
      <c r="E49" s="481">
        <v>5782</v>
      </c>
      <c r="F49" s="481">
        <v>2728</v>
      </c>
      <c r="G49" s="481"/>
      <c r="H49" s="481">
        <v>2175</v>
      </c>
      <c r="I49" s="467"/>
      <c r="J49" s="467"/>
      <c r="K49" s="1670">
        <f>SUM(C49:J49)</f>
        <v>11725</v>
      </c>
      <c r="L49" s="481">
        <v>10340</v>
      </c>
    </row>
    <row r="50" spans="1:14" x14ac:dyDescent="0.2">
      <c r="A50" s="1504" t="s">
        <v>818</v>
      </c>
      <c r="B50" s="614">
        <v>2320</v>
      </c>
      <c r="C50" s="466">
        <v>51542</v>
      </c>
      <c r="D50" s="466">
        <v>6473</v>
      </c>
      <c r="E50" s="466">
        <v>408</v>
      </c>
      <c r="F50" s="466"/>
      <c r="G50" s="466"/>
      <c r="H50" s="466">
        <v>808</v>
      </c>
      <c r="I50" s="467"/>
      <c r="J50" s="467"/>
      <c r="K50" s="1670">
        <f>SUM(C50:J50)</f>
        <v>59231</v>
      </c>
      <c r="L50" s="466">
        <v>59230</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52582</v>
      </c>
      <c r="D53" s="1668">
        <f t="shared" ref="D53:L53" si="5">SUM(D49:D52)</f>
        <v>6473</v>
      </c>
      <c r="E53" s="1668">
        <f t="shared" si="5"/>
        <v>6190</v>
      </c>
      <c r="F53" s="1668">
        <f t="shared" si="5"/>
        <v>2728</v>
      </c>
      <c r="G53" s="1668">
        <f t="shared" si="5"/>
        <v>0</v>
      </c>
      <c r="H53" s="1668">
        <f t="shared" si="5"/>
        <v>2983</v>
      </c>
      <c r="I53" s="1668">
        <f t="shared" si="5"/>
        <v>0</v>
      </c>
      <c r="J53" s="1668">
        <f t="shared" si="5"/>
        <v>0</v>
      </c>
      <c r="K53" s="1668">
        <f t="shared" si="5"/>
        <v>70956</v>
      </c>
      <c r="L53" s="1668">
        <f t="shared" si="5"/>
        <v>69570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52063</v>
      </c>
      <c r="D55" s="481">
        <v>3332</v>
      </c>
      <c r="E55" s="481"/>
      <c r="F55" s="481">
        <v>1601</v>
      </c>
      <c r="G55" s="481"/>
      <c r="H55" s="481"/>
      <c r="I55" s="467"/>
      <c r="J55" s="467"/>
      <c r="K55" s="1670">
        <f>SUM(C55:J55)</f>
        <v>56996</v>
      </c>
      <c r="L55" s="481">
        <v>58602</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52063</v>
      </c>
      <c r="D57" s="1672">
        <f t="shared" ref="D57:K57" si="6">SUM(D55:D56)</f>
        <v>3332</v>
      </c>
      <c r="E57" s="1672">
        <f t="shared" si="6"/>
        <v>0</v>
      </c>
      <c r="F57" s="1672">
        <f t="shared" si="6"/>
        <v>1601</v>
      </c>
      <c r="G57" s="1672">
        <f t="shared" si="6"/>
        <v>0</v>
      </c>
      <c r="H57" s="1672">
        <f t="shared" si="6"/>
        <v>0</v>
      </c>
      <c r="I57" s="1672">
        <f t="shared" si="6"/>
        <v>0</v>
      </c>
      <c r="J57" s="1672">
        <f t="shared" si="6"/>
        <v>0</v>
      </c>
      <c r="K57" s="1672">
        <f t="shared" si="6"/>
        <v>56996</v>
      </c>
      <c r="L57" s="1668">
        <f>SUM(L55:L56)</f>
        <v>58602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14560</v>
      </c>
      <c r="D60" s="466"/>
      <c r="E60" s="466">
        <v>1213</v>
      </c>
      <c r="F60" s="466">
        <v>258</v>
      </c>
      <c r="G60" s="466"/>
      <c r="H60" s="466"/>
      <c r="I60" s="467"/>
      <c r="J60" s="467"/>
      <c r="K60" s="1670">
        <f t="shared" si="7"/>
        <v>16031</v>
      </c>
      <c r="L60" s="466">
        <v>15988</v>
      </c>
      <c r="M60" s="609"/>
      <c r="N60" s="609"/>
    </row>
    <row r="61" spans="1:14" s="343" customFormat="1" x14ac:dyDescent="0.2">
      <c r="A61" s="1504" t="s">
        <v>197</v>
      </c>
      <c r="B61" s="614">
        <v>2540</v>
      </c>
      <c r="C61" s="466"/>
      <c r="D61" s="466"/>
      <c r="E61" s="466"/>
      <c r="F61" s="466"/>
      <c r="G61" s="466"/>
      <c r="H61" s="466"/>
      <c r="I61" s="467"/>
      <c r="J61" s="467"/>
      <c r="K61" s="1670">
        <f t="shared" si="7"/>
        <v>0</v>
      </c>
      <c r="L61" s="466"/>
      <c r="M61" s="609"/>
      <c r="N61" s="609"/>
    </row>
    <row r="62" spans="1:14" s="343" customFormat="1" x14ac:dyDescent="0.2">
      <c r="A62" s="1504" t="s">
        <v>953</v>
      </c>
      <c r="B62" s="614">
        <v>2550</v>
      </c>
      <c r="C62" s="466"/>
      <c r="D62" s="466"/>
      <c r="E62" s="466">
        <v>1182</v>
      </c>
      <c r="F62" s="466"/>
      <c r="G62" s="466"/>
      <c r="H62" s="466"/>
      <c r="I62" s="467"/>
      <c r="J62" s="467"/>
      <c r="K62" s="1670">
        <f t="shared" si="7"/>
        <v>1182</v>
      </c>
      <c r="L62" s="466">
        <v>1500</v>
      </c>
      <c r="M62" s="609"/>
      <c r="N62" s="609"/>
    </row>
    <row r="63" spans="1:14" s="609" customFormat="1" x14ac:dyDescent="0.2">
      <c r="A63" s="1504" t="s">
        <v>100</v>
      </c>
      <c r="B63" s="614">
        <v>2560</v>
      </c>
      <c r="C63" s="466">
        <v>28519</v>
      </c>
      <c r="D63" s="466"/>
      <c r="E63" s="466">
        <v>3920</v>
      </c>
      <c r="F63" s="466">
        <v>75079</v>
      </c>
      <c r="G63" s="466"/>
      <c r="H63" s="466"/>
      <c r="I63" s="467"/>
      <c r="J63" s="467"/>
      <c r="K63" s="1670">
        <f t="shared" si="7"/>
        <v>107518</v>
      </c>
      <c r="L63" s="466">
        <v>111200</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43079</v>
      </c>
      <c r="D65" s="1668">
        <f t="shared" ref="D65:L65" si="8">SUM(D59:D64)</f>
        <v>0</v>
      </c>
      <c r="E65" s="1668">
        <f t="shared" si="8"/>
        <v>6315</v>
      </c>
      <c r="F65" s="1668">
        <f t="shared" si="8"/>
        <v>75337</v>
      </c>
      <c r="G65" s="1668">
        <f t="shared" si="8"/>
        <v>0</v>
      </c>
      <c r="H65" s="1668">
        <f t="shared" si="8"/>
        <v>0</v>
      </c>
      <c r="I65" s="1668">
        <f t="shared" si="8"/>
        <v>0</v>
      </c>
      <c r="J65" s="1668">
        <f t="shared" si="8"/>
        <v>0</v>
      </c>
      <c r="K65" s="1668">
        <f t="shared" si="8"/>
        <v>124731</v>
      </c>
      <c r="L65" s="1668">
        <f t="shared" si="8"/>
        <v>128688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153207</v>
      </c>
      <c r="D74" s="1675">
        <f t="shared" ref="D74:K74" si="10">SUM(D42,D47,D53,D57,D65,D72,D73)</f>
        <v>12427</v>
      </c>
      <c r="E74" s="1675">
        <f t="shared" si="10"/>
        <v>41645</v>
      </c>
      <c r="F74" s="1675">
        <f t="shared" si="10"/>
        <v>84953</v>
      </c>
      <c r="G74" s="1675">
        <f t="shared" si="10"/>
        <v>0</v>
      </c>
      <c r="H74" s="1675">
        <f t="shared" si="10"/>
        <v>2983</v>
      </c>
      <c r="I74" s="1675">
        <f t="shared" si="10"/>
        <v>0</v>
      </c>
      <c r="J74" s="1675">
        <f t="shared" si="10"/>
        <v>0</v>
      </c>
      <c r="K74" s="1675">
        <f t="shared" si="10"/>
        <v>295215</v>
      </c>
      <c r="L74" s="1675">
        <f>SUM(L42,L47,L53,L57,L65,L72,L73)</f>
        <v>296121</v>
      </c>
    </row>
    <row r="75" spans="1:14" s="259" customFormat="1" ht="15.75" customHeight="1" thickTop="1" thickBot="1" x14ac:dyDescent="0.25">
      <c r="A75" s="1610" t="s">
        <v>47</v>
      </c>
      <c r="B75" s="1611" t="s">
        <v>575</v>
      </c>
      <c r="C75" s="573"/>
      <c r="D75" s="573"/>
      <c r="E75" s="573"/>
      <c r="F75" s="573"/>
      <c r="G75" s="573"/>
      <c r="H75" s="573"/>
      <c r="I75" s="531"/>
      <c r="J75" s="531"/>
      <c r="K75" s="1668">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v>17508</v>
      </c>
      <c r="F79" s="616"/>
      <c r="G79" s="616"/>
      <c r="H79" s="466"/>
      <c r="I79" s="477"/>
      <c r="J79" s="477"/>
      <c r="K79" s="1669">
        <f t="shared" si="11"/>
        <v>17508</v>
      </c>
      <c r="L79" s="466">
        <v>42243</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v>2718</v>
      </c>
      <c r="F83" s="616"/>
      <c r="G83" s="616"/>
      <c r="H83" s="466"/>
      <c r="I83" s="477"/>
      <c r="J83" s="477"/>
      <c r="K83" s="1669">
        <f t="shared" si="11"/>
        <v>2718</v>
      </c>
      <c r="L83" s="466">
        <v>2718</v>
      </c>
    </row>
    <row r="84" spans="1:12" ht="13.5" thickBot="1" x14ac:dyDescent="0.25">
      <c r="A84" s="1666" t="s">
        <v>1485</v>
      </c>
      <c r="B84" s="1676">
        <v>4100</v>
      </c>
      <c r="C84" s="616"/>
      <c r="D84" s="616"/>
      <c r="E84" s="1668">
        <f>SUM(E78:E83)</f>
        <v>20226</v>
      </c>
      <c r="F84" s="616"/>
      <c r="G84" s="616"/>
      <c r="H84" s="1668">
        <f>SUM(H78:H83)</f>
        <v>0</v>
      </c>
      <c r="I84" s="477"/>
      <c r="J84" s="477"/>
      <c r="K84" s="1668">
        <f>SUM(K78:K83)</f>
        <v>20226</v>
      </c>
      <c r="L84" s="1668">
        <f>SUM(L78:L83)</f>
        <v>44961</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24735</v>
      </c>
      <c r="I86" s="477"/>
      <c r="J86" s="477"/>
      <c r="K86" s="1675">
        <f t="shared" ref="K86:K98" si="12">H86</f>
        <v>24735</v>
      </c>
      <c r="L86" s="530"/>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24735</v>
      </c>
      <c r="I92" s="477"/>
      <c r="J92" s="477"/>
      <c r="K92" s="1675">
        <f t="shared" si="12"/>
        <v>24735</v>
      </c>
      <c r="L92" s="1668">
        <f>SUM(L85:L91)</f>
        <v>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20226</v>
      </c>
      <c r="F102" s="616"/>
      <c r="G102" s="616"/>
      <c r="H102" s="1675">
        <f>SUM(H84,H92,H100,H101)</f>
        <v>24735</v>
      </c>
      <c r="I102" s="477"/>
      <c r="J102" s="477"/>
      <c r="K102" s="1675">
        <f>SUM(K84,K92,K100,K101)</f>
        <v>44961</v>
      </c>
      <c r="L102" s="1675">
        <f>SUM(L84,L92,L100,L101)</f>
        <v>44961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927519</v>
      </c>
      <c r="D114" s="1668">
        <f t="shared" ref="D114:K114" si="13">SUM(D33,D74,D75,D102,D112,D113)</f>
        <v>129589</v>
      </c>
      <c r="E114" s="1668">
        <f t="shared" si="13"/>
        <v>84441</v>
      </c>
      <c r="F114" s="1668">
        <f t="shared" si="13"/>
        <v>150417</v>
      </c>
      <c r="G114" s="1668">
        <f t="shared" si="13"/>
        <v>2458</v>
      </c>
      <c r="H114" s="1668">
        <f>SUM(H33,H74,H75,H102,H112,H113)</f>
        <v>27983</v>
      </c>
      <c r="I114" s="1668">
        <f t="shared" si="13"/>
        <v>0</v>
      </c>
      <c r="J114" s="1668">
        <f t="shared" si="13"/>
        <v>0</v>
      </c>
      <c r="K114" s="1668">
        <f t="shared" si="13"/>
        <v>1322407</v>
      </c>
      <c r="L114" s="1668">
        <f>SUM(L33,L74,L75,L102,L112,L113)</f>
        <v>1321854</v>
      </c>
    </row>
    <row r="115" spans="1:14" ht="13.5" thickTop="1" x14ac:dyDescent="0.2">
      <c r="A115" s="2180" t="s">
        <v>996</v>
      </c>
      <c r="B115" s="2181"/>
      <c r="C115" s="618"/>
      <c r="D115" s="618"/>
      <c r="E115" s="618"/>
      <c r="F115" s="618"/>
      <c r="G115" s="618"/>
      <c r="H115" s="618"/>
      <c r="I115" s="618"/>
      <c r="J115" s="618"/>
      <c r="K115" s="1682">
        <f>'Revenues 9-14'!C268-'Expenditures 15-22'!K114</f>
        <v>102838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v>1504</v>
      </c>
      <c r="H123" s="466"/>
      <c r="I123" s="467"/>
      <c r="J123" s="467"/>
      <c r="K123" s="1668">
        <f>SUM(C123:J123)</f>
        <v>1504</v>
      </c>
      <c r="L123" s="466">
        <v>1504</v>
      </c>
    </row>
    <row r="124" spans="1:14" ht="14.25" thickTop="1" thickBot="1" x14ac:dyDescent="0.25">
      <c r="A124" s="1504" t="s">
        <v>197</v>
      </c>
      <c r="B124" s="614">
        <v>2540</v>
      </c>
      <c r="C124" s="466">
        <v>40274</v>
      </c>
      <c r="D124" s="466"/>
      <c r="E124" s="466">
        <v>42899</v>
      </c>
      <c r="F124" s="466">
        <v>11302</v>
      </c>
      <c r="G124" s="466"/>
      <c r="H124" s="466"/>
      <c r="I124" s="467"/>
      <c r="J124" s="467"/>
      <c r="K124" s="1668">
        <f>SUM(C124:J124)</f>
        <v>94475</v>
      </c>
      <c r="L124" s="466">
        <v>87550</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40274</v>
      </c>
      <c r="D127" s="1668">
        <f t="shared" ref="D127:L127" si="14">SUM(D122:D126)</f>
        <v>0</v>
      </c>
      <c r="E127" s="1668">
        <f t="shared" si="14"/>
        <v>42899</v>
      </c>
      <c r="F127" s="1668">
        <f t="shared" si="14"/>
        <v>11302</v>
      </c>
      <c r="G127" s="1668">
        <f t="shared" si="14"/>
        <v>1504</v>
      </c>
      <c r="H127" s="1668">
        <f t="shared" si="14"/>
        <v>0</v>
      </c>
      <c r="I127" s="1668">
        <f t="shared" si="14"/>
        <v>0</v>
      </c>
      <c r="J127" s="1668">
        <f t="shared" si="14"/>
        <v>0</v>
      </c>
      <c r="K127" s="1668">
        <f t="shared" si="14"/>
        <v>95979</v>
      </c>
      <c r="L127" s="1668">
        <f t="shared" si="14"/>
        <v>89054</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40274</v>
      </c>
      <c r="D129" s="1675">
        <f t="shared" ref="D129:L129" si="15">SUM(D120,D127,D128)</f>
        <v>0</v>
      </c>
      <c r="E129" s="1675">
        <f t="shared" si="15"/>
        <v>42899</v>
      </c>
      <c r="F129" s="1675">
        <f t="shared" si="15"/>
        <v>11302</v>
      </c>
      <c r="G129" s="1675">
        <f t="shared" si="15"/>
        <v>1504</v>
      </c>
      <c r="H129" s="1675">
        <f t="shared" si="15"/>
        <v>0</v>
      </c>
      <c r="I129" s="1675">
        <f t="shared" si="15"/>
        <v>0</v>
      </c>
      <c r="J129" s="1675">
        <f t="shared" si="15"/>
        <v>0</v>
      </c>
      <c r="K129" s="1675">
        <f t="shared" si="15"/>
        <v>95979</v>
      </c>
      <c r="L129" s="1675">
        <f t="shared" si="15"/>
        <v>89054</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68">
        <f>SUM(C129,C130,C139,C149,C150)</f>
        <v>40274</v>
      </c>
      <c r="D151" s="1668">
        <f t="shared" ref="D151:K151" si="16">SUM(D129,D130,D139,D149,D150)</f>
        <v>0</v>
      </c>
      <c r="E151" s="1668">
        <f t="shared" si="16"/>
        <v>42899</v>
      </c>
      <c r="F151" s="1668">
        <f t="shared" si="16"/>
        <v>11302</v>
      </c>
      <c r="G151" s="1668">
        <f t="shared" si="16"/>
        <v>1504</v>
      </c>
      <c r="H151" s="1668">
        <f t="shared" si="16"/>
        <v>0</v>
      </c>
      <c r="I151" s="1668">
        <f t="shared" si="16"/>
        <v>0</v>
      </c>
      <c r="J151" s="1668">
        <f t="shared" si="16"/>
        <v>0</v>
      </c>
      <c r="K151" s="1668">
        <f t="shared" si="16"/>
        <v>95979</v>
      </c>
      <c r="L151" s="1668">
        <f>SUM(L129,L130,L139,L149,L150)</f>
        <v>89054</v>
      </c>
    </row>
    <row r="152" spans="1:14" ht="12.75" customHeight="1" thickTop="1" x14ac:dyDescent="0.2">
      <c r="A152" s="2173" t="s">
        <v>1178</v>
      </c>
      <c r="B152" s="2174"/>
      <c r="C152" s="618"/>
      <c r="D152" s="618"/>
      <c r="E152" s="618"/>
      <c r="F152" s="618"/>
      <c r="G152" s="618"/>
      <c r="H152" s="618"/>
      <c r="I152" s="618"/>
      <c r="J152" s="616"/>
      <c r="K152" s="1682">
        <f>'Revenues 9-14'!D268-'Expenditures 15-22'!K151</f>
        <v>-22186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10010</v>
      </c>
      <c r="I169" s="616"/>
      <c r="J169" s="616"/>
      <c r="K169" s="1669">
        <f>SUM(C169:H169)</f>
        <v>10010</v>
      </c>
      <c r="L169" s="656">
        <v>10010</v>
      </c>
    </row>
    <row r="170" spans="1:14" ht="33.75" customHeight="1" x14ac:dyDescent="0.2">
      <c r="A170" s="669" t="s">
        <v>1670</v>
      </c>
      <c r="B170" s="671" t="s">
        <v>31</v>
      </c>
      <c r="C170" s="616"/>
      <c r="D170" s="616"/>
      <c r="E170" s="616"/>
      <c r="F170" s="616"/>
      <c r="G170" s="616"/>
      <c r="H170" s="569">
        <v>45000</v>
      </c>
      <c r="I170" s="616"/>
      <c r="J170" s="616"/>
      <c r="K170" s="1669">
        <f>SUM(C170:J170)</f>
        <v>45000</v>
      </c>
      <c r="L170" s="569">
        <v>45000</v>
      </c>
    </row>
    <row r="171" spans="1:14" ht="15.75" customHeight="1" x14ac:dyDescent="0.2">
      <c r="A171" s="621" t="s">
        <v>766</v>
      </c>
      <c r="B171" s="672" t="s">
        <v>84</v>
      </c>
      <c r="C171" s="616"/>
      <c r="D171" s="616"/>
      <c r="E171" s="466"/>
      <c r="F171" s="616"/>
      <c r="G171" s="616"/>
      <c r="H171" s="569"/>
      <c r="I171" s="477"/>
      <c r="J171" s="616"/>
      <c r="K171" s="1669">
        <f>SUM(C171:J171)</f>
        <v>0</v>
      </c>
      <c r="L171" s="569"/>
    </row>
    <row r="172" spans="1:14" ht="12.75" customHeight="1" thickBot="1" x14ac:dyDescent="0.25">
      <c r="A172" s="1666" t="s">
        <v>638</v>
      </c>
      <c r="B172" s="1667" t="s">
        <v>492</v>
      </c>
      <c r="C172" s="616"/>
      <c r="D172" s="616"/>
      <c r="E172" s="1675">
        <f>SUM(E168,E169,E170,E171)</f>
        <v>0</v>
      </c>
      <c r="F172" s="616"/>
      <c r="G172" s="616"/>
      <c r="H172" s="1675">
        <f>SUM(H168,H169,H170,H171)</f>
        <v>55010</v>
      </c>
      <c r="I172" s="638"/>
      <c r="J172" s="616"/>
      <c r="K172" s="1675">
        <f>SUM(K168,K169,K170,K171)</f>
        <v>55010</v>
      </c>
      <c r="L172" s="1675">
        <f>SUM(L168,L169,L170,L171)</f>
        <v>55010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55010</v>
      </c>
      <c r="I174" s="638"/>
      <c r="J174" s="616"/>
      <c r="K174" s="1675">
        <f>SUM(K160,K172,K173)</f>
        <v>55010</v>
      </c>
      <c r="L174" s="1675">
        <f>SUM(L160,L172,L173)</f>
        <v>55010</v>
      </c>
    </row>
    <row r="175" spans="1:14" ht="13.5" thickTop="1" x14ac:dyDescent="0.2">
      <c r="A175" s="2180" t="s">
        <v>996</v>
      </c>
      <c r="B175" s="2181"/>
      <c r="C175" s="616"/>
      <c r="D175" s="616"/>
      <c r="E175" s="616"/>
      <c r="F175" s="616"/>
      <c r="G175" s="616"/>
      <c r="H175" s="618"/>
      <c r="I175" s="616"/>
      <c r="J175" s="616"/>
      <c r="K175" s="1682">
        <f>'Revenues 9-14'!E268-'Expenditures 15-22'!K174</f>
        <v>919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28256</v>
      </c>
      <c r="D182" s="466">
        <v>674</v>
      </c>
      <c r="E182" s="466">
        <v>21073</v>
      </c>
      <c r="F182" s="466">
        <v>4120</v>
      </c>
      <c r="G182" s="466"/>
      <c r="H182" s="466"/>
      <c r="I182" s="467"/>
      <c r="J182" s="467"/>
      <c r="K182" s="1669">
        <f>SUM(C182:J182)</f>
        <v>54123</v>
      </c>
      <c r="L182" s="466">
        <v>53775</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28256</v>
      </c>
      <c r="D184" s="1675">
        <f t="shared" ref="D184:J184" si="17">SUM(D180,D182,D183)</f>
        <v>674</v>
      </c>
      <c r="E184" s="1675">
        <f t="shared" si="17"/>
        <v>21073</v>
      </c>
      <c r="F184" s="1675">
        <f t="shared" si="17"/>
        <v>4120</v>
      </c>
      <c r="G184" s="1675">
        <f t="shared" si="17"/>
        <v>0</v>
      </c>
      <c r="H184" s="1675">
        <f t="shared" si="17"/>
        <v>0</v>
      </c>
      <c r="I184" s="1675">
        <f t="shared" si="17"/>
        <v>0</v>
      </c>
      <c r="J184" s="1675">
        <f t="shared" si="17"/>
        <v>0</v>
      </c>
      <c r="K184" s="1675">
        <f>SUM(K180,K182,K183)</f>
        <v>54123</v>
      </c>
      <c r="L184" s="1675">
        <f>SUM(L180, L182:L183)</f>
        <v>53775</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28256</v>
      </c>
      <c r="D210" s="1668">
        <f>SUM(D184,D185)</f>
        <v>674</v>
      </c>
      <c r="E210" s="1668">
        <f>SUM(E184,E185,E196)</f>
        <v>21073</v>
      </c>
      <c r="F210" s="1668">
        <f>SUM(F184,F185)</f>
        <v>4120</v>
      </c>
      <c r="G210" s="1668">
        <f>SUM(G184,G185)</f>
        <v>0</v>
      </c>
      <c r="H210" s="1668">
        <f>SUM(H184,H185,H196,H208,H209)</f>
        <v>0</v>
      </c>
      <c r="I210" s="1668">
        <f>SUM(I184,I185)</f>
        <v>0</v>
      </c>
      <c r="J210" s="1668">
        <f>SUM(J184,J185)</f>
        <v>0</v>
      </c>
      <c r="K210" s="1669">
        <f>SUM(K184,K185,K196,K208,K209)</f>
        <v>54123</v>
      </c>
      <c r="L210" s="1668">
        <f>SUM(L184,L185,L196,L208,L209)</f>
        <v>53775</v>
      </c>
    </row>
    <row r="211" spans="1:14" ht="13.5" thickTop="1" x14ac:dyDescent="0.2">
      <c r="A211" s="2180" t="s">
        <v>996</v>
      </c>
      <c r="B211" s="2181"/>
      <c r="C211" s="618"/>
      <c r="D211" s="618"/>
      <c r="E211" s="618"/>
      <c r="F211" s="618"/>
      <c r="G211" s="618"/>
      <c r="H211" s="618"/>
      <c r="I211" s="616"/>
      <c r="J211" s="616"/>
      <c r="K211" s="1682">
        <f>'Revenues 9-14'!F268-'Expenditures 15-22'!K210</f>
        <v>13712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9974</v>
      </c>
      <c r="E215" s="616"/>
      <c r="F215" s="616"/>
      <c r="G215" s="616"/>
      <c r="H215" s="616"/>
      <c r="I215" s="616"/>
      <c r="J215" s="616"/>
      <c r="K215" s="1669">
        <f>D215</f>
        <v>9974</v>
      </c>
      <c r="L215" s="466">
        <v>10000</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13339</v>
      </c>
      <c r="E217" s="616"/>
      <c r="F217" s="616"/>
      <c r="G217" s="616"/>
      <c r="H217" s="616"/>
      <c r="I217" s="616"/>
      <c r="J217" s="616"/>
      <c r="K217" s="1669">
        <f t="shared" si="19"/>
        <v>13339</v>
      </c>
      <c r="L217" s="466">
        <v>13600</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8959</v>
      </c>
      <c r="E219" s="616"/>
      <c r="F219" s="616"/>
      <c r="G219" s="616"/>
      <c r="H219" s="616"/>
      <c r="I219" s="616"/>
      <c r="J219" s="616"/>
      <c r="K219" s="1669">
        <f t="shared" si="19"/>
        <v>8959</v>
      </c>
      <c r="L219" s="466">
        <v>8800</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v>1197</v>
      </c>
      <c r="E223" s="616"/>
      <c r="F223" s="616"/>
      <c r="G223" s="616"/>
      <c r="H223" s="616"/>
      <c r="I223" s="616"/>
      <c r="J223" s="616"/>
      <c r="K223" s="1669">
        <f t="shared" si="19"/>
        <v>1197</v>
      </c>
      <c r="L223" s="466">
        <v>1200</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c r="E226" s="616"/>
      <c r="F226" s="616"/>
      <c r="G226" s="616"/>
      <c r="H226" s="616"/>
      <c r="I226" s="616"/>
      <c r="J226" s="616"/>
      <c r="K226" s="1669">
        <f t="shared" si="19"/>
        <v>0</v>
      </c>
      <c r="L226" s="466"/>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33469</v>
      </c>
      <c r="E229" s="616"/>
      <c r="F229" s="616"/>
      <c r="G229" s="616"/>
      <c r="H229" s="616"/>
      <c r="I229" s="616"/>
      <c r="J229" s="616"/>
      <c r="K229" s="1668">
        <f>SUM(K215:K228)</f>
        <v>33469</v>
      </c>
      <c r="L229" s="1668">
        <f>SUM(L215:L228)</f>
        <v>33600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c r="E233" s="616"/>
      <c r="F233" s="616"/>
      <c r="G233" s="616"/>
      <c r="H233" s="616"/>
      <c r="I233" s="616"/>
      <c r="J233" s="616"/>
      <c r="K233" s="1669">
        <f t="shared" si="20"/>
        <v>0</v>
      </c>
      <c r="L233" s="466"/>
    </row>
    <row r="234" spans="1:12" x14ac:dyDescent="0.2">
      <c r="A234" s="1504" t="s">
        <v>198</v>
      </c>
      <c r="B234" s="614">
        <v>2130</v>
      </c>
      <c r="C234" s="616"/>
      <c r="D234" s="466">
        <v>1101</v>
      </c>
      <c r="E234" s="616"/>
      <c r="F234" s="616"/>
      <c r="G234" s="616"/>
      <c r="H234" s="616"/>
      <c r="I234" s="616"/>
      <c r="J234" s="616"/>
      <c r="K234" s="1669">
        <f t="shared" si="20"/>
        <v>1101</v>
      </c>
      <c r="L234" s="466">
        <v>1150</v>
      </c>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v>109</v>
      </c>
      <c r="E237" s="616"/>
      <c r="F237" s="616"/>
      <c r="G237" s="616"/>
      <c r="H237" s="616"/>
      <c r="I237" s="616"/>
      <c r="J237" s="616"/>
      <c r="K237" s="1669">
        <f t="shared" si="20"/>
        <v>109</v>
      </c>
      <c r="L237" s="466">
        <v>120</v>
      </c>
    </row>
    <row r="238" spans="1:12" ht="12.75" customHeight="1" thickBot="1" x14ac:dyDescent="0.25">
      <c r="A238" s="1666" t="s">
        <v>560</v>
      </c>
      <c r="B238" s="1673" t="s">
        <v>716</v>
      </c>
      <c r="C238" s="616"/>
      <c r="D238" s="1668">
        <f>SUM(D232:D237)</f>
        <v>1210</v>
      </c>
      <c r="E238" s="616"/>
      <c r="F238" s="616"/>
      <c r="G238" s="616"/>
      <c r="H238" s="616"/>
      <c r="I238" s="616"/>
      <c r="J238" s="616"/>
      <c r="K238" s="1668">
        <f>SUM(K232:K237)</f>
        <v>1210</v>
      </c>
      <c r="L238" s="1668">
        <f>SUM(L232:L237)</f>
        <v>1270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15</v>
      </c>
      <c r="E240" s="616"/>
      <c r="F240" s="616"/>
      <c r="G240" s="616"/>
      <c r="H240" s="616"/>
      <c r="I240" s="616"/>
      <c r="J240" s="616"/>
      <c r="K240" s="1670">
        <f>D240</f>
        <v>15</v>
      </c>
      <c r="L240" s="481"/>
    </row>
    <row r="241" spans="1:12" x14ac:dyDescent="0.2">
      <c r="A241" s="1504" t="s">
        <v>815</v>
      </c>
      <c r="B241" s="614">
        <v>2220</v>
      </c>
      <c r="C241" s="616"/>
      <c r="D241" s="466">
        <v>70</v>
      </c>
      <c r="E241" s="616"/>
      <c r="F241" s="616"/>
      <c r="G241" s="616"/>
      <c r="H241" s="616"/>
      <c r="I241" s="616"/>
      <c r="J241" s="616"/>
      <c r="K241" s="1670">
        <f>D241</f>
        <v>70</v>
      </c>
      <c r="L241" s="466">
        <v>70</v>
      </c>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85</v>
      </c>
      <c r="E243" s="616"/>
      <c r="F243" s="616"/>
      <c r="G243" s="616"/>
      <c r="H243" s="616"/>
      <c r="I243" s="616"/>
      <c r="J243" s="616"/>
      <c r="K243" s="1668">
        <f>SUM(K240:K242)</f>
        <v>85</v>
      </c>
      <c r="L243" s="1668">
        <f>SUM(L240:L242)</f>
        <v>70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172</v>
      </c>
      <c r="E245" s="616"/>
      <c r="F245" s="616"/>
      <c r="G245" s="616"/>
      <c r="H245" s="616"/>
      <c r="I245" s="616"/>
      <c r="J245" s="616"/>
      <c r="K245" s="1670">
        <f>D245</f>
        <v>172</v>
      </c>
      <c r="L245" s="481">
        <v>200</v>
      </c>
    </row>
    <row r="246" spans="1:12" x14ac:dyDescent="0.2">
      <c r="A246" s="1504" t="s">
        <v>818</v>
      </c>
      <c r="B246" s="614">
        <v>2320</v>
      </c>
      <c r="C246" s="616"/>
      <c r="D246" s="466">
        <v>883</v>
      </c>
      <c r="E246" s="616"/>
      <c r="F246" s="616"/>
      <c r="G246" s="616"/>
      <c r="H246" s="616"/>
      <c r="I246" s="616"/>
      <c r="J246" s="616"/>
      <c r="K246" s="1670">
        <f t="shared" ref="K246:K256" si="21">D246</f>
        <v>883</v>
      </c>
      <c r="L246" s="466">
        <v>1450</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1055</v>
      </c>
      <c r="E257" s="616"/>
      <c r="F257" s="616"/>
      <c r="G257" s="616"/>
      <c r="H257" s="616"/>
      <c r="I257" s="616"/>
      <c r="J257" s="616"/>
      <c r="K257" s="1668">
        <f>SUM(K245:K256)</f>
        <v>1055</v>
      </c>
      <c r="L257" s="1668">
        <f>SUM(L245:L256)</f>
        <v>1650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5295</v>
      </c>
      <c r="E259" s="616"/>
      <c r="F259" s="616"/>
      <c r="G259" s="616"/>
      <c r="H259" s="616"/>
      <c r="I259" s="616"/>
      <c r="J259" s="616"/>
      <c r="K259" s="1670">
        <f>D259</f>
        <v>5295</v>
      </c>
      <c r="L259" s="481">
        <v>5360</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5295</v>
      </c>
      <c r="E261" s="616"/>
      <c r="F261" s="616"/>
      <c r="G261" s="616"/>
      <c r="H261" s="616"/>
      <c r="I261" s="616"/>
      <c r="J261" s="616"/>
      <c r="K261" s="1668">
        <f>SUM(K259:K260)</f>
        <v>5295</v>
      </c>
      <c r="L261" s="1668">
        <f>SUM(L259:L260)</f>
        <v>5360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2410</v>
      </c>
      <c r="E264" s="616"/>
      <c r="F264" s="616"/>
      <c r="G264" s="616"/>
      <c r="H264" s="616"/>
      <c r="I264" s="616"/>
      <c r="J264" s="616"/>
      <c r="K264" s="1670">
        <f t="shared" ref="K264:K269" si="22">D264</f>
        <v>2410</v>
      </c>
      <c r="L264" s="466">
        <v>2400</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8650</v>
      </c>
      <c r="E266" s="616"/>
      <c r="F266" s="616"/>
      <c r="G266" s="616"/>
      <c r="H266" s="616"/>
      <c r="I266" s="616"/>
      <c r="J266" s="616"/>
      <c r="K266" s="1670">
        <f t="shared" si="22"/>
        <v>8650</v>
      </c>
      <c r="L266" s="466">
        <v>8900</v>
      </c>
    </row>
    <row r="267" spans="1:14" x14ac:dyDescent="0.2">
      <c r="A267" s="1504" t="s">
        <v>953</v>
      </c>
      <c r="B267" s="614">
        <v>2550</v>
      </c>
      <c r="C267" s="616"/>
      <c r="D267" s="466">
        <v>4840</v>
      </c>
      <c r="E267" s="616"/>
      <c r="F267" s="616"/>
      <c r="G267" s="616"/>
      <c r="H267" s="616"/>
      <c r="I267" s="616"/>
      <c r="J267" s="616"/>
      <c r="K267" s="1670">
        <f t="shared" si="22"/>
        <v>4840</v>
      </c>
      <c r="L267" s="466">
        <v>5000</v>
      </c>
    </row>
    <row r="268" spans="1:14" x14ac:dyDescent="0.2">
      <c r="A268" s="1504" t="s">
        <v>100</v>
      </c>
      <c r="B268" s="614">
        <v>2560</v>
      </c>
      <c r="C268" s="616"/>
      <c r="D268" s="466">
        <v>4673</v>
      </c>
      <c r="E268" s="616"/>
      <c r="F268" s="616"/>
      <c r="G268" s="616"/>
      <c r="H268" s="616"/>
      <c r="I268" s="616"/>
      <c r="J268" s="616"/>
      <c r="K268" s="1670">
        <f t="shared" si="22"/>
        <v>4673</v>
      </c>
      <c r="L268" s="466">
        <v>4800</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20573</v>
      </c>
      <c r="E270" s="616"/>
      <c r="F270" s="616"/>
      <c r="G270" s="616"/>
      <c r="H270" s="616"/>
      <c r="I270" s="616"/>
      <c r="J270" s="616"/>
      <c r="K270" s="1668">
        <f>SUM(K263:K269)</f>
        <v>20573</v>
      </c>
      <c r="L270" s="1668">
        <f>SUM(L263:L269)</f>
        <v>21100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28218</v>
      </c>
      <c r="E279" s="616"/>
      <c r="F279" s="616"/>
      <c r="G279" s="616"/>
      <c r="H279" s="616"/>
      <c r="I279" s="616"/>
      <c r="J279" s="616"/>
      <c r="K279" s="1675">
        <f>SUM(K238,K243,K257,K261,K270,K277,K278)</f>
        <v>28218</v>
      </c>
      <c r="L279" s="1675">
        <f>SUM(L238,L243,L257,L261,L270,L277,L278)</f>
        <v>29450</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8">
        <f>SUM(D229,D279,D280,D285)</f>
        <v>61687</v>
      </c>
      <c r="E295" s="616"/>
      <c r="F295" s="616"/>
      <c r="G295" s="616"/>
      <c r="H295" s="1668">
        <f>H293</f>
        <v>0</v>
      </c>
      <c r="I295" s="616"/>
      <c r="J295" s="616"/>
      <c r="K295" s="1668">
        <f>SUM(K229,K279,K280,K285,K293,K294)</f>
        <v>61687</v>
      </c>
      <c r="L295" s="1668">
        <f>SUM(L229,L279,L280,L285,L293,L294)</f>
        <v>63050</v>
      </c>
    </row>
    <row r="296" spans="1:14" ht="13.5" thickTop="1" x14ac:dyDescent="0.2">
      <c r="A296" s="2180" t="s">
        <v>996</v>
      </c>
      <c r="B296" s="2181"/>
      <c r="C296" s="616"/>
      <c r="D296" s="618"/>
      <c r="E296" s="616"/>
      <c r="F296" s="616"/>
      <c r="G296" s="616"/>
      <c r="H296" s="687"/>
      <c r="I296" s="616"/>
      <c r="J296" s="616"/>
      <c r="K296" s="1682">
        <f>'Revenues 9-14'!G268-'Expenditures 15-22'!K295</f>
        <v>-6026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53115</v>
      </c>
      <c r="H301" s="466"/>
      <c r="I301" s="467"/>
      <c r="J301" s="467"/>
      <c r="K301" s="1669">
        <f>SUM(C301:J301)</f>
        <v>53115</v>
      </c>
      <c r="L301" s="467">
        <v>53115</v>
      </c>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53115</v>
      </c>
      <c r="H303" s="1675">
        <f t="shared" si="23"/>
        <v>0</v>
      </c>
      <c r="I303" s="1675">
        <f t="shared" si="23"/>
        <v>0</v>
      </c>
      <c r="J303" s="1675">
        <f t="shared" si="23"/>
        <v>0</v>
      </c>
      <c r="K303" s="1675">
        <f t="shared" si="23"/>
        <v>53115</v>
      </c>
      <c r="L303" s="1675">
        <f t="shared" si="23"/>
        <v>53115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8">
        <f>SUM(C303)</f>
        <v>0</v>
      </c>
      <c r="D312" s="1668">
        <f>SUM(D303)</f>
        <v>0</v>
      </c>
      <c r="E312" s="1668">
        <f>SUM(E303,E310)</f>
        <v>0</v>
      </c>
      <c r="F312" s="1668">
        <f>SUM(F303)</f>
        <v>0</v>
      </c>
      <c r="G312" s="1668">
        <f>SUM(G303)</f>
        <v>53115</v>
      </c>
      <c r="H312" s="1668">
        <f>SUM(H303,H310)</f>
        <v>0</v>
      </c>
      <c r="I312" s="1668">
        <f>SUM(I303)</f>
        <v>0</v>
      </c>
      <c r="J312" s="1668">
        <f>SUM(J303)</f>
        <v>0</v>
      </c>
      <c r="K312" s="1668">
        <f>SUM(K303,K310,K311)</f>
        <v>53115</v>
      </c>
      <c r="L312" s="1668">
        <f>SUM(L303,L310,L311)</f>
        <v>53115</v>
      </c>
      <c r="M312" s="665"/>
      <c r="N312" s="665"/>
    </row>
    <row r="313" spans="1:14" ht="13.5" thickTop="1" x14ac:dyDescent="0.2">
      <c r="A313" s="2164" t="s">
        <v>996</v>
      </c>
      <c r="B313" s="2165"/>
      <c r="C313" s="626"/>
      <c r="D313" s="626"/>
      <c r="E313" s="626"/>
      <c r="F313" s="626"/>
      <c r="G313" s="626"/>
      <c r="H313" s="626"/>
      <c r="I313" s="626"/>
      <c r="J313" s="626"/>
      <c r="K313" s="1683">
        <f>'Revenues 9-14'!H268-'Expenditures 15-22'!K312</f>
        <v>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8500</v>
      </c>
      <c r="F320" s="467"/>
      <c r="G320" s="467"/>
      <c r="H320" s="467"/>
      <c r="I320" s="467"/>
      <c r="J320" s="467"/>
      <c r="K320" s="1669">
        <f t="shared" ref="K320:K327" si="24">SUM(C320:J320)</f>
        <v>8500</v>
      </c>
      <c r="L320" s="467">
        <v>7500</v>
      </c>
      <c r="M320" s="665"/>
      <c r="N320" s="665"/>
    </row>
    <row r="321" spans="1:14" s="674" customFormat="1" x14ac:dyDescent="0.2">
      <c r="A321" s="1519" t="s">
        <v>300</v>
      </c>
      <c r="B321" s="697" t="s">
        <v>283</v>
      </c>
      <c r="C321" s="467"/>
      <c r="D321" s="467"/>
      <c r="E321" s="467">
        <v>1954</v>
      </c>
      <c r="F321" s="467"/>
      <c r="G321" s="467"/>
      <c r="H321" s="467"/>
      <c r="I321" s="467"/>
      <c r="J321" s="467"/>
      <c r="K321" s="1669">
        <f t="shared" si="24"/>
        <v>1954</v>
      </c>
      <c r="L321" s="467">
        <v>1954</v>
      </c>
      <c r="M321" s="665"/>
      <c r="N321" s="665"/>
    </row>
    <row r="322" spans="1:14" s="674" customFormat="1" x14ac:dyDescent="0.2">
      <c r="A322" s="1519" t="s">
        <v>238</v>
      </c>
      <c r="B322" s="697" t="s">
        <v>284</v>
      </c>
      <c r="C322" s="467"/>
      <c r="D322" s="467"/>
      <c r="E322" s="467">
        <v>13398</v>
      </c>
      <c r="F322" s="467"/>
      <c r="G322" s="467"/>
      <c r="H322" s="467"/>
      <c r="I322" s="467"/>
      <c r="J322" s="467"/>
      <c r="K322" s="1669">
        <f t="shared" si="24"/>
        <v>13398</v>
      </c>
      <c r="L322" s="467">
        <v>13500</v>
      </c>
      <c r="M322" s="665"/>
      <c r="N322" s="665"/>
    </row>
    <row r="323" spans="1:14" s="674" customFormat="1" x14ac:dyDescent="0.2">
      <c r="A323" s="1519" t="s">
        <v>702</v>
      </c>
      <c r="B323" s="697" t="s">
        <v>285</v>
      </c>
      <c r="C323" s="467">
        <v>68037</v>
      </c>
      <c r="D323" s="467">
        <v>3371</v>
      </c>
      <c r="E323" s="467">
        <v>15821</v>
      </c>
      <c r="F323" s="467"/>
      <c r="G323" s="467"/>
      <c r="H323" s="467"/>
      <c r="I323" s="467"/>
      <c r="J323" s="467"/>
      <c r="K323" s="1669">
        <f t="shared" si="24"/>
        <v>87229</v>
      </c>
      <c r="L323" s="467">
        <v>99875</v>
      </c>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v>375</v>
      </c>
      <c r="F327" s="467"/>
      <c r="G327" s="467"/>
      <c r="H327" s="467"/>
      <c r="I327" s="467"/>
      <c r="J327" s="467"/>
      <c r="K327" s="1669">
        <f t="shared" si="24"/>
        <v>375</v>
      </c>
      <c r="L327" s="467">
        <v>500</v>
      </c>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68037</v>
      </c>
      <c r="D330" s="1668">
        <f t="shared" ref="D330:J330" si="25">SUM(D319:D329)</f>
        <v>3371</v>
      </c>
      <c r="E330" s="1668">
        <f t="shared" si="25"/>
        <v>40048</v>
      </c>
      <c r="F330" s="1668">
        <f t="shared" si="25"/>
        <v>0</v>
      </c>
      <c r="G330" s="1668">
        <f t="shared" si="25"/>
        <v>0</v>
      </c>
      <c r="H330" s="1668">
        <f t="shared" si="25"/>
        <v>0</v>
      </c>
      <c r="I330" s="1668">
        <f t="shared" si="25"/>
        <v>0</v>
      </c>
      <c r="J330" s="1668">
        <f t="shared" si="25"/>
        <v>0</v>
      </c>
      <c r="K330" s="1668">
        <f>SUM(K319:K329)</f>
        <v>111456</v>
      </c>
      <c r="L330" s="1668">
        <f>SUM(L319:L329)</f>
        <v>123329</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v>4079</v>
      </c>
      <c r="I333" s="1831"/>
      <c r="J333" s="1831"/>
      <c r="K333" s="1669">
        <f>H333</f>
        <v>4079</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4079</v>
      </c>
      <c r="I334" s="1831"/>
      <c r="J334" s="1831"/>
      <c r="K334" s="1668">
        <f>SUM(K332:K333)</f>
        <v>4079</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68037</v>
      </c>
      <c r="D342" s="1668">
        <f>SUM(D330)</f>
        <v>3371</v>
      </c>
      <c r="E342" s="1668">
        <f>SUM(E330)</f>
        <v>40048</v>
      </c>
      <c r="F342" s="1668">
        <f>SUM(F330)</f>
        <v>0</v>
      </c>
      <c r="G342" s="1668">
        <f>SUM(G330)</f>
        <v>0</v>
      </c>
      <c r="H342" s="1668">
        <f>SUM(H330,H334,H340)</f>
        <v>4079</v>
      </c>
      <c r="I342" s="1668">
        <f>SUM(I330)</f>
        <v>0</v>
      </c>
      <c r="J342" s="1668">
        <f>SUM(J330)</f>
        <v>0</v>
      </c>
      <c r="K342" s="1668">
        <f>SUM(K330,K334,K340)</f>
        <v>115535</v>
      </c>
      <c r="L342" s="1675">
        <f>SUM(L330,L334,L340,L341)</f>
        <v>123329</v>
      </c>
    </row>
    <row r="343" spans="1:14" ht="12.75" customHeight="1" thickTop="1" x14ac:dyDescent="0.2">
      <c r="A343" s="2166" t="s">
        <v>996</v>
      </c>
      <c r="B343" s="2167"/>
      <c r="C343" s="616"/>
      <c r="D343" s="616"/>
      <c r="E343" s="616"/>
      <c r="F343" s="616"/>
      <c r="G343" s="616"/>
      <c r="H343" s="616"/>
      <c r="I343" s="616"/>
      <c r="J343" s="616"/>
      <c r="K343" s="1682">
        <f>'Revenues 9-14'!J268-'Expenditures 15-22'!K342</f>
        <v>10582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16431</v>
      </c>
      <c r="F348" s="466">
        <v>399</v>
      </c>
      <c r="G348" s="466"/>
      <c r="H348" s="466"/>
      <c r="I348" s="467"/>
      <c r="J348" s="467"/>
      <c r="K348" s="1669">
        <f>SUM(C348:J348)</f>
        <v>16830</v>
      </c>
      <c r="L348" s="466">
        <v>400</v>
      </c>
    </row>
    <row r="349" spans="1:14" x14ac:dyDescent="0.2">
      <c r="A349" s="1504" t="s">
        <v>197</v>
      </c>
      <c r="B349" s="614">
        <v>2540</v>
      </c>
      <c r="C349" s="466"/>
      <c r="D349" s="466"/>
      <c r="E349" s="466">
        <v>273</v>
      </c>
      <c r="F349" s="466">
        <v>69</v>
      </c>
      <c r="G349" s="466">
        <v>6175</v>
      </c>
      <c r="H349" s="466"/>
      <c r="I349" s="467"/>
      <c r="J349" s="467"/>
      <c r="K349" s="1669">
        <f>SUM(C349:J349)</f>
        <v>6517</v>
      </c>
      <c r="L349" s="466">
        <v>3793</v>
      </c>
    </row>
    <row r="350" spans="1:14" ht="12.75" customHeight="1" thickBot="1" x14ac:dyDescent="0.25">
      <c r="A350" s="1666" t="s">
        <v>719</v>
      </c>
      <c r="B350" s="1667" t="s">
        <v>35</v>
      </c>
      <c r="C350" s="1668">
        <f>SUM(C348:C349)</f>
        <v>0</v>
      </c>
      <c r="D350" s="1668">
        <f t="shared" ref="D350:L350" si="26">SUM(D348:D349)</f>
        <v>0</v>
      </c>
      <c r="E350" s="1668">
        <f t="shared" si="26"/>
        <v>16704</v>
      </c>
      <c r="F350" s="1668">
        <f t="shared" si="26"/>
        <v>468</v>
      </c>
      <c r="G350" s="1668">
        <f t="shared" si="26"/>
        <v>6175</v>
      </c>
      <c r="H350" s="1668">
        <f t="shared" si="26"/>
        <v>0</v>
      </c>
      <c r="I350" s="1668">
        <f t="shared" si="26"/>
        <v>0</v>
      </c>
      <c r="J350" s="1668">
        <f t="shared" si="26"/>
        <v>0</v>
      </c>
      <c r="K350" s="1668">
        <f t="shared" si="26"/>
        <v>23347</v>
      </c>
      <c r="L350" s="1668">
        <f t="shared" si="26"/>
        <v>4193</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16704</v>
      </c>
      <c r="F352" s="1668">
        <f t="shared" si="27"/>
        <v>468</v>
      </c>
      <c r="G352" s="1668">
        <f t="shared" si="27"/>
        <v>6175</v>
      </c>
      <c r="H352" s="1668">
        <f t="shared" si="27"/>
        <v>0</v>
      </c>
      <c r="I352" s="1668">
        <f t="shared" si="27"/>
        <v>0</v>
      </c>
      <c r="J352" s="1668">
        <f t="shared" si="27"/>
        <v>0</v>
      </c>
      <c r="K352" s="1668">
        <f t="shared" si="27"/>
        <v>23347</v>
      </c>
      <c r="L352" s="1668">
        <f t="shared" si="27"/>
        <v>4193</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16704</v>
      </c>
      <c r="F367" s="1668">
        <f t="shared" si="28"/>
        <v>468</v>
      </c>
      <c r="G367" s="1668">
        <f t="shared" si="28"/>
        <v>6175</v>
      </c>
      <c r="H367" s="1668">
        <f t="shared" si="28"/>
        <v>0</v>
      </c>
      <c r="I367" s="1668">
        <f t="shared" si="28"/>
        <v>0</v>
      </c>
      <c r="J367" s="1668">
        <f t="shared" si="28"/>
        <v>0</v>
      </c>
      <c r="K367" s="1668">
        <f t="shared" si="28"/>
        <v>23347</v>
      </c>
      <c r="L367" s="1668">
        <f t="shared" si="28"/>
        <v>4193</v>
      </c>
    </row>
    <row r="368" spans="1:14" ht="13.5" thickTop="1" x14ac:dyDescent="0.2">
      <c r="A368" s="2180" t="s">
        <v>996</v>
      </c>
      <c r="B368" s="2181"/>
      <c r="C368" s="654"/>
      <c r="D368" s="654"/>
      <c r="E368" s="626"/>
      <c r="F368" s="626"/>
      <c r="G368" s="626"/>
      <c r="H368" s="626"/>
      <c r="I368" s="626"/>
      <c r="J368" s="623"/>
      <c r="K368" s="1669">
        <f>'Revenues 9-14'!K268-'Expenditures 15-22'!K367</f>
        <v>-11781</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39" sqref="A39:B3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1802</v>
      </c>
      <c r="B2" s="1528" t="s">
        <v>1949</v>
      </c>
      <c r="C2" s="714" t="s">
        <v>1950</v>
      </c>
      <c r="D2" s="714" t="s">
        <v>1951</v>
      </c>
      <c r="E2" s="714" t="s">
        <v>1952</v>
      </c>
      <c r="F2" s="714" t="s">
        <v>1953</v>
      </c>
    </row>
    <row r="3" spans="1:6" ht="12" customHeight="1" x14ac:dyDescent="0.2">
      <c r="A3" s="2183"/>
      <c r="B3" s="1525"/>
      <c r="C3" s="1526"/>
      <c r="D3" s="1527" t="s">
        <v>256</v>
      </c>
      <c r="E3" s="1526"/>
      <c r="F3" s="1527" t="s">
        <v>257</v>
      </c>
    </row>
    <row r="4" spans="1:6" ht="13.7" customHeight="1" x14ac:dyDescent="0.2">
      <c r="A4" s="715" t="s">
        <v>1155</v>
      </c>
      <c r="B4" s="1747">
        <f>'Revenues 9-14'!C5</f>
        <v>286878</v>
      </c>
      <c r="C4" s="1524"/>
      <c r="D4" s="1750">
        <f>B4-C4</f>
        <v>286878</v>
      </c>
      <c r="E4" s="1524">
        <v>307783</v>
      </c>
      <c r="F4" s="1750">
        <f>E4-C4</f>
        <v>307783</v>
      </c>
    </row>
    <row r="5" spans="1:6" ht="13.7" customHeight="1" x14ac:dyDescent="0.2">
      <c r="A5" s="715" t="s">
        <v>870</v>
      </c>
      <c r="B5" s="1748">
        <f>'Revenues 9-14'!D5</f>
        <v>61060</v>
      </c>
      <c r="C5" s="585"/>
      <c r="D5" s="1751">
        <f t="shared" ref="D5:D18" si="0">B5-C5</f>
        <v>61060</v>
      </c>
      <c r="E5" s="585">
        <v>63956</v>
      </c>
      <c r="F5" s="1751">
        <f>E5-C5</f>
        <v>63956</v>
      </c>
    </row>
    <row r="6" spans="1:6" ht="13.7" customHeight="1" x14ac:dyDescent="0.2">
      <c r="A6" s="715" t="s">
        <v>411</v>
      </c>
      <c r="B6" s="1748">
        <f>'Revenues 9-14'!E5</f>
        <v>29758</v>
      </c>
      <c r="C6" s="585"/>
      <c r="D6" s="1751">
        <f t="shared" si="0"/>
        <v>29758</v>
      </c>
      <c r="E6" s="585"/>
      <c r="F6" s="1751">
        <f t="shared" ref="F6:F18" si="1">E6-C6</f>
        <v>0</v>
      </c>
    </row>
    <row r="7" spans="1:6" ht="13.7" customHeight="1" x14ac:dyDescent="0.2">
      <c r="A7" s="715" t="s">
        <v>155</v>
      </c>
      <c r="B7" s="1748">
        <f>'Revenues 9-14'!F5</f>
        <v>28067</v>
      </c>
      <c r="C7" s="585"/>
      <c r="D7" s="1751">
        <f t="shared" si="0"/>
        <v>28067</v>
      </c>
      <c r="E7" s="585">
        <v>29478</v>
      </c>
      <c r="F7" s="1751">
        <f t="shared" si="1"/>
        <v>29478</v>
      </c>
    </row>
    <row r="8" spans="1:6" ht="13.7" customHeight="1" x14ac:dyDescent="0.2">
      <c r="A8" s="715" t="s">
        <v>1179</v>
      </c>
      <c r="B8" s="1748">
        <f>'Revenues 9-14'!G5</f>
        <v>28067</v>
      </c>
      <c r="C8" s="585"/>
      <c r="D8" s="1751">
        <f t="shared" si="0"/>
        <v>28067</v>
      </c>
      <c r="E8" s="585">
        <v>29478</v>
      </c>
      <c r="F8" s="1751">
        <f t="shared" si="1"/>
        <v>29478</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9850</v>
      </c>
      <c r="C10" s="585"/>
      <c r="D10" s="1751">
        <f t="shared" si="0"/>
        <v>9850</v>
      </c>
      <c r="E10" s="585">
        <v>10494</v>
      </c>
      <c r="F10" s="1751">
        <f t="shared" si="1"/>
        <v>10494</v>
      </c>
    </row>
    <row r="11" spans="1:6" x14ac:dyDescent="0.2">
      <c r="A11" s="715" t="s">
        <v>409</v>
      </c>
      <c r="B11" s="1748">
        <f>'Revenues 9-14'!J5</f>
        <v>114238</v>
      </c>
      <c r="C11" s="585"/>
      <c r="D11" s="1751">
        <f t="shared" si="0"/>
        <v>114238</v>
      </c>
      <c r="E11" s="585">
        <v>115919</v>
      </c>
      <c r="F11" s="1751">
        <f t="shared" si="1"/>
        <v>115919</v>
      </c>
    </row>
    <row r="12" spans="1:6" ht="13.7" customHeight="1" x14ac:dyDescent="0.2">
      <c r="A12" s="715" t="s">
        <v>157</v>
      </c>
      <c r="B12" s="1748">
        <f>'Revenues 9-14'!K5</f>
        <v>10833</v>
      </c>
      <c r="C12" s="585"/>
      <c r="D12" s="1751">
        <f t="shared" si="0"/>
        <v>10833</v>
      </c>
      <c r="E12" s="585">
        <v>10993</v>
      </c>
      <c r="F12" s="1751">
        <f t="shared" si="1"/>
        <v>10993</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4728</v>
      </c>
      <c r="C14" s="585"/>
      <c r="D14" s="1751">
        <f t="shared" si="0"/>
        <v>4728</v>
      </c>
      <c r="E14" s="585">
        <v>4796</v>
      </c>
      <c r="F14" s="1751">
        <f t="shared" si="1"/>
        <v>4796</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2562</v>
      </c>
      <c r="C16" s="585"/>
      <c r="D16" s="1751">
        <f t="shared" si="0"/>
        <v>2562</v>
      </c>
      <c r="E16" s="585">
        <v>2999</v>
      </c>
      <c r="F16" s="1751">
        <f t="shared" si="1"/>
        <v>2999</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576041</v>
      </c>
      <c r="C19" s="1749">
        <f>SUM(C4:C18)</f>
        <v>0</v>
      </c>
      <c r="D19" s="1749">
        <f>SUM(D4:D18)</f>
        <v>576041</v>
      </c>
      <c r="E19" s="1749">
        <f>SUM(E4:E18)</f>
        <v>575896</v>
      </c>
      <c r="F19" s="1749">
        <f>SUM(F4:F18)</f>
        <v>575896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3" colorId="8" zoomScale="110" zoomScaleNormal="110" workbookViewId="0">
      <selection activeCell="A39" sqref="A39:B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1" t="s">
        <v>1954</v>
      </c>
      <c r="D2" s="723" t="s">
        <v>1955</v>
      </c>
      <c r="E2" s="723" t="s">
        <v>1956</v>
      </c>
      <c r="F2" s="1881" t="s">
        <v>1957</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3">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6" t="s">
        <v>631</v>
      </c>
      <c r="B15" s="2187"/>
      <c r="C15" s="1753">
        <f>SUM(C6:C14)</f>
        <v>0</v>
      </c>
      <c r="D15" s="1753">
        <f>SUM(D6:D14)</f>
        <v>0</v>
      </c>
      <c r="E15" s="1753">
        <f>SUM(E6:E14)</f>
        <v>0</v>
      </c>
      <c r="F15" s="1753">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3">
        <f>SUM(C17+D17)-E17</f>
        <v>0</v>
      </c>
    </row>
    <row r="18" spans="1:11" ht="12.75" customHeight="1" thickTop="1" thickBot="1" x14ac:dyDescent="0.25">
      <c r="A18" s="2209" t="s">
        <v>6</v>
      </c>
      <c r="B18" s="2210"/>
      <c r="C18" s="726"/>
      <c r="D18" s="585"/>
      <c r="E18" s="726"/>
      <c r="F18" s="1753">
        <f>SUM(C18+D18)-E18</f>
        <v>0</v>
      </c>
    </row>
    <row r="19" spans="1:11" ht="12.75" customHeight="1" thickTop="1" thickBot="1" x14ac:dyDescent="0.25">
      <c r="A19" s="2209" t="s">
        <v>388</v>
      </c>
      <c r="B19" s="2210"/>
      <c r="C19" s="726"/>
      <c r="D19" s="585"/>
      <c r="E19" s="726"/>
      <c r="F19" s="1753">
        <f>SUM(C19+D19)-E19</f>
        <v>0</v>
      </c>
    </row>
    <row r="20" spans="1:11" ht="12.75" customHeight="1" thickTop="1" thickBot="1" x14ac:dyDescent="0.25">
      <c r="A20" s="2209" t="s">
        <v>448</v>
      </c>
      <c r="B20" s="2210"/>
      <c r="C20" s="726"/>
      <c r="D20" s="585"/>
      <c r="E20" s="726"/>
      <c r="F20" s="1753">
        <f>SUM(C20+D20)-E20</f>
        <v>0</v>
      </c>
    </row>
    <row r="21" spans="1:11" ht="14.25" thickTop="1" thickBot="1" x14ac:dyDescent="0.25">
      <c r="A21" s="2186" t="s">
        <v>632</v>
      </c>
      <c r="B21" s="2187"/>
      <c r="C21" s="1753">
        <f>SUM(C17:C20)</f>
        <v>0</v>
      </c>
      <c r="D21" s="1753">
        <f>SUM(D17:D20)</f>
        <v>0</v>
      </c>
      <c r="E21" s="1753">
        <f>SUM(E17:E20)</f>
        <v>0</v>
      </c>
      <c r="F21" s="1753">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3">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3">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3">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t="s">
        <v>2092</v>
      </c>
      <c r="B32" s="733">
        <v>36404</v>
      </c>
      <c r="C32" s="734">
        <v>305000</v>
      </c>
      <c r="D32" s="735">
        <v>4</v>
      </c>
      <c r="E32" s="734">
        <v>30000</v>
      </c>
      <c r="F32" s="734"/>
      <c r="G32" s="734"/>
      <c r="H32" s="734">
        <v>30000</v>
      </c>
      <c r="I32" s="1754">
        <f>((E32+F32)-H32)+G32</f>
        <v>0</v>
      </c>
      <c r="J32" s="734"/>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t="s">
        <v>2093</v>
      </c>
      <c r="B34" s="733">
        <v>40725</v>
      </c>
      <c r="C34" s="734">
        <v>225000</v>
      </c>
      <c r="D34" s="735">
        <v>7</v>
      </c>
      <c r="E34" s="734">
        <v>155000</v>
      </c>
      <c r="F34" s="734"/>
      <c r="G34" s="734"/>
      <c r="H34" s="734">
        <v>15000</v>
      </c>
      <c r="I34" s="1754">
        <f t="shared" si="1"/>
        <v>140000</v>
      </c>
      <c r="J34" s="734">
        <v>126131</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530000</v>
      </c>
      <c r="D49" s="745"/>
      <c r="E49" s="1754">
        <f t="shared" ref="E49:J49" si="2">SUM(E31:E48)</f>
        <v>185000</v>
      </c>
      <c r="F49" s="1754">
        <f t="shared" si="2"/>
        <v>0</v>
      </c>
      <c r="G49" s="1754">
        <f t="shared" si="2"/>
        <v>0</v>
      </c>
      <c r="H49" s="1754">
        <f t="shared" si="2"/>
        <v>45000</v>
      </c>
      <c r="I49" s="1754">
        <f t="shared" si="2"/>
        <v>140000</v>
      </c>
      <c r="J49" s="1754">
        <f t="shared" si="2"/>
        <v>126131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t="s">
        <v>2094</v>
      </c>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39" sqref="A39:B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1962</v>
      </c>
      <c r="B3" s="2220"/>
      <c r="C3" s="2220"/>
      <c r="D3" s="2220"/>
      <c r="E3" s="2221"/>
      <c r="F3" s="763"/>
      <c r="G3" s="764"/>
      <c r="H3" s="764">
        <v>0</v>
      </c>
      <c r="I3" s="764">
        <v>0</v>
      </c>
      <c r="J3" s="765">
        <v>0</v>
      </c>
      <c r="K3" s="765">
        <v>0</v>
      </c>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v>4728</v>
      </c>
      <c r="I5" s="772"/>
      <c r="J5" s="773"/>
      <c r="K5" s="773"/>
    </row>
    <row r="6" spans="1:11" x14ac:dyDescent="0.2">
      <c r="A6" s="774" t="s">
        <v>720</v>
      </c>
      <c r="B6" s="775"/>
      <c r="C6" s="775"/>
      <c r="D6" s="775"/>
      <c r="E6" s="776"/>
      <c r="F6" s="777" t="s">
        <v>849</v>
      </c>
      <c r="G6" s="764"/>
      <c r="H6" s="764">
        <v>14</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v>40</v>
      </c>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5"/>
      <c r="G12" s="1756">
        <f>SUM(G5:G11)</f>
        <v>0</v>
      </c>
      <c r="H12" s="1756">
        <f>SUM(H5:H11)</f>
        <v>4782</v>
      </c>
      <c r="I12" s="1756">
        <f>SUM(I5:I11)</f>
        <v>0</v>
      </c>
      <c r="J12" s="1756">
        <f>SUM(J5:J11)</f>
        <v>0</v>
      </c>
      <c r="K12" s="1756">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v>4782</v>
      </c>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7"/>
      <c r="G21" s="792"/>
      <c r="H21" s="796"/>
      <c r="I21" s="796"/>
      <c r="J21" s="1758">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59"/>
      <c r="G23" s="1756">
        <f>SUM(G14:G16,G21,G22)</f>
        <v>0</v>
      </c>
      <c r="H23" s="1756">
        <f>SUM(H14:H16,H21,H22)</f>
        <v>4782</v>
      </c>
      <c r="I23" s="1756">
        <f>SUM(I14:I16,I21,I22)</f>
        <v>0</v>
      </c>
      <c r="J23" s="1756">
        <f>SUM(J14:J16,J21,J22)</f>
        <v>0</v>
      </c>
      <c r="K23" s="1756">
        <f>SUM(K14:K16,K21,K22)</f>
        <v>0</v>
      </c>
    </row>
    <row r="24" spans="1:11" ht="14.25" thickTop="1" thickBot="1" x14ac:dyDescent="0.25">
      <c r="A24" s="2234" t="s">
        <v>1963</v>
      </c>
      <c r="B24" s="2233"/>
      <c r="C24" s="2233"/>
      <c r="D24" s="2233"/>
      <c r="E24" s="2233"/>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39" sqref="A39:B3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11500</v>
      </c>
      <c r="D5" s="841"/>
      <c r="E5" s="841"/>
      <c r="F5" s="1758">
        <f>(C5+D5)-E5</f>
        <v>11500</v>
      </c>
      <c r="G5" s="837"/>
      <c r="H5" s="842"/>
      <c r="I5" s="842"/>
      <c r="J5" s="842"/>
      <c r="K5" s="793"/>
      <c r="L5" s="1767">
        <f>F5-K5</f>
        <v>11500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2139845</v>
      </c>
      <c r="D8" s="844">
        <v>59290</v>
      </c>
      <c r="E8" s="844"/>
      <c r="F8" s="1758">
        <f>(C8+D8)-E8</f>
        <v>2199135</v>
      </c>
      <c r="G8" s="843">
        <v>50</v>
      </c>
      <c r="H8" s="765">
        <v>1106721</v>
      </c>
      <c r="I8" s="765">
        <v>30593</v>
      </c>
      <c r="J8" s="765"/>
      <c r="K8" s="1767">
        <f>(H8+I8)-J8</f>
        <v>1137314</v>
      </c>
      <c r="L8" s="1767">
        <f>F8-K8</f>
        <v>1061821</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26234</v>
      </c>
      <c r="D10" s="846"/>
      <c r="E10" s="846"/>
      <c r="F10" s="1762">
        <f>(C10+D10)-E10</f>
        <v>26234</v>
      </c>
      <c r="G10" s="843">
        <v>20</v>
      </c>
      <c r="H10" s="847">
        <v>24845</v>
      </c>
      <c r="I10" s="847">
        <v>285</v>
      </c>
      <c r="J10" s="847"/>
      <c r="K10" s="1767">
        <f>(H10+I10)-J10</f>
        <v>25130</v>
      </c>
      <c r="L10" s="1767">
        <f>F10-K10</f>
        <v>1104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656374</v>
      </c>
      <c r="D12" s="844">
        <v>3962</v>
      </c>
      <c r="E12" s="844">
        <v>45684</v>
      </c>
      <c r="F12" s="1758">
        <f>(C12+D12)-E12</f>
        <v>614652</v>
      </c>
      <c r="G12" s="843">
        <v>10</v>
      </c>
      <c r="H12" s="765">
        <v>520185</v>
      </c>
      <c r="I12" s="765">
        <v>25526</v>
      </c>
      <c r="J12" s="765">
        <v>44628</v>
      </c>
      <c r="K12" s="1767">
        <f>(H12+I12)-J12</f>
        <v>501083</v>
      </c>
      <c r="L12" s="1767">
        <f>F12-K12</f>
        <v>113569</v>
      </c>
    </row>
    <row r="13" spans="1:14" ht="14.25" thickTop="1" thickBot="1" x14ac:dyDescent="0.25">
      <c r="A13" s="848" t="s">
        <v>1122</v>
      </c>
      <c r="B13" s="840">
        <v>252</v>
      </c>
      <c r="C13" s="844">
        <v>5157</v>
      </c>
      <c r="D13" s="844"/>
      <c r="E13" s="844"/>
      <c r="F13" s="1758">
        <f>(C13+D13)-E13</f>
        <v>5157</v>
      </c>
      <c r="G13" s="843">
        <v>5</v>
      </c>
      <c r="H13" s="765">
        <v>1891</v>
      </c>
      <c r="I13" s="765">
        <v>1031</v>
      </c>
      <c r="J13" s="765"/>
      <c r="K13" s="1767">
        <f>(H13+I13)-J13</f>
        <v>2922</v>
      </c>
      <c r="L13" s="1767">
        <f>F13-K13</f>
        <v>2235</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2839110</v>
      </c>
      <c r="D16" s="1758">
        <f>SUM(D3,D5:D6,D8:D10,D12:D15)</f>
        <v>63252</v>
      </c>
      <c r="E16" s="1758">
        <f>SUM(E3,E5:E6,E8:E10,E12:E15)</f>
        <v>45684</v>
      </c>
      <c r="F16" s="1758">
        <f>SUM(F3,F5:F6,F8:F10,F12:F15)</f>
        <v>2856678</v>
      </c>
      <c r="G16" s="843"/>
      <c r="H16" s="1758">
        <f>SUM(H3,H6,H8:H10,H12:H14,)</f>
        <v>1653642</v>
      </c>
      <c r="I16" s="1758">
        <f>SUM(I3,I6,I8:I10,I12:I14,)</f>
        <v>57435</v>
      </c>
      <c r="J16" s="1758">
        <f>SUM(J3,J6,J8:J10,J12:J14,)</f>
        <v>44628</v>
      </c>
      <c r="K16" s="1758">
        <f>(H16+I16)-J16</f>
        <v>1666449</v>
      </c>
      <c r="L16" s="1758">
        <f>F16-K16</f>
        <v>1190229</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57435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9" activePane="bottomLeft" state="frozen"/>
      <selection activeCell="A39" sqref="A39:B39"/>
      <selection pane="bottomLeft" activeCell="A39" sqref="A39:B3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1973</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1322407</v>
      </c>
      <c r="G8" s="865"/>
    </row>
    <row r="9" spans="1:7" x14ac:dyDescent="0.2">
      <c r="A9" s="869" t="s">
        <v>460</v>
      </c>
      <c r="B9" s="870" t="s">
        <v>1876</v>
      </c>
      <c r="C9" s="871"/>
      <c r="D9" s="869" t="s">
        <v>501</v>
      </c>
      <c r="E9" s="868"/>
      <c r="F9" s="1906">
        <f>'Expenditures 15-22'!K151</f>
        <v>95979</v>
      </c>
      <c r="G9" s="872"/>
    </row>
    <row r="10" spans="1:7" x14ac:dyDescent="0.2">
      <c r="A10" s="869" t="s">
        <v>499</v>
      </c>
      <c r="B10" s="870" t="s">
        <v>1877</v>
      </c>
      <c r="C10" s="871"/>
      <c r="D10" s="869" t="s">
        <v>501</v>
      </c>
      <c r="E10" s="868"/>
      <c r="F10" s="1906">
        <f>'Expenditures 15-22'!K174</f>
        <v>55010</v>
      </c>
      <c r="G10" s="872"/>
    </row>
    <row r="11" spans="1:7" x14ac:dyDescent="0.2">
      <c r="A11" s="869" t="s">
        <v>461</v>
      </c>
      <c r="B11" s="870" t="s">
        <v>1878</v>
      </c>
      <c r="C11" s="871"/>
      <c r="D11" s="869" t="s">
        <v>501</v>
      </c>
      <c r="E11" s="868"/>
      <c r="F11" s="1906">
        <f>'Expenditures 15-22'!K210</f>
        <v>54123</v>
      </c>
      <c r="G11" s="872"/>
    </row>
    <row r="12" spans="1:7" x14ac:dyDescent="0.2">
      <c r="A12" s="869" t="s">
        <v>462</v>
      </c>
      <c r="B12" s="870" t="s">
        <v>1879</v>
      </c>
      <c r="C12" s="871"/>
      <c r="D12" s="869" t="s">
        <v>501</v>
      </c>
      <c r="E12" s="868"/>
      <c r="F12" s="1906">
        <f>'Expenditures 15-22'!K295</f>
        <v>61687</v>
      </c>
      <c r="G12" s="872"/>
    </row>
    <row r="13" spans="1:7" x14ac:dyDescent="0.2">
      <c r="A13" s="869" t="s">
        <v>106</v>
      </c>
      <c r="B13" s="870" t="s">
        <v>1880</v>
      </c>
      <c r="C13" s="871"/>
      <c r="D13" s="869" t="s">
        <v>501</v>
      </c>
      <c r="E13" s="868"/>
      <c r="F13" s="1906">
        <f>'Expenditures 15-22'!K342</f>
        <v>115535</v>
      </c>
      <c r="G13" s="873"/>
    </row>
    <row r="14" spans="1:7" ht="12" customHeight="1" thickBot="1" x14ac:dyDescent="0.25">
      <c r="A14" s="1768"/>
      <c r="B14" s="1769"/>
      <c r="C14" s="1770"/>
      <c r="D14" s="1771" t="s">
        <v>501</v>
      </c>
      <c r="E14" s="1772" t="s">
        <v>958</v>
      </c>
      <c r="F14" s="1773">
        <f>SUM(F8:F13)</f>
        <v>1704741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0">
        <f>'Expenditures 15-22'!K102</f>
        <v>44961</v>
      </c>
      <c r="G53" s="865"/>
    </row>
    <row r="54" spans="1:7" x14ac:dyDescent="0.2">
      <c r="A54" s="869" t="s">
        <v>459</v>
      </c>
      <c r="B54" s="869" t="s">
        <v>1476</v>
      </c>
      <c r="C54" s="889" t="s">
        <v>982</v>
      </c>
      <c r="D54" s="885" t="s">
        <v>1095</v>
      </c>
      <c r="E54" s="868"/>
      <c r="F54" s="1910">
        <f>'Expenditures 15-22'!G114</f>
        <v>2458</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1504</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45000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0</v>
      </c>
      <c r="G64" s="865"/>
    </row>
    <row r="65" spans="1:8" x14ac:dyDescent="0.2">
      <c r="A65" s="869" t="s">
        <v>461</v>
      </c>
      <c r="B65" s="869" t="s">
        <v>1889</v>
      </c>
      <c r="C65" s="886" t="s">
        <v>982</v>
      </c>
      <c r="D65" s="885" t="s">
        <v>1095</v>
      </c>
      <c r="E65" s="868"/>
      <c r="F65" s="1910">
        <f>'Expenditures 15-22'!G210</f>
        <v>0</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4079</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98002</v>
      </c>
      <c r="G76" s="865"/>
    </row>
    <row r="77" spans="1:8" s="893" customFormat="1" ht="12" customHeight="1" thickTop="1" thickBot="1" x14ac:dyDescent="0.25">
      <c r="A77" s="1777"/>
      <c r="B77" s="1774"/>
      <c r="C77" s="1770"/>
      <c r="D77" s="1775" t="s">
        <v>1899</v>
      </c>
      <c r="E77" s="1772"/>
      <c r="F77" s="1778">
        <f>(F14-F76)</f>
        <v>1606739</v>
      </c>
      <c r="G77" s="869"/>
    </row>
    <row r="78" spans="1:8" s="893" customFormat="1" ht="12" customHeight="1" thickTop="1" x14ac:dyDescent="0.2">
      <c r="A78" s="1779"/>
      <c r="B78" s="1774"/>
      <c r="C78" s="1770"/>
      <c r="D78" s="1775" t="s">
        <v>2060</v>
      </c>
      <c r="E78" s="1772"/>
      <c r="F78" s="898">
        <v>166.2</v>
      </c>
      <c r="G78" s="899"/>
      <c r="H78" s="869"/>
    </row>
    <row r="79" spans="1:8" s="893" customFormat="1" ht="12" customHeight="1" thickBot="1" x14ac:dyDescent="0.25">
      <c r="A79" s="1780"/>
      <c r="B79" s="1774"/>
      <c r="C79" s="1770"/>
      <c r="D79" s="1775" t="s">
        <v>1900</v>
      </c>
      <c r="E79" s="1772" t="s">
        <v>958</v>
      </c>
      <c r="F79" s="1781">
        <f>IF(F78&gt;0,F77/F78," Complete Line 78")</f>
        <v>9667.5030084235859</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430</v>
      </c>
      <c r="G94" s="912"/>
    </row>
    <row r="95" spans="1:7" x14ac:dyDescent="0.2">
      <c r="A95" s="908" t="s">
        <v>140</v>
      </c>
      <c r="B95" s="908" t="s">
        <v>175</v>
      </c>
      <c r="C95" s="910">
        <v>1700</v>
      </c>
      <c r="D95" s="918" t="str">
        <f>'Revenues 9-14'!A82</f>
        <v>Total District/School Activity Income</v>
      </c>
      <c r="E95" s="906"/>
      <c r="F95" s="1787">
        <f>SUM('Revenues 9-14'!C82,'Revenues 9-14'!D82)</f>
        <v>0</v>
      </c>
      <c r="G95" s="912"/>
    </row>
    <row r="96" spans="1:7" x14ac:dyDescent="0.2">
      <c r="A96" s="908" t="s">
        <v>459</v>
      </c>
      <c r="B96" s="908" t="s">
        <v>176</v>
      </c>
      <c r="C96" s="910">
        <f>'Revenues 9-14'!B84</f>
        <v>1811</v>
      </c>
      <c r="D96" s="911" t="str">
        <f>'Revenues 9-14'!A84</f>
        <v>Rentals - Regular Textbooks</v>
      </c>
      <c r="E96" s="906"/>
      <c r="F96" s="1787">
        <f>'Revenues 9-14'!C84</f>
        <v>1150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1050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0</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2606</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23486</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39827</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23358</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139049</v>
      </c>
      <c r="G125" s="930"/>
    </row>
    <row r="126" spans="1:7" x14ac:dyDescent="0.2">
      <c r="A126" s="927" t="s">
        <v>668</v>
      </c>
      <c r="B126" s="927" t="s">
        <v>2022</v>
      </c>
      <c r="C126" s="932">
        <v>4300</v>
      </c>
      <c r="D126" s="933" t="str">
        <f>'Revenues 9-14'!A204</f>
        <v>Total Title I</v>
      </c>
      <c r="E126" s="906"/>
      <c r="F126" s="1787">
        <f>SUM('Revenues 9-14'!C204,'Revenues 9-14'!D204,'Revenues 9-14'!F204,'Revenues 9-14'!G204)</f>
        <v>84195</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2138</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14054</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5610</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3481</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4349</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69687</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414470</v>
      </c>
    </row>
    <row r="175" spans="1:7" ht="12" customHeight="1" x14ac:dyDescent="0.2">
      <c r="A175" s="1768"/>
      <c r="B175" s="1782"/>
      <c r="C175" s="1783"/>
      <c r="D175" s="1784" t="s">
        <v>2055</v>
      </c>
      <c r="E175" s="1785"/>
      <c r="F175" s="1787">
        <f>'PCTC-OEPP 27-28'!F77-F174</f>
        <v>1192269</v>
      </c>
    </row>
    <row r="176" spans="1:7" ht="12" customHeight="1" x14ac:dyDescent="0.2">
      <c r="A176" s="1768"/>
      <c r="B176" s="1782"/>
      <c r="C176" s="1783"/>
      <c r="D176" s="1784" t="s">
        <v>1817</v>
      </c>
      <c r="E176" s="1785"/>
      <c r="F176" s="1787">
        <f>'Cap Outlay Deprec 26'!I18</f>
        <v>57435</v>
      </c>
    </row>
    <row r="177" spans="1:7" ht="12" customHeight="1" x14ac:dyDescent="0.2">
      <c r="A177" s="1768"/>
      <c r="B177" s="1782"/>
      <c r="C177" s="1783"/>
      <c r="D177" s="1784" t="s">
        <v>2056</v>
      </c>
      <c r="E177" s="1785"/>
      <c r="F177" s="1787">
        <f>F175+F176</f>
        <v>1249704</v>
      </c>
    </row>
    <row r="178" spans="1:7" ht="12" customHeight="1" x14ac:dyDescent="0.2">
      <c r="A178" s="1768"/>
      <c r="B178" s="1788"/>
      <c r="C178" s="1783"/>
      <c r="D178" s="1784" t="str">
        <f>D78</f>
        <v>9 Month ADA from District Average Daily Attendance/Prior General State Aid Inquiry 2018-2019</v>
      </c>
      <c r="E178" s="1785"/>
      <c r="F178" s="1789">
        <f>'PCTC-OEPP 27-28'!F78</f>
        <v>166.2</v>
      </c>
      <c r="G178" s="930"/>
    </row>
    <row r="179" spans="1:7" ht="12" customHeight="1" thickBot="1" x14ac:dyDescent="0.25">
      <c r="A179" s="1768"/>
      <c r="B179" s="1788"/>
      <c r="C179" s="1783"/>
      <c r="D179" s="1784" t="s">
        <v>2057</v>
      </c>
      <c r="E179" s="1785" t="s">
        <v>1545</v>
      </c>
      <c r="F179" s="1790">
        <f>F177/F178</f>
        <v>7519.2779783393507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zoomScaleNormal="100" workbookViewId="0">
      <selection activeCell="A39" sqref="A39:B3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932" t="s">
        <v>2064</v>
      </c>
      <c r="B6" s="1933"/>
      <c r="C6" s="1933"/>
      <c r="D6" s="1933"/>
      <c r="E6" s="1933"/>
      <c r="F6" s="1933"/>
      <c r="G6" s="1934"/>
    </row>
    <row r="7" spans="1:7" ht="18.75" x14ac:dyDescent="0.25">
      <c r="A7" s="1534" t="s">
        <v>1819</v>
      </c>
      <c r="B7" s="1535"/>
      <c r="C7" s="1535"/>
      <c r="D7" s="1535"/>
      <c r="E7" s="1535"/>
      <c r="F7" s="1535"/>
      <c r="G7" s="1536"/>
    </row>
    <row r="8" spans="1:7" ht="30.75" customHeight="1" x14ac:dyDescent="0.25">
      <c r="A8" s="2275" t="s">
        <v>1931</v>
      </c>
      <c r="B8" s="2276"/>
      <c r="C8" s="2276"/>
      <c r="D8" s="2276"/>
      <c r="E8" s="2276"/>
      <c r="F8" s="2276"/>
      <c r="G8" s="2277"/>
    </row>
    <row r="9" spans="1:7" ht="15.75" customHeight="1" x14ac:dyDescent="0.25">
      <c r="A9" s="2278" t="s">
        <v>1906</v>
      </c>
      <c r="B9" s="2279"/>
      <c r="C9" s="2279"/>
      <c r="D9" s="2279"/>
      <c r="E9" s="2279"/>
      <c r="F9" s="2279"/>
      <c r="G9" s="2280"/>
    </row>
    <row r="10" spans="1:7" ht="35.25" customHeight="1" x14ac:dyDescent="0.25">
      <c r="A10" s="2275" t="s">
        <v>2063</v>
      </c>
      <c r="B10" s="2276"/>
      <c r="C10" s="2276"/>
      <c r="D10" s="2276"/>
      <c r="E10" s="2276"/>
      <c r="F10" s="2276"/>
      <c r="G10" s="2277"/>
    </row>
    <row r="11" spans="1:7" ht="15" customHeight="1" x14ac:dyDescent="0.25">
      <c r="A11" s="1537" t="s">
        <v>1820</v>
      </c>
      <c r="B11" s="1538"/>
      <c r="C11" s="1538"/>
      <c r="D11" s="1538"/>
      <c r="E11" s="1538"/>
      <c r="F11" s="1538"/>
      <c r="G11" s="1539"/>
    </row>
    <row r="12" spans="1:7" ht="17.25" customHeight="1" x14ac:dyDescent="0.25">
      <c r="A12" s="2275" t="s">
        <v>1933</v>
      </c>
      <c r="B12" s="2276"/>
      <c r="C12" s="2276"/>
      <c r="D12" s="2276"/>
      <c r="E12" s="2276"/>
      <c r="F12" s="2276"/>
      <c r="G12" s="2277"/>
    </row>
    <row r="13" spans="1:7" ht="15" customHeight="1" x14ac:dyDescent="0.25">
      <c r="A13" s="1537" t="s">
        <v>1825</v>
      </c>
      <c r="B13" s="1538"/>
      <c r="C13" s="1538"/>
      <c r="D13" s="1538"/>
      <c r="E13" s="1538"/>
      <c r="F13" s="1538"/>
      <c r="G13" s="1539"/>
    </row>
    <row r="14" spans="1:7" ht="32.25" customHeight="1" x14ac:dyDescent="0.25">
      <c r="A14" s="2266" t="s">
        <v>1974</v>
      </c>
      <c r="B14" s="2267"/>
      <c r="C14" s="2267"/>
      <c r="D14" s="2267"/>
      <c r="E14" s="2267"/>
      <c r="F14" s="2267"/>
      <c r="G14" s="2268"/>
    </row>
    <row r="15" spans="1:7" x14ac:dyDescent="0.25">
      <c r="A15" s="1659" t="s">
        <v>1833</v>
      </c>
      <c r="B15" s="1660"/>
      <c r="C15" s="1660"/>
      <c r="D15" s="1660"/>
      <c r="E15" s="1660"/>
      <c r="F15" s="1660"/>
      <c r="G15" s="1661"/>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6" t="s">
        <v>2095</v>
      </c>
      <c r="B18" s="1937" t="s">
        <v>2096</v>
      </c>
      <c r="C18" s="1938" t="s">
        <v>2097</v>
      </c>
      <c r="D18" s="1841">
        <v>6000</v>
      </c>
      <c r="E18" s="1540">
        <f t="shared" ref="E18:E37" si="0">IF(D18&lt;=25000,D18,IF(D18&gt;25000,25000,0))</f>
        <v>6000</v>
      </c>
      <c r="F18" s="1931">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6000</v>
      </c>
      <c r="G18" s="1791">
        <f>IF(F18=0,0,D18-F18)</f>
        <v>0</v>
      </c>
      <c r="H18" s="1647"/>
    </row>
    <row r="19" spans="1:8" x14ac:dyDescent="0.25">
      <c r="A19" s="1936" t="s">
        <v>2095</v>
      </c>
      <c r="B19" s="1937" t="s">
        <v>2096</v>
      </c>
      <c r="C19" s="1938" t="s">
        <v>2098</v>
      </c>
      <c r="D19" s="1841">
        <v>5271</v>
      </c>
      <c r="E19" s="1540">
        <f t="shared" ref="E19:E36" si="2">IF(D19&lt;=25000,D19,IF(D19&gt;25000,25000,0))</f>
        <v>5271</v>
      </c>
      <c r="F19" s="1931">
        <f t="shared" si="1"/>
        <v>5271</v>
      </c>
      <c r="G19" s="1791">
        <f t="shared" ref="G19:G36" si="3">IF(F19=0,0,D19-F19)</f>
        <v>0</v>
      </c>
    </row>
    <row r="20" spans="1:8" x14ac:dyDescent="0.25">
      <c r="A20" s="1936" t="s">
        <v>2099</v>
      </c>
      <c r="B20" s="1939" t="s">
        <v>2100</v>
      </c>
      <c r="C20" s="1938" t="s">
        <v>2101</v>
      </c>
      <c r="D20" s="1841">
        <v>19081</v>
      </c>
      <c r="E20" s="1540">
        <f t="shared" si="2"/>
        <v>19081</v>
      </c>
      <c r="F20" s="1931">
        <f t="shared" si="1"/>
        <v>19081</v>
      </c>
      <c r="G20" s="1791">
        <f t="shared" si="3"/>
        <v>0</v>
      </c>
    </row>
    <row r="21" spans="1:8" x14ac:dyDescent="0.25">
      <c r="A21" s="1653"/>
      <c r="B21" s="1665"/>
      <c r="C21" s="1654"/>
      <c r="D21" s="1841"/>
      <c r="E21" s="1540">
        <f t="shared" si="2"/>
        <v>0</v>
      </c>
      <c r="F21" s="1931">
        <f t="shared" si="1"/>
        <v>0</v>
      </c>
      <c r="G21" s="1791">
        <f t="shared" si="3"/>
        <v>0</v>
      </c>
    </row>
    <row r="22" spans="1:8" x14ac:dyDescent="0.25">
      <c r="A22" s="1653"/>
      <c r="B22" s="1665"/>
      <c r="C22" s="1654"/>
      <c r="D22" s="1841"/>
      <c r="E22" s="1540">
        <f t="shared" si="2"/>
        <v>0</v>
      </c>
      <c r="F22" s="1931">
        <f t="shared" si="1"/>
        <v>0</v>
      </c>
      <c r="G22" s="1791">
        <f t="shared" si="3"/>
        <v>0</v>
      </c>
    </row>
    <row r="23" spans="1:8" x14ac:dyDescent="0.25">
      <c r="A23" s="1653"/>
      <c r="B23" s="1665"/>
      <c r="C23" s="1654"/>
      <c r="D23" s="1841"/>
      <c r="E23" s="1540">
        <f t="shared" si="2"/>
        <v>0</v>
      </c>
      <c r="F23" s="1931">
        <f t="shared" si="1"/>
        <v>0</v>
      </c>
      <c r="G23" s="1791">
        <f t="shared" si="3"/>
        <v>0</v>
      </c>
    </row>
    <row r="24" spans="1:8" x14ac:dyDescent="0.25">
      <c r="A24" s="1653"/>
      <c r="B24" s="1665"/>
      <c r="C24" s="1654"/>
      <c r="D24" s="1841"/>
      <c r="E24" s="1540">
        <f t="shared" si="2"/>
        <v>0</v>
      </c>
      <c r="F24" s="1931">
        <f t="shared" si="1"/>
        <v>0</v>
      </c>
      <c r="G24" s="1791">
        <f t="shared" si="3"/>
        <v>0</v>
      </c>
    </row>
    <row r="25" spans="1:8" x14ac:dyDescent="0.25">
      <c r="A25" s="1653"/>
      <c r="B25" s="1665"/>
      <c r="C25" s="1654"/>
      <c r="D25" s="1841"/>
      <c r="E25" s="1540">
        <f t="shared" si="2"/>
        <v>0</v>
      </c>
      <c r="F25" s="1931">
        <f t="shared" si="1"/>
        <v>0</v>
      </c>
      <c r="G25" s="1791">
        <f t="shared" si="3"/>
        <v>0</v>
      </c>
    </row>
    <row r="26" spans="1:8" x14ac:dyDescent="0.25">
      <c r="A26" s="1653"/>
      <c r="B26" s="1665"/>
      <c r="C26" s="1654"/>
      <c r="D26" s="1841"/>
      <c r="E26" s="1540">
        <f t="shared" si="2"/>
        <v>0</v>
      </c>
      <c r="F26" s="1931">
        <f t="shared" si="1"/>
        <v>0</v>
      </c>
      <c r="G26" s="1791">
        <f t="shared" si="3"/>
        <v>0</v>
      </c>
    </row>
    <row r="27" spans="1:8" x14ac:dyDescent="0.25">
      <c r="A27" s="1653"/>
      <c r="B27" s="1665"/>
      <c r="C27" s="1654"/>
      <c r="D27" s="1841"/>
      <c r="E27" s="1540">
        <f t="shared" ref="E27" si="4">IF(D27&lt;=25000,D27,IF(D27&gt;25000,25000,0))</f>
        <v>0</v>
      </c>
      <c r="F27" s="1931">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1">
        <f t="shared" ref="G27" si="6">IF(F27=0,0,D27-F27)</f>
        <v>0</v>
      </c>
    </row>
    <row r="28" spans="1:8" x14ac:dyDescent="0.25">
      <c r="A28" s="1653"/>
      <c r="B28" s="1665"/>
      <c r="C28" s="1654"/>
      <c r="D28" s="1841"/>
      <c r="E28" s="1540">
        <f t="shared" si="2"/>
        <v>0</v>
      </c>
      <c r="F28" s="1931">
        <f t="shared" si="5"/>
        <v>0</v>
      </c>
      <c r="G28" s="1791">
        <f t="shared" si="3"/>
        <v>0</v>
      </c>
    </row>
    <row r="29" spans="1:8" x14ac:dyDescent="0.25">
      <c r="A29" s="1653"/>
      <c r="B29" s="1665"/>
      <c r="C29" s="1654"/>
      <c r="D29" s="1841"/>
      <c r="E29" s="1540">
        <f t="shared" si="2"/>
        <v>0</v>
      </c>
      <c r="F29" s="1931">
        <f t="shared" si="5"/>
        <v>0</v>
      </c>
      <c r="G29" s="1791">
        <f t="shared" si="3"/>
        <v>0</v>
      </c>
    </row>
    <row r="30" spans="1:8" x14ac:dyDescent="0.25">
      <c r="A30" s="1653"/>
      <c r="B30" s="1665"/>
      <c r="C30" s="1654"/>
      <c r="D30" s="1841"/>
      <c r="E30" s="1540">
        <f t="shared" si="2"/>
        <v>0</v>
      </c>
      <c r="F30" s="1931">
        <f t="shared" si="5"/>
        <v>0</v>
      </c>
      <c r="G30" s="1791">
        <f t="shared" si="3"/>
        <v>0</v>
      </c>
    </row>
    <row r="31" spans="1:8" x14ac:dyDescent="0.25">
      <c r="A31" s="1653"/>
      <c r="B31" s="1665"/>
      <c r="C31" s="1654"/>
      <c r="D31" s="1841"/>
      <c r="E31" s="1540">
        <f t="shared" si="2"/>
        <v>0</v>
      </c>
      <c r="F31" s="1931">
        <f t="shared" si="5"/>
        <v>0</v>
      </c>
      <c r="G31" s="1791">
        <f t="shared" si="3"/>
        <v>0</v>
      </c>
    </row>
    <row r="32" spans="1:8" x14ac:dyDescent="0.25">
      <c r="A32" s="1653"/>
      <c r="B32" s="1665"/>
      <c r="C32" s="1654"/>
      <c r="D32" s="1841"/>
      <c r="E32" s="1540"/>
      <c r="F32" s="1931"/>
      <c r="G32" s="1791"/>
    </row>
    <row r="33" spans="1:7" x14ac:dyDescent="0.25">
      <c r="A33" s="1653"/>
      <c r="B33" s="1665"/>
      <c r="C33" s="1654"/>
      <c r="D33" s="1841"/>
      <c r="E33" s="1540">
        <f t="shared" si="2"/>
        <v>0</v>
      </c>
      <c r="F33" s="1931">
        <f t="shared" si="5"/>
        <v>0</v>
      </c>
      <c r="G33" s="1791">
        <f t="shared" si="3"/>
        <v>0</v>
      </c>
    </row>
    <row r="34" spans="1:7" x14ac:dyDescent="0.25">
      <c r="A34" s="1653"/>
      <c r="B34" s="1665"/>
      <c r="C34" s="1654"/>
      <c r="D34" s="1841"/>
      <c r="E34" s="1540">
        <f t="shared" si="2"/>
        <v>0</v>
      </c>
      <c r="F34" s="1931">
        <f t="shared" si="5"/>
        <v>0</v>
      </c>
      <c r="G34" s="1791">
        <f t="shared" si="3"/>
        <v>0</v>
      </c>
    </row>
    <row r="35" spans="1:7" x14ac:dyDescent="0.25">
      <c r="A35" s="1653"/>
      <c r="B35" s="1665"/>
      <c r="C35" s="1654"/>
      <c r="D35" s="1841"/>
      <c r="E35" s="1540">
        <f t="shared" ref="E35" si="7">IF(D35&lt;=25000,D35,IF(D35&gt;25000,25000,0))</f>
        <v>0</v>
      </c>
      <c r="F35" s="1931">
        <f t="shared" si="5"/>
        <v>0</v>
      </c>
      <c r="G35" s="1791">
        <f t="shared" ref="G35" si="8">IF(F35=0,0,D35-F35)</f>
        <v>0</v>
      </c>
    </row>
    <row r="36" spans="1:7" x14ac:dyDescent="0.25">
      <c r="A36" s="1653"/>
      <c r="B36" s="1664"/>
      <c r="C36" s="1654"/>
      <c r="D36" s="1841"/>
      <c r="E36" s="1540">
        <f t="shared" si="2"/>
        <v>0</v>
      </c>
      <c r="F36" s="1931">
        <f t="shared" si="5"/>
        <v>0</v>
      </c>
      <c r="G36" s="1791">
        <f t="shared" si="3"/>
        <v>0</v>
      </c>
    </row>
    <row r="37" spans="1:7" x14ac:dyDescent="0.25">
      <c r="A37" s="1794" t="s">
        <v>156</v>
      </c>
      <c r="B37" s="1795"/>
      <c r="C37" s="1796"/>
      <c r="D37" s="1792">
        <f>SUM(D18:D36)</f>
        <v>30352</v>
      </c>
      <c r="E37" s="1541">
        <f t="shared" si="0"/>
        <v>25000</v>
      </c>
      <c r="F37" s="1929">
        <f>SUM(F18:F36)</f>
        <v>30352</v>
      </c>
      <c r="G37" s="1793">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A39" sqref="A39:B3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68233</v>
      </c>
      <c r="F10" s="974"/>
      <c r="G10" s="975"/>
      <c r="H10" s="162"/>
      <c r="I10" s="162"/>
    </row>
    <row r="11" spans="1:9" s="668" customFormat="1" ht="22.5" customHeight="1" x14ac:dyDescent="0.2">
      <c r="A11" s="2286" t="s">
        <v>1975</v>
      </c>
      <c r="B11" s="2287"/>
      <c r="C11" s="2287"/>
      <c r="D11" s="2288"/>
      <c r="E11" s="977">
        <v>7818</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1013242</v>
      </c>
      <c r="F19" s="1797"/>
      <c r="G19" s="1799">
        <f>'Expenditures 15-22'!K33-SUM('Expenditures 15-22'!G33,'Expenditures 15-22'!I33)+'Expenditures 15-22'!D229</f>
        <v>1013242</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25732</v>
      </c>
      <c r="F21" s="1800"/>
      <c r="G21" s="1803">
        <f>'Expenditures 15-22'!K42-SUM('Expenditures 15-22'!G42,'Expenditures 15-22'!I42)+'Expenditures 15-22'!K120-SUM('Expenditures 15-22'!G120,'Expenditures 15-22'!I120)+'Expenditures 15-22'!K180-SUM('Expenditures 15-22'!G180,'Expenditures 15-22'!I180)+'Expenditures 15-22'!D238</f>
        <v>25732</v>
      </c>
      <c r="H21" s="987"/>
      <c r="I21" s="162"/>
    </row>
    <row r="22" spans="1:9" s="668" customFormat="1" ht="12" customHeight="1" x14ac:dyDescent="0.2">
      <c r="A22" s="994" t="s">
        <v>564</v>
      </c>
      <c r="B22" s="995"/>
      <c r="C22" s="993">
        <v>2200</v>
      </c>
      <c r="D22" s="1800"/>
      <c r="E22" s="1802">
        <f>'Expenditures 15-22'!K47-SUM('Expenditures 15-22'!G47,'Expenditures 15-22'!I47)+'Expenditures 15-22'!D243</f>
        <v>18095</v>
      </c>
      <c r="F22" s="1800"/>
      <c r="G22" s="1803">
        <f>'Expenditures 15-22'!K47-SUM('Expenditures 15-22'!G47,'Expenditures 15-22'!I47)+'Expenditures 15-22'!D243</f>
        <v>18095</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183467</v>
      </c>
      <c r="F23" s="1800"/>
      <c r="G23" s="1802">
        <f>'Expenditures 15-22'!K53-SUM('Expenditures 15-22'!G53,'Expenditures 15-22'!I53)+'Expenditures 15-22'!D257+'Expenditures 15-22'!K330-SUM('Expenditures 15-22'!G330,'Expenditures 15-22'!I330)</f>
        <v>183467</v>
      </c>
      <c r="H23" s="987"/>
      <c r="I23" s="162"/>
    </row>
    <row r="24" spans="1:9" s="668" customFormat="1" ht="12" customHeight="1" x14ac:dyDescent="0.2">
      <c r="A24" s="994" t="s">
        <v>566</v>
      </c>
      <c r="B24" s="995"/>
      <c r="C24" s="993">
        <v>2400</v>
      </c>
      <c r="D24" s="1800"/>
      <c r="E24" s="1802">
        <f>'Expenditures 15-22'!K57-SUM('Expenditures 15-22'!G57,'Expenditures 15-22'!I57)+'Expenditures 15-22'!D261</f>
        <v>62291</v>
      </c>
      <c r="F24" s="1800"/>
      <c r="G24" s="1803">
        <f>'Expenditures 15-22'!K57-SUM('Expenditures 15-22'!G57,'Expenditures 15-22'!I57)+'Expenditures 15-22'!D261</f>
        <v>62291</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18441</v>
      </c>
      <c r="E27" s="1802">
        <f>E8</f>
        <v>0</v>
      </c>
      <c r="F27" s="1802">
        <f>'Expenditures 15-22'!K60-SUM('Expenditures 15-22'!G60,'Expenditures 15-22'!I60)+'Expenditures 15-22'!D264-E8</f>
        <v>18441</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103125</v>
      </c>
      <c r="F28" s="1804">
        <f>'Expenditures 15-22'!K61-SUM('Expenditures 15-22'!G61,'Expenditures 15-22'!I61)+'Expenditures 15-22'!K124-SUM('Expenditures 15-22'!G124,'Expenditures 15-22'!I124)+'Expenditures 15-22'!D266-E9</f>
        <v>103125</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60145</v>
      </c>
      <c r="F29" s="1800"/>
      <c r="G29" s="1803">
        <f>'Expenditures 15-22'!K62-SUM('Expenditures 15-22'!G62,'Expenditures 15-22'!I62)+'Expenditures 15-22'!K125-SUM('Expenditures 15-22'!G125,'Expenditures 15-22'!I125)+'Expenditures 15-22'!K182-SUM('Expenditures 15-22'!G182,'Expenditures 15-22'!I182)+'Expenditures 15-22'!D267</f>
        <v>60145</v>
      </c>
      <c r="H29" s="985"/>
    </row>
    <row r="30" spans="1:9" ht="12" customHeight="1" x14ac:dyDescent="0.2">
      <c r="A30" s="994" t="s">
        <v>100</v>
      </c>
      <c r="B30" s="997"/>
      <c r="C30" s="993">
        <v>2560</v>
      </c>
      <c r="D30" s="1800"/>
      <c r="E30" s="1802">
        <f>'Expenditures 15-22'!K63-SUM('Expenditures 15-22'!G63,'Expenditures 15-22'!I63)+'Expenditures 15-22'!D268-E10</f>
        <v>43958</v>
      </c>
      <c r="F30" s="1800"/>
      <c r="G30" s="1802">
        <f>'Expenditures 15-22'!K63-SUM('Expenditures 15-22'!G63,'Expenditures 15-22'!I63)+'Expenditures 15-22'!D268-E10</f>
        <v>43958</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0"/>
      <c r="E40" s="1804">
        <f>-'Contracts Paid in CY 29'!G37</f>
        <v>0</v>
      </c>
      <c r="F40" s="1800"/>
      <c r="G40" s="1804">
        <f>-'Contracts Paid in CY 29'!G37</f>
        <v>0</v>
      </c>
    </row>
    <row r="41" spans="1:7" ht="12" customHeight="1" x14ac:dyDescent="0.2">
      <c r="A41" s="998" t="s">
        <v>156</v>
      </c>
      <c r="B41" s="999"/>
      <c r="C41" s="1000"/>
      <c r="D41" s="1804">
        <f>SUM(D19:D39)</f>
        <v>18441</v>
      </c>
      <c r="E41" s="1804">
        <f>SUM(E19:E40)</f>
        <v>1510055</v>
      </c>
      <c r="F41" s="1804">
        <f>SUM(F19:F39)</f>
        <v>121566</v>
      </c>
      <c r="G41" s="1804">
        <f>SUM(G19:G40)</f>
        <v>1406930</v>
      </c>
    </row>
    <row r="42" spans="1:7" x14ac:dyDescent="0.2">
      <c r="A42" s="987"/>
      <c r="B42" s="162"/>
      <c r="C42" s="1001"/>
      <c r="D42" s="2284" t="s">
        <v>522</v>
      </c>
      <c r="E42" s="2285"/>
      <c r="F42" s="1002" t="s">
        <v>523</v>
      </c>
      <c r="G42" s="1003"/>
    </row>
    <row r="43" spans="1:7" ht="12" customHeight="1" x14ac:dyDescent="0.2">
      <c r="A43" s="987"/>
      <c r="B43" s="162"/>
      <c r="C43" s="1001"/>
      <c r="D43" s="1805" t="s">
        <v>473</v>
      </c>
      <c r="E43" s="1806">
        <f>D41</f>
        <v>18441</v>
      </c>
      <c r="F43" s="1805" t="s">
        <v>473</v>
      </c>
      <c r="G43" s="1806">
        <f>F41</f>
        <v>121566</v>
      </c>
    </row>
    <row r="44" spans="1:7" ht="12" customHeight="1" x14ac:dyDescent="0.2">
      <c r="A44" s="987"/>
      <c r="B44" s="162"/>
      <c r="C44" s="1001"/>
      <c r="D44" s="1805" t="s">
        <v>474</v>
      </c>
      <c r="E44" s="1806">
        <f>E41</f>
        <v>1510055</v>
      </c>
      <c r="F44" s="1805" t="s">
        <v>474</v>
      </c>
      <c r="G44" s="1806">
        <f>G41</f>
        <v>1406930</v>
      </c>
    </row>
    <row r="45" spans="1:7" ht="12" customHeight="1" x14ac:dyDescent="0.2">
      <c r="A45" s="987"/>
      <c r="B45" s="162"/>
      <c r="C45" s="162"/>
      <c r="D45" s="1807" t="s">
        <v>1006</v>
      </c>
      <c r="E45" s="1808">
        <f>(E43/E44)</f>
        <v>1.2212137968484591E-2</v>
      </c>
      <c r="F45" s="1807" t="s">
        <v>1006</v>
      </c>
      <c r="G45" s="1808">
        <f>(G43/G44)</f>
        <v>8.6405151642228117E-2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39" sqref="A39:B39"/>
      <selection pane="bottomLeft" activeCell="A39" sqref="A39:B39"/>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2" t="s">
        <v>1379</v>
      </c>
      <c r="B1" s="2292"/>
      <c r="C1" s="2292"/>
      <c r="D1" s="2292"/>
      <c r="E1" s="2292"/>
      <c r="F1" s="2292"/>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293" t="s">
        <v>1546</v>
      </c>
      <c r="B5" s="2294"/>
      <c r="C5" s="2295"/>
      <c r="D5" s="2295"/>
      <c r="E5" s="2295"/>
      <c r="F5" s="2295"/>
    </row>
    <row r="6" spans="1:10" ht="12" customHeight="1" x14ac:dyDescent="0.25">
      <c r="A6" s="1847"/>
      <c r="B6" s="1848"/>
      <c r="C6" s="2296" t="str">
        <f>COVER!A17</f>
        <v>BETHEL SD 82</v>
      </c>
      <c r="D6" s="2296"/>
      <c r="E6" s="2296"/>
      <c r="F6" s="1849"/>
    </row>
    <row r="7" spans="1:10" ht="11.25" customHeight="1" thickBot="1" x14ac:dyDescent="0.3">
      <c r="A7" s="1847"/>
      <c r="B7" s="1848"/>
      <c r="C7" s="2297">
        <f>COVER!A13</f>
        <v>13041082002</v>
      </c>
      <c r="D7" s="2297"/>
      <c r="E7" s="2297"/>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2083</v>
      </c>
      <c r="D14" s="1862" t="s">
        <v>2083</v>
      </c>
      <c r="E14" s="1865" t="s">
        <v>2083</v>
      </c>
      <c r="F14" s="1864" t="s">
        <v>2102</v>
      </c>
      <c r="H14" s="1875">
        <f t="shared" si="0"/>
        <v>5</v>
      </c>
      <c r="I14" s="1875">
        <f t="shared" si="1"/>
        <v>5</v>
      </c>
      <c r="J14" s="1875">
        <f t="shared" si="2"/>
        <v>5</v>
      </c>
    </row>
    <row r="15" spans="1:10" ht="12" customHeight="1" x14ac:dyDescent="0.2">
      <c r="A15" s="1860" t="s">
        <v>1387</v>
      </c>
      <c r="B15" s="1861"/>
      <c r="C15" s="1862" t="s">
        <v>2083</v>
      </c>
      <c r="D15" s="1862" t="s">
        <v>2083</v>
      </c>
      <c r="E15" s="1865" t="s">
        <v>2083</v>
      </c>
      <c r="F15" s="1864" t="s">
        <v>2103</v>
      </c>
      <c r="H15" s="1875">
        <f t="shared" si="0"/>
        <v>5</v>
      </c>
      <c r="I15" s="1875">
        <f t="shared" si="1"/>
        <v>5</v>
      </c>
      <c r="J15" s="1875">
        <f t="shared" si="2"/>
        <v>5</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t="s">
        <v>2083</v>
      </c>
      <c r="E19" s="1865" t="s">
        <v>2083</v>
      </c>
      <c r="F19" s="1864" t="s">
        <v>2122</v>
      </c>
      <c r="H19" s="1875">
        <f t="shared" si="0"/>
        <v>0</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2083</v>
      </c>
      <c r="D24" s="1862" t="s">
        <v>2083</v>
      </c>
      <c r="E24" s="1865" t="s">
        <v>2083</v>
      </c>
      <c r="F24" s="1864" t="s">
        <v>2104</v>
      </c>
      <c r="H24" s="1875">
        <f t="shared" si="0"/>
        <v>5</v>
      </c>
      <c r="I24" s="1875">
        <f t="shared" si="1"/>
        <v>5</v>
      </c>
      <c r="J24" s="1875">
        <f t="shared" si="2"/>
        <v>5</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2083</v>
      </c>
      <c r="D26" s="1862" t="s">
        <v>2083</v>
      </c>
      <c r="E26" s="1865" t="s">
        <v>2083</v>
      </c>
      <c r="F26" s="1864" t="s">
        <v>2105</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t="s">
        <v>2083</v>
      </c>
      <c r="D28" s="1862" t="s">
        <v>2083</v>
      </c>
      <c r="E28" s="1865" t="s">
        <v>2083</v>
      </c>
      <c r="F28" s="1864" t="s">
        <v>2104</v>
      </c>
      <c r="H28" s="1875">
        <f t="shared" si="0"/>
        <v>5</v>
      </c>
      <c r="I28" s="1875">
        <f t="shared" si="1"/>
        <v>5</v>
      </c>
      <c r="J28" s="1875">
        <f t="shared" si="2"/>
        <v>5</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t="s">
        <v>2083</v>
      </c>
      <c r="D33" s="1862" t="s">
        <v>2083</v>
      </c>
      <c r="E33" s="1865" t="s">
        <v>2083</v>
      </c>
      <c r="F33" s="1864" t="s">
        <v>2106</v>
      </c>
      <c r="H33" s="1875">
        <f t="shared" si="0"/>
        <v>5</v>
      </c>
      <c r="I33" s="1875">
        <f t="shared" si="1"/>
        <v>5</v>
      </c>
      <c r="J33" s="1875">
        <f t="shared" si="2"/>
        <v>5</v>
      </c>
    </row>
    <row r="34" spans="1:11" ht="12" customHeight="1" x14ac:dyDescent="0.25">
      <c r="A34" s="1867"/>
      <c r="B34" s="1867"/>
      <c r="C34" s="1867"/>
      <c r="D34" s="1867"/>
      <c r="E34" s="1867"/>
      <c r="F34" s="1867"/>
      <c r="H34" s="1875">
        <f>SUM(H11:H32)</f>
        <v>25</v>
      </c>
      <c r="I34" s="1875">
        <f>SUM(I11:I32)</f>
        <v>30</v>
      </c>
      <c r="J34" s="1875">
        <f>SUM(J11:J32)</f>
        <v>30</v>
      </c>
      <c r="K34" s="1875">
        <f>SUM(H34:J34)</f>
        <v>85</v>
      </c>
    </row>
    <row r="35" spans="1:11" ht="12" customHeight="1" x14ac:dyDescent="0.2">
      <c r="A35" s="1868" t="s">
        <v>1392</v>
      </c>
      <c r="B35" s="1869"/>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0"/>
      <c r="B39" s="1870"/>
      <c r="C39" s="1870"/>
      <c r="D39" s="1870"/>
      <c r="E39" s="1870"/>
      <c r="F39" s="1870"/>
    </row>
    <row r="40" spans="1:11" s="1867" customFormat="1" ht="12" customHeight="1" x14ac:dyDescent="0.25">
      <c r="A40" s="1871" t="s">
        <v>1391</v>
      </c>
      <c r="B40" s="1872"/>
      <c r="C40" s="2306"/>
      <c r="D40" s="2306"/>
      <c r="E40" s="2306"/>
      <c r="F40" s="2307"/>
      <c r="H40" s="1876"/>
      <c r="I40" s="1876"/>
      <c r="J40" s="1876"/>
      <c r="K40" s="1876"/>
    </row>
    <row r="41" spans="1:11" s="1867" customFormat="1" ht="12" customHeight="1" x14ac:dyDescent="0.25">
      <c r="A41" s="2308"/>
      <c r="B41" s="2309"/>
      <c r="C41" s="2309"/>
      <c r="D41" s="2309"/>
      <c r="E41" s="2309"/>
      <c r="F41" s="2310"/>
      <c r="H41" s="1876"/>
      <c r="I41" s="1876"/>
      <c r="J41" s="1876"/>
      <c r="K41" s="1876"/>
    </row>
    <row r="42" spans="1:11" s="1867" customFormat="1" ht="12" customHeight="1" x14ac:dyDescent="0.25">
      <c r="A42" s="2308"/>
      <c r="B42" s="2309"/>
      <c r="C42" s="2309"/>
      <c r="D42" s="2309"/>
      <c r="E42" s="2309"/>
      <c r="F42" s="2310"/>
      <c r="H42" s="1876"/>
      <c r="I42" s="1876"/>
      <c r="J42" s="1876"/>
      <c r="K42" s="1876"/>
    </row>
    <row r="43" spans="1:11" s="1867" customFormat="1" ht="15" x14ac:dyDescent="0.25">
      <c r="A43" s="2300"/>
      <c r="B43" s="2301"/>
      <c r="C43" s="2301"/>
      <c r="D43" s="2301"/>
      <c r="E43" s="2301"/>
      <c r="F43" s="2302"/>
      <c r="H43" s="1876"/>
      <c r="I43" s="1876"/>
      <c r="J43" s="1876"/>
      <c r="K43" s="1876"/>
    </row>
    <row r="44" spans="1:11" s="1867" customFormat="1" ht="12" hidden="1" customHeight="1" x14ac:dyDescent="0.25">
      <c r="A44" s="2300"/>
      <c r="B44" s="2301"/>
      <c r="C44" s="2301"/>
      <c r="D44" s="2301"/>
      <c r="E44" s="2301"/>
      <c r="F44" s="2302"/>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39" sqref="A39:B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6" t="str">
        <f>COVER!A17</f>
        <v>BETHEL SD 82</v>
      </c>
      <c r="J6" s="2317"/>
      <c r="Q6" s="1662"/>
    </row>
    <row r="7" spans="1:17" x14ac:dyDescent="0.2">
      <c r="A7" s="2318" t="s">
        <v>869</v>
      </c>
      <c r="B7" s="2319"/>
      <c r="C7" s="2319"/>
      <c r="D7" s="2319"/>
      <c r="E7" s="2320"/>
      <c r="F7" s="1017"/>
      <c r="G7" s="1009"/>
      <c r="H7" s="1016" t="s">
        <v>372</v>
      </c>
      <c r="I7" s="2321">
        <f>COVER!A13</f>
        <v>13041082002</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59231</v>
      </c>
      <c r="F12" s="1039"/>
      <c r="G12" s="1809">
        <f t="shared" ref="G12:G18" si="0">SUM(E12:F12)</f>
        <v>59231</v>
      </c>
      <c r="H12" s="1040">
        <v>62350</v>
      </c>
      <c r="I12" s="1039"/>
      <c r="J12" s="1809">
        <f t="shared" ref="J12:J18" si="1">SUM(H12:I12)</f>
        <v>62350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5" t="s">
        <v>7</v>
      </c>
      <c r="C18" s="2326"/>
      <c r="D18" s="2327"/>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59231</v>
      </c>
      <c r="F19" s="1811">
        <f t="shared" si="2"/>
        <v>0</v>
      </c>
      <c r="G19" s="1811">
        <f t="shared" si="2"/>
        <v>59231</v>
      </c>
      <c r="H19" s="1811">
        <f t="shared" si="2"/>
        <v>62350</v>
      </c>
      <c r="I19" s="1811">
        <f t="shared" si="2"/>
        <v>0</v>
      </c>
      <c r="J19" s="1811">
        <f t="shared" si="2"/>
        <v>62350</v>
      </c>
    </row>
    <row r="20" spans="1:10" ht="13.5" thickTop="1" x14ac:dyDescent="0.2">
      <c r="A20" s="1035">
        <v>9</v>
      </c>
      <c r="B20" s="2328" t="s">
        <v>1979</v>
      </c>
      <c r="C20" s="2328"/>
      <c r="D20" s="2329"/>
      <c r="E20" s="1046"/>
      <c r="F20" s="1046"/>
      <c r="G20" s="1046"/>
      <c r="H20" s="1046"/>
      <c r="I20" s="1046"/>
      <c r="J20" s="1812">
        <f>IF(AND(G19&gt;0,J19&gt;0),(((J19-G19)/G19)),"Enter Budget Data")</f>
        <v>5.2658236396481574E-2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1981</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39" sqref="A39:B3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2107</v>
      </c>
    </row>
    <row r="6" spans="1:2" x14ac:dyDescent="0.2">
      <c r="A6" s="1068"/>
    </row>
    <row r="7" spans="1:2" x14ac:dyDescent="0.2">
      <c r="A7" s="1068">
        <v>2</v>
      </c>
      <c r="B7" s="329" t="s">
        <v>2108</v>
      </c>
    </row>
    <row r="8" spans="1:2" x14ac:dyDescent="0.2">
      <c r="A8" s="1068"/>
    </row>
    <row r="9" spans="1:2" x14ac:dyDescent="0.2">
      <c r="A9" s="1069">
        <v>3</v>
      </c>
      <c r="B9" s="329" t="s">
        <v>2109</v>
      </c>
    </row>
    <row r="10" spans="1:2" x14ac:dyDescent="0.2">
      <c r="A10" s="1069"/>
    </row>
    <row r="11" spans="1:2" x14ac:dyDescent="0.2">
      <c r="A11" s="1069">
        <v>4</v>
      </c>
      <c r="B11" s="329" t="s">
        <v>2110</v>
      </c>
    </row>
    <row r="12" spans="1:2" x14ac:dyDescent="0.2">
      <c r="A12" s="1069"/>
    </row>
    <row r="13" spans="1:2" x14ac:dyDescent="0.2">
      <c r="A13" s="1069">
        <v>5</v>
      </c>
      <c r="B13" s="329" t="s">
        <v>2111</v>
      </c>
    </row>
    <row r="14" spans="1:2" x14ac:dyDescent="0.2">
      <c r="A14" s="1069"/>
    </row>
    <row r="15" spans="1:2" x14ac:dyDescent="0.2">
      <c r="A15" s="1069">
        <v>6</v>
      </c>
      <c r="B15" s="329" t="s">
        <v>2112</v>
      </c>
    </row>
    <row r="16" spans="1:2" x14ac:dyDescent="0.2">
      <c r="A16" s="1069"/>
    </row>
    <row r="17" spans="1:2" x14ac:dyDescent="0.2">
      <c r="A17" s="1069">
        <v>7</v>
      </c>
      <c r="B17" s="329" t="s">
        <v>2113</v>
      </c>
    </row>
    <row r="18" spans="1:2" x14ac:dyDescent="0.2">
      <c r="A18" s="1069"/>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BETHEL SD 82</v>
      </c>
    </row>
    <row r="65" spans="2:2" x14ac:dyDescent="0.2">
      <c r="B65" s="1070">
        <f>COVER!A13</f>
        <v>13041082002</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39" sqref="A39:B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1600200</xdr:colOff>
                <xdr:row>3</xdr:row>
                <xdr:rowOff>142875</xdr:rowOff>
              </from>
              <to>
                <xdr:col>1</xdr:col>
                <xdr:colOff>2514600</xdr:colOff>
                <xdr:row>8</xdr:row>
                <xdr:rowOff>19050</xdr:rowOff>
              </to>
            </anchor>
          </objectPr>
        </oleObject>
      </mc:Choice>
      <mc:Fallback>
        <oleObject progId="Acrobat Document" dvAspect="DVASPECT_ICON" shapeId="5120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39" sqref="A39:B3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1985</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1986</v>
      </c>
      <c r="B4" s="2356"/>
      <c r="C4" s="2356"/>
      <c r="D4" s="2356"/>
      <c r="E4" s="2356"/>
      <c r="F4" s="2357"/>
      <c r="G4" s="1074"/>
      <c r="H4" s="1074"/>
    </row>
    <row r="5" spans="1:8" ht="14.25" customHeight="1" x14ac:dyDescent="0.2">
      <c r="A5" s="2358" t="s">
        <v>1982</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1425245</v>
      </c>
      <c r="C8" s="1813">
        <f>'Acct Summary 7-8'!D8</f>
        <v>73793</v>
      </c>
      <c r="D8" s="1813">
        <f>'Acct Summary 7-8'!F8</f>
        <v>67835</v>
      </c>
      <c r="E8" s="1813">
        <f>'Acct Summary 7-8'!I8</f>
        <v>10039</v>
      </c>
      <c r="F8" s="1813">
        <f>SUM(B8:E8)</f>
        <v>1576912</v>
      </c>
    </row>
    <row r="9" spans="1:8" s="1079" customFormat="1" ht="14.25" customHeight="1" thickBot="1" x14ac:dyDescent="0.25">
      <c r="A9" s="1078" t="s">
        <v>1369</v>
      </c>
      <c r="B9" s="1814">
        <f>'Acct Summary 7-8'!C17</f>
        <v>1322407</v>
      </c>
      <c r="C9" s="1814">
        <f>'Acct Summary 7-8'!D17</f>
        <v>95979</v>
      </c>
      <c r="D9" s="1814">
        <f>'Acct Summary 7-8'!F17</f>
        <v>54123</v>
      </c>
      <c r="E9" s="1813"/>
      <c r="F9" s="1813">
        <f>SUM(B9:E9)</f>
        <v>1472509</v>
      </c>
    </row>
    <row r="10" spans="1:8" s="1079" customFormat="1" ht="14.25" thickTop="1" thickBot="1" x14ac:dyDescent="0.25">
      <c r="A10" s="1080" t="s">
        <v>1370</v>
      </c>
      <c r="B10" s="1815">
        <f>(B8-B9)</f>
        <v>102838</v>
      </c>
      <c r="C10" s="1815">
        <f>(C8-C9)</f>
        <v>-22186</v>
      </c>
      <c r="D10" s="1815">
        <f>(D8-D9)</f>
        <v>13712</v>
      </c>
      <c r="E10" s="1814">
        <f>(E8-E9)</f>
        <v>10039</v>
      </c>
      <c r="F10" s="1816">
        <f>SUM(F8-F9)</f>
        <v>104403</v>
      </c>
    </row>
    <row r="11" spans="1:8" s="1079" customFormat="1" ht="14.25" thickTop="1" thickBot="1" x14ac:dyDescent="0.25">
      <c r="A11" s="1081" t="s">
        <v>1983</v>
      </c>
      <c r="B11" s="1817">
        <f>'Acct Summary 7-8'!C81</f>
        <v>1075771</v>
      </c>
      <c r="C11" s="1817">
        <f>'Acct Summary 7-8'!D81</f>
        <v>26469</v>
      </c>
      <c r="D11" s="1817">
        <f>'Acct Summary 7-8'!F81</f>
        <v>44271</v>
      </c>
      <c r="E11" s="1817">
        <f>'Acct Summary 7-8'!I81</f>
        <v>0</v>
      </c>
      <c r="F11" s="1818">
        <f>SUM(B11:E11)</f>
        <v>1146511</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A39" sqref="A39:B3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13041082002</v>
      </c>
    </row>
    <row r="3" spans="1:2" x14ac:dyDescent="0.2">
      <c r="A3" t="s">
        <v>956</v>
      </c>
      <c r="B3" s="138" t="str">
        <f>COVER!A15</f>
        <v>JEFFERSON</v>
      </c>
    </row>
    <row r="4" spans="1:2" x14ac:dyDescent="0.2">
      <c r="A4" t="s">
        <v>1007</v>
      </c>
      <c r="B4" s="138" t="str">
        <f>COVER!A17</f>
        <v>BETHEL SD 82</v>
      </c>
    </row>
    <row r="5" spans="1:2" x14ac:dyDescent="0.2">
      <c r="A5" t="s">
        <v>704</v>
      </c>
      <c r="B5" s="138" t="str">
        <f>COVER!A38</f>
        <v>CRAIG KUJAWA</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1075771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1073729</v>
      </c>
      <c r="D92" s="2" t="str">
        <f t="shared" si="0"/>
        <v>Error?</v>
      </c>
    </row>
    <row r="93" spans="1:4" x14ac:dyDescent="0.2">
      <c r="A93" s="5">
        <v>32</v>
      </c>
      <c r="B93" s="138">
        <f>'Assets-Liab 5-6'!C41</f>
        <v>1075771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26469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26469</v>
      </c>
      <c r="D123" s="2" t="str">
        <f t="shared" si="0"/>
        <v>Error?</v>
      </c>
    </row>
    <row r="124" spans="1:4" x14ac:dyDescent="0.2">
      <c r="A124" s="5">
        <v>63</v>
      </c>
      <c r="B124" s="138">
        <f>'Assets-Liab 5-6'!D41</f>
        <v>26469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13869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12500</v>
      </c>
      <c r="C139" s="2" t="s">
        <v>573</v>
      </c>
      <c r="D139" s="2" t="str">
        <f t="shared" si="1"/>
        <v>Error?</v>
      </c>
    </row>
    <row r="140" spans="1:4" x14ac:dyDescent="0.2">
      <c r="A140" s="5">
        <v>79</v>
      </c>
      <c r="B140" s="138">
        <f>'Assets-Liab 5-6'!E39</f>
        <v>1369</v>
      </c>
      <c r="D140" s="2" t="str">
        <f t="shared" si="1"/>
        <v>Error?</v>
      </c>
    </row>
    <row r="141" spans="1:4" x14ac:dyDescent="0.2">
      <c r="A141" s="5">
        <v>80</v>
      </c>
      <c r="B141" s="138">
        <f>'Assets-Liab 5-6'!E41</f>
        <v>13869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44271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44271</v>
      </c>
      <c r="D170" s="2" t="str">
        <f t="shared" si="1"/>
        <v>Error?</v>
      </c>
    </row>
    <row r="171" spans="1:4" x14ac:dyDescent="0.2">
      <c r="A171" s="5">
        <v>110</v>
      </c>
      <c r="B171" s="138">
        <f>'Assets-Liab 5-6'!F41</f>
        <v>44271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26485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26485</v>
      </c>
      <c r="D189" s="2" t="str">
        <f t="shared" si="1"/>
        <v>Error?</v>
      </c>
    </row>
    <row r="190" spans="1:4" x14ac:dyDescent="0.2">
      <c r="A190" s="5">
        <v>129</v>
      </c>
      <c r="B190" s="138">
        <f>'Assets-Liab 5-6'!G41</f>
        <v>26485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21</v>
      </c>
      <c r="D212" s="2" t="str">
        <f t="shared" si="2"/>
        <v>Error?</v>
      </c>
    </row>
    <row r="213" spans="1:4" x14ac:dyDescent="0.2">
      <c r="A213" s="12">
        <v>152</v>
      </c>
      <c r="B213" s="138">
        <f>'Assets-Liab 5-6'!H41</f>
        <v>21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11500</v>
      </c>
      <c r="D273" s="2" t="str">
        <f t="shared" si="3"/>
        <v>Error?</v>
      </c>
    </row>
    <row r="274" spans="1:4" x14ac:dyDescent="0.2">
      <c r="A274" s="5">
        <v>213</v>
      </c>
      <c r="B274" s="138">
        <f>'Assets-Liab 5-6'!M17</f>
        <v>2199135</v>
      </c>
      <c r="D274" s="2" t="str">
        <f t="shared" si="3"/>
        <v>Error?</v>
      </c>
    </row>
    <row r="275" spans="1:4" x14ac:dyDescent="0.2">
      <c r="A275" s="5">
        <v>214</v>
      </c>
      <c r="B275" s="138">
        <f>'Assets-Liab 5-6'!M18</f>
        <v>26234</v>
      </c>
      <c r="D275" s="2" t="str">
        <f t="shared" si="3"/>
        <v>Error?</v>
      </c>
    </row>
    <row r="276" spans="1:4" x14ac:dyDescent="0.2">
      <c r="A276" s="5">
        <v>215</v>
      </c>
      <c r="B276" s="138">
        <f>'Assets-Liab 5-6'!M19</f>
        <v>619809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2856678</v>
      </c>
      <c r="C279" s="2" t="s">
        <v>573</v>
      </c>
      <c r="D279" s="2" t="str">
        <f t="shared" si="3"/>
        <v>Error?</v>
      </c>
    </row>
    <row r="280" spans="1:4" x14ac:dyDescent="0.2">
      <c r="A280" s="5">
        <v>219</v>
      </c>
      <c r="B280" s="138">
        <f>'Assets-Liab 5-6'!M40</f>
        <v>2856678</v>
      </c>
      <c r="D280" s="2" t="str">
        <f t="shared" si="3"/>
        <v>Error?</v>
      </c>
    </row>
    <row r="281" spans="1:4" x14ac:dyDescent="0.2">
      <c r="A281" s="5">
        <v>220</v>
      </c>
      <c r="B281" s="138">
        <f>'Assets-Liab 5-6'!M41</f>
        <v>2856678</v>
      </c>
      <c r="C281" s="2" t="s">
        <v>573</v>
      </c>
      <c r="D281" s="2" t="str">
        <f t="shared" si="3"/>
        <v>Error?</v>
      </c>
    </row>
    <row r="282" spans="1:4" x14ac:dyDescent="0.2">
      <c r="A282" s="5">
        <v>221</v>
      </c>
      <c r="B282" s="138">
        <f>'Assets-Liab 5-6'!N21</f>
        <v>13869</v>
      </c>
      <c r="D282" s="2" t="str">
        <f t="shared" si="3"/>
        <v>Error?</v>
      </c>
    </row>
    <row r="283" spans="1:4" x14ac:dyDescent="0.2">
      <c r="A283" s="5">
        <v>222</v>
      </c>
      <c r="B283" s="138">
        <f>'Assets-Liab 5-6'!N22</f>
        <v>126131</v>
      </c>
      <c r="D283" s="2" t="str">
        <f t="shared" si="3"/>
        <v>Error?</v>
      </c>
    </row>
    <row r="284" spans="1:4" x14ac:dyDescent="0.2">
      <c r="A284" s="5">
        <v>223</v>
      </c>
      <c r="B284" s="138">
        <f>'Assets-Liab 5-6'!N23</f>
        <v>140000</v>
      </c>
      <c r="C284" s="2" t="s">
        <v>573</v>
      </c>
      <c r="D284" s="2" t="str">
        <f t="shared" si="3"/>
        <v>Error?</v>
      </c>
    </row>
    <row r="285" spans="1:4" x14ac:dyDescent="0.2">
      <c r="A285" s="5">
        <v>224</v>
      </c>
      <c r="B285" s="138">
        <f>'Assets-Liab 5-6'!N36</f>
        <v>140000</v>
      </c>
      <c r="D285" s="2" t="str">
        <f t="shared" si="3"/>
        <v>Error?</v>
      </c>
    </row>
    <row r="286" spans="1:4" x14ac:dyDescent="0.2">
      <c r="A286" s="10">
        <v>225</v>
      </c>
      <c r="D286" s="2" t="str">
        <f t="shared" si="3"/>
        <v>OK</v>
      </c>
    </row>
    <row r="287" spans="1:4" x14ac:dyDescent="0.2">
      <c r="A287" s="5">
        <v>226</v>
      </c>
      <c r="B287" s="138">
        <f>'Assets-Liab 5-6'!N37</f>
        <v>140000</v>
      </c>
      <c r="C287" s="2" t="s">
        <v>573</v>
      </c>
      <c r="D287" s="2" t="str">
        <f t="shared" si="3"/>
        <v>Error?</v>
      </c>
    </row>
    <row r="288" spans="1:4" x14ac:dyDescent="0.2">
      <c r="A288" s="5">
        <v>227</v>
      </c>
      <c r="B288" s="138">
        <f>'Assets-Liab 5-6'!N41</f>
        <v>140000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10039</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527275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10163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774312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2806</v>
      </c>
      <c r="D726" s="2" t="str">
        <f t="shared" si="10"/>
        <v>Error?</v>
      </c>
    </row>
    <row r="727" spans="1:4" x14ac:dyDescent="0.2">
      <c r="A727" s="5">
        <v>666</v>
      </c>
      <c r="B727" s="138">
        <f>'Expenditures 15-22'!C42</f>
        <v>2806</v>
      </c>
      <c r="C727" s="2" t="s">
        <v>573</v>
      </c>
      <c r="D727" s="2" t="str">
        <f t="shared" si="10"/>
        <v>Error?</v>
      </c>
    </row>
    <row r="728" spans="1:4" x14ac:dyDescent="0.2">
      <c r="A728" s="5">
        <v>667</v>
      </c>
      <c r="B728" s="138">
        <f>'Expenditures 15-22'!C44</f>
        <v>1000</v>
      </c>
      <c r="D728" s="2" t="str">
        <f t="shared" si="10"/>
        <v>Error?</v>
      </c>
    </row>
    <row r="729" spans="1:4" x14ac:dyDescent="0.2">
      <c r="A729" s="5">
        <v>668</v>
      </c>
      <c r="B729" s="138">
        <f>'Expenditures 15-22'!C45</f>
        <v>1677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2677</v>
      </c>
      <c r="C731" s="2" t="s">
        <v>573</v>
      </c>
      <c r="D731" s="2" t="str">
        <f t="shared" si="10"/>
        <v>Error?</v>
      </c>
    </row>
    <row r="732" spans="1:4" x14ac:dyDescent="0.2">
      <c r="A732" s="5">
        <v>671</v>
      </c>
      <c r="B732" s="138">
        <f>'Expenditures 15-22'!C49</f>
        <v>1040</v>
      </c>
      <c r="D732" s="2" t="str">
        <f t="shared" si="10"/>
        <v>Error?</v>
      </c>
    </row>
    <row r="733" spans="1:4" x14ac:dyDescent="0.2">
      <c r="A733" s="5">
        <v>672</v>
      </c>
      <c r="B733" s="138">
        <f>'Expenditures 15-22'!C50</f>
        <v>51542</v>
      </c>
      <c r="D733" s="2" t="str">
        <f t="shared" si="10"/>
        <v>Error?</v>
      </c>
    </row>
    <row r="734" spans="1:4" x14ac:dyDescent="0.2">
      <c r="A734" s="5">
        <v>673</v>
      </c>
      <c r="B734" s="138">
        <f>'Expenditures 15-22'!C53</f>
        <v>52582</v>
      </c>
      <c r="C734" s="2" t="s">
        <v>573</v>
      </c>
      <c r="D734" s="2" t="str">
        <f t="shared" si="10"/>
        <v>Error?</v>
      </c>
    </row>
    <row r="735" spans="1:4" x14ac:dyDescent="0.2">
      <c r="A735" s="5">
        <v>674</v>
      </c>
      <c r="B735" s="138">
        <f>'Expenditures 15-22'!C55</f>
        <v>52063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52063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14560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28519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43079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153207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927519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102119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117162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294</v>
      </c>
      <c r="D784" s="2" t="str">
        <f t="shared" si="11"/>
        <v>Error?</v>
      </c>
    </row>
    <row r="785" spans="1:4" x14ac:dyDescent="0.2">
      <c r="A785" s="5">
        <v>724</v>
      </c>
      <c r="B785" s="138">
        <f>'Expenditures 15-22'!D42</f>
        <v>294</v>
      </c>
      <c r="C785" s="2" t="s">
        <v>573</v>
      </c>
      <c r="D785" s="2" t="str">
        <f t="shared" si="11"/>
        <v>Error?</v>
      </c>
    </row>
    <row r="786" spans="1:4" x14ac:dyDescent="0.2">
      <c r="A786" s="5">
        <v>725</v>
      </c>
      <c r="B786" s="138">
        <f>'Expenditures 15-22'!D44</f>
        <v>2178</v>
      </c>
      <c r="D786" s="2" t="str">
        <f t="shared" si="11"/>
        <v>Error?</v>
      </c>
    </row>
    <row r="787" spans="1:4" x14ac:dyDescent="0.2">
      <c r="A787" s="5">
        <v>726</v>
      </c>
      <c r="B787" s="138">
        <f>'Expenditures 15-22'!D45</f>
        <v>150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2328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6473</v>
      </c>
      <c r="D791" s="2" t="str">
        <f t="shared" si="11"/>
        <v>Error?</v>
      </c>
    </row>
    <row r="792" spans="1:4" x14ac:dyDescent="0.2">
      <c r="A792" s="5">
        <v>731</v>
      </c>
      <c r="B792" s="138">
        <f>'Expenditures 15-22'!D53</f>
        <v>6473</v>
      </c>
      <c r="C792" s="2" t="s">
        <v>573</v>
      </c>
      <c r="D792" s="2" t="str">
        <f t="shared" si="11"/>
        <v>Error?</v>
      </c>
    </row>
    <row r="793" spans="1:4" x14ac:dyDescent="0.2">
      <c r="A793" s="5">
        <v>732</v>
      </c>
      <c r="B793" s="138">
        <f>'Expenditures 15-22'!D55</f>
        <v>3332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3332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12427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129589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17409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22570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17370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17370</v>
      </c>
      <c r="C843" s="2" t="s">
        <v>573</v>
      </c>
      <c r="D843" s="2" t="str">
        <f t="shared" si="12"/>
        <v>Error?</v>
      </c>
    </row>
    <row r="844" spans="1:4" x14ac:dyDescent="0.2">
      <c r="A844" s="5">
        <v>783</v>
      </c>
      <c r="B844" s="138">
        <f>'Expenditures 15-22'!E44</f>
        <v>7054</v>
      </c>
      <c r="D844" s="2" t="str">
        <f t="shared" si="12"/>
        <v>Error?</v>
      </c>
    </row>
    <row r="845" spans="1:4" x14ac:dyDescent="0.2">
      <c r="A845" s="5">
        <v>784</v>
      </c>
      <c r="B845" s="138">
        <f>'Expenditures 15-22'!E45</f>
        <v>4716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11770</v>
      </c>
      <c r="C847" s="2" t="s">
        <v>573</v>
      </c>
      <c r="D847" s="2" t="str">
        <f t="shared" si="12"/>
        <v>Error?</v>
      </c>
    </row>
    <row r="848" spans="1:4" x14ac:dyDescent="0.2">
      <c r="A848" s="5">
        <v>787</v>
      </c>
      <c r="B848" s="138">
        <f>'Expenditures 15-22'!E49</f>
        <v>5782</v>
      </c>
      <c r="D848" s="2" t="str">
        <f t="shared" si="12"/>
        <v>Error?</v>
      </c>
    </row>
    <row r="849" spans="1:4" x14ac:dyDescent="0.2">
      <c r="A849" s="5">
        <v>788</v>
      </c>
      <c r="B849" s="138">
        <f>'Expenditures 15-22'!E50</f>
        <v>408</v>
      </c>
      <c r="D849" s="2" t="str">
        <f t="shared" si="12"/>
        <v>Error?</v>
      </c>
    </row>
    <row r="850" spans="1:4" x14ac:dyDescent="0.2">
      <c r="A850" s="5">
        <v>789</v>
      </c>
      <c r="B850" s="138">
        <f>'Expenditures 15-22'!E53</f>
        <v>6190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1213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1182</v>
      </c>
      <c r="D857" s="2" t="str">
        <f t="shared" si="12"/>
        <v>Error?</v>
      </c>
    </row>
    <row r="858" spans="1:4" x14ac:dyDescent="0.2">
      <c r="A858" s="5">
        <v>797</v>
      </c>
      <c r="B858" s="138">
        <f>'Expenditures 15-22'!E63</f>
        <v>3920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6315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41645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84441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41460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7096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65464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3823</v>
      </c>
      <c r="D900" s="2" t="str">
        <f t="shared" si="13"/>
        <v>Error?</v>
      </c>
    </row>
    <row r="901" spans="1:4" x14ac:dyDescent="0.2">
      <c r="A901" s="5">
        <v>840</v>
      </c>
      <c r="B901" s="138">
        <f>'Expenditures 15-22'!F42</f>
        <v>4052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1235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1235</v>
      </c>
      <c r="C905" s="2" t="s">
        <v>573</v>
      </c>
      <c r="D905" s="2" t="str">
        <f t="shared" si="13"/>
        <v>Error?</v>
      </c>
    </row>
    <row r="906" spans="1:4" x14ac:dyDescent="0.2">
      <c r="A906" s="5">
        <v>845</v>
      </c>
      <c r="B906" s="138">
        <f>'Expenditures 15-22'!F49</f>
        <v>2728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2728</v>
      </c>
      <c r="C908" s="2" t="s">
        <v>573</v>
      </c>
      <c r="D908" s="2" t="str">
        <f t="shared" si="13"/>
        <v>Error?</v>
      </c>
    </row>
    <row r="909" spans="1:4" x14ac:dyDescent="0.2">
      <c r="A909" s="5">
        <v>848</v>
      </c>
      <c r="B909" s="138">
        <f>'Expenditures 15-22'!F55</f>
        <v>1601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1601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75079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75337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84953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150417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2458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2458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2175</v>
      </c>
      <c r="D1022" s="2" t="str">
        <f t="shared" si="14"/>
        <v>Error?</v>
      </c>
    </row>
    <row r="1023" spans="1:4" x14ac:dyDescent="0.2">
      <c r="A1023" s="5">
        <v>962</v>
      </c>
      <c r="B1023" s="138">
        <f>'Expenditures 15-22'!H50</f>
        <v>808</v>
      </c>
      <c r="D1023" s="2" t="str">
        <f t="shared" ref="D1023:D1086" si="15">IF(ISBLANK(B1023),"OK",IF(A1023-B1023=0,"OK","Error?"))</f>
        <v>Error?</v>
      </c>
    </row>
    <row r="1024" spans="1:4" x14ac:dyDescent="0.2">
      <c r="A1024" s="5">
        <v>963</v>
      </c>
      <c r="B1024" s="138">
        <f>'Expenditures 15-22'!H53</f>
        <v>2983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2983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24735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27983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688263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17763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982231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229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17370</v>
      </c>
      <c r="C1113" s="2" t="s">
        <v>573</v>
      </c>
      <c r="D1113" s="2" t="str">
        <f t="shared" si="16"/>
        <v>Error?</v>
      </c>
    </row>
    <row r="1114" spans="1:4" x14ac:dyDescent="0.2">
      <c r="A1114" s="5">
        <v>1053</v>
      </c>
      <c r="B1114" s="138">
        <f>'Expenditures 15-22'!K41</f>
        <v>6923</v>
      </c>
      <c r="C1114" s="2" t="s">
        <v>573</v>
      </c>
      <c r="D1114" s="2" t="str">
        <f t="shared" si="16"/>
        <v>Error?</v>
      </c>
    </row>
    <row r="1115" spans="1:4" x14ac:dyDescent="0.2">
      <c r="A1115" s="5">
        <v>1054</v>
      </c>
      <c r="B1115" s="138">
        <f>'Expenditures 15-22'!K42</f>
        <v>24522</v>
      </c>
      <c r="C1115" s="2" t="s">
        <v>573</v>
      </c>
      <c r="D1115" s="2" t="str">
        <f t="shared" si="16"/>
        <v>Error?</v>
      </c>
    </row>
    <row r="1116" spans="1:4" x14ac:dyDescent="0.2">
      <c r="A1116" s="5">
        <v>1055</v>
      </c>
      <c r="B1116" s="138">
        <f>'Expenditures 15-22'!K44</f>
        <v>10232</v>
      </c>
      <c r="C1116" s="2" t="s">
        <v>573</v>
      </c>
      <c r="D1116" s="2" t="str">
        <f t="shared" si="16"/>
        <v>Error?</v>
      </c>
    </row>
    <row r="1117" spans="1:4" x14ac:dyDescent="0.2">
      <c r="A1117" s="5">
        <v>1056</v>
      </c>
      <c r="B1117" s="138">
        <f>'Expenditures 15-22'!K45</f>
        <v>7778</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18010</v>
      </c>
      <c r="C1119" s="2" t="s">
        <v>573</v>
      </c>
      <c r="D1119" s="2" t="str">
        <f t="shared" si="16"/>
        <v>Error?</v>
      </c>
    </row>
    <row r="1120" spans="1:4" x14ac:dyDescent="0.2">
      <c r="A1120" s="5">
        <v>1059</v>
      </c>
      <c r="B1120" s="138">
        <f>'Expenditures 15-22'!K49</f>
        <v>11725</v>
      </c>
      <c r="C1120" s="2" t="s">
        <v>573</v>
      </c>
      <c r="D1120" s="2" t="str">
        <f t="shared" si="16"/>
        <v>Error?</v>
      </c>
    </row>
    <row r="1121" spans="1:4" x14ac:dyDescent="0.2">
      <c r="A1121" s="5">
        <v>1060</v>
      </c>
      <c r="B1121" s="138">
        <f>'Expenditures 15-22'!K50</f>
        <v>59231</v>
      </c>
      <c r="C1121" s="2" t="s">
        <v>573</v>
      </c>
      <c r="D1121" s="2" t="str">
        <f t="shared" si="16"/>
        <v>Error?</v>
      </c>
    </row>
    <row r="1122" spans="1:4" x14ac:dyDescent="0.2">
      <c r="A1122" s="5">
        <v>1061</v>
      </c>
      <c r="B1122" s="138">
        <f>'Expenditures 15-22'!K53</f>
        <v>70956</v>
      </c>
      <c r="C1122" s="2" t="s">
        <v>573</v>
      </c>
      <c r="D1122" s="2" t="str">
        <f t="shared" si="16"/>
        <v>Error?</v>
      </c>
    </row>
    <row r="1123" spans="1:4" x14ac:dyDescent="0.2">
      <c r="A1123" s="5">
        <v>1062</v>
      </c>
      <c r="B1123" s="138">
        <f>'Expenditures 15-22'!K55</f>
        <v>56996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56996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16031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1182</v>
      </c>
      <c r="C1129" s="2" t="s">
        <v>573</v>
      </c>
      <c r="D1129" s="2" t="str">
        <f t="shared" si="16"/>
        <v>Error?</v>
      </c>
    </row>
    <row r="1130" spans="1:4" x14ac:dyDescent="0.2">
      <c r="A1130" s="5">
        <v>1069</v>
      </c>
      <c r="B1130" s="138">
        <f>'Expenditures 15-22'!K63</f>
        <v>107518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124731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295215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44961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1322407</v>
      </c>
      <c r="C1152" s="2" t="s">
        <v>573</v>
      </c>
      <c r="D1152" s="2" t="str">
        <f t="shared" si="17"/>
        <v>Error?</v>
      </c>
    </row>
    <row r="1153" spans="1:4" x14ac:dyDescent="0.2">
      <c r="A1153" s="5">
        <v>1092</v>
      </c>
      <c r="B1153" s="138">
        <f>'Expenditures 15-22'!K115</f>
        <v>102838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40274</v>
      </c>
      <c r="D1221" s="2" t="str">
        <f t="shared" si="18"/>
        <v>Error?</v>
      </c>
    </row>
    <row r="1222" spans="1:4" x14ac:dyDescent="0.2">
      <c r="A1222" s="10">
        <v>1161</v>
      </c>
      <c r="D1222" s="2" t="str">
        <f t="shared" si="18"/>
        <v>OK</v>
      </c>
    </row>
    <row r="1223" spans="1:4" x14ac:dyDescent="0.2">
      <c r="A1223" s="5">
        <v>1162</v>
      </c>
      <c r="B1223" s="138">
        <f>'Expenditures 15-22'!C127</f>
        <v>40274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40274</v>
      </c>
      <c r="C1225" s="2" t="s">
        <v>573</v>
      </c>
      <c r="D1225" s="2" t="str">
        <f t="shared" si="18"/>
        <v>Error?</v>
      </c>
    </row>
    <row r="1226" spans="1:4" x14ac:dyDescent="0.2">
      <c r="A1226" s="5">
        <v>1165</v>
      </c>
      <c r="B1226" s="138">
        <f>'Expenditures 15-22'!C151</f>
        <v>40274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42899</v>
      </c>
      <c r="D1237" s="2" t="str">
        <f t="shared" si="18"/>
        <v>Error?</v>
      </c>
    </row>
    <row r="1238" spans="1:4" x14ac:dyDescent="0.2">
      <c r="A1238" s="10">
        <v>1177</v>
      </c>
      <c r="D1238" s="2" t="str">
        <f t="shared" si="18"/>
        <v>OK</v>
      </c>
    </row>
    <row r="1239" spans="1:4" x14ac:dyDescent="0.2">
      <c r="A1239" s="5">
        <v>1178</v>
      </c>
      <c r="B1239" s="138">
        <f>'Expenditures 15-22'!E127</f>
        <v>42899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42899</v>
      </c>
      <c r="C1241" s="2" t="s">
        <v>573</v>
      </c>
      <c r="D1241" s="2" t="str">
        <f t="shared" si="18"/>
        <v>Error?</v>
      </c>
    </row>
    <row r="1242" spans="1:4" x14ac:dyDescent="0.2">
      <c r="A1242" s="5">
        <v>1181</v>
      </c>
      <c r="B1242" s="138">
        <f>'Expenditures 15-22'!E151</f>
        <v>42899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11302</v>
      </c>
      <c r="D1245" s="2" t="str">
        <f t="shared" si="18"/>
        <v>Error?</v>
      </c>
    </row>
    <row r="1246" spans="1:4" x14ac:dyDescent="0.2">
      <c r="A1246" s="10">
        <v>1185</v>
      </c>
      <c r="D1246" s="2" t="str">
        <f t="shared" si="18"/>
        <v>OK</v>
      </c>
    </row>
    <row r="1247" spans="1:4" x14ac:dyDescent="0.2">
      <c r="A1247" s="5">
        <v>1186</v>
      </c>
      <c r="B1247" s="138">
        <f>'Expenditures 15-22'!F127</f>
        <v>11302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11302</v>
      </c>
      <c r="C1249" s="2" t="s">
        <v>573</v>
      </c>
      <c r="D1249" s="2" t="str">
        <f t="shared" si="18"/>
        <v>Error?</v>
      </c>
    </row>
    <row r="1250" spans="1:4" x14ac:dyDescent="0.2">
      <c r="A1250" s="5">
        <v>1189</v>
      </c>
      <c r="B1250" s="138">
        <f>'Expenditures 15-22'!F151</f>
        <v>11302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1504</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1504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1504</v>
      </c>
      <c r="C1258" s="2" t="s">
        <v>573</v>
      </c>
      <c r="D1258" s="2" t="str">
        <f t="shared" si="18"/>
        <v>Error?</v>
      </c>
    </row>
    <row r="1259" spans="1:4" x14ac:dyDescent="0.2">
      <c r="A1259" s="5">
        <v>1198</v>
      </c>
      <c r="B1259" s="138">
        <f>'Expenditures 15-22'!G151</f>
        <v>1504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1504</v>
      </c>
      <c r="C1275" s="2" t="s">
        <v>573</v>
      </c>
      <c r="D1275" s="2" t="str">
        <f t="shared" si="18"/>
        <v>Error?</v>
      </c>
    </row>
    <row r="1276" spans="1:4" x14ac:dyDescent="0.2">
      <c r="A1276" s="5">
        <v>1215</v>
      </c>
      <c r="B1276" s="138">
        <f>'Expenditures 15-22'!K124</f>
        <v>94475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95979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95979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95979</v>
      </c>
      <c r="C1288" s="2" t="s">
        <v>573</v>
      </c>
      <c r="D1288" s="2" t="str">
        <f t="shared" si="19"/>
        <v>Error?</v>
      </c>
    </row>
    <row r="1289" spans="1:4" x14ac:dyDescent="0.2">
      <c r="A1289" s="5">
        <v>1228</v>
      </c>
      <c r="B1289" s="138">
        <f>'Expenditures 15-22'!K152</f>
        <v>-22186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10010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55010</v>
      </c>
      <c r="C1317" s="2" t="s">
        <v>573</v>
      </c>
      <c r="D1317" s="2" t="str">
        <f t="shared" si="19"/>
        <v>Error?</v>
      </c>
    </row>
    <row r="1318" spans="1:4" x14ac:dyDescent="0.2">
      <c r="A1318" s="5">
        <v>1257</v>
      </c>
      <c r="B1318" s="138">
        <f>'Expenditures 15-22'!H174</f>
        <v>55010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10010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55010</v>
      </c>
      <c r="C1331" s="2" t="s">
        <v>573</v>
      </c>
      <c r="D1331" s="2" t="str">
        <f t="shared" si="19"/>
        <v>Error?</v>
      </c>
    </row>
    <row r="1332" spans="1:4" x14ac:dyDescent="0.2">
      <c r="A1332" s="5">
        <v>1271</v>
      </c>
      <c r="B1332" s="138">
        <f>'Expenditures 15-22'!K174</f>
        <v>55010</v>
      </c>
      <c r="C1332" s="2" t="s">
        <v>573</v>
      </c>
      <c r="D1332" s="2" t="str">
        <f t="shared" si="19"/>
        <v>Error?</v>
      </c>
    </row>
    <row r="1333" spans="1:4" x14ac:dyDescent="0.2">
      <c r="A1333" s="5">
        <v>1272</v>
      </c>
      <c r="B1333" s="138">
        <f>'Expenditures 15-22'!K175</f>
        <v>919</v>
      </c>
      <c r="C1333" s="2" t="s">
        <v>573</v>
      </c>
      <c r="D1333" s="2" t="str">
        <f t="shared" si="19"/>
        <v>Error?</v>
      </c>
    </row>
    <row r="1334" spans="1:4" x14ac:dyDescent="0.2">
      <c r="A1334" s="10">
        <v>1273</v>
      </c>
      <c r="D1334" s="2" t="str">
        <f t="shared" si="19"/>
        <v>OK</v>
      </c>
    </row>
    <row r="1335" spans="1:4" x14ac:dyDescent="0.2">
      <c r="A1335" s="5">
        <v>1274</v>
      </c>
      <c r="B1335" s="138">
        <f>'Expenditures 15-22'!C182</f>
        <v>28256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28256</v>
      </c>
      <c r="C1339" s="2" t="s">
        <v>573</v>
      </c>
      <c r="D1339" s="2" t="str">
        <f t="shared" si="19"/>
        <v>Error?</v>
      </c>
    </row>
    <row r="1340" spans="1:4" x14ac:dyDescent="0.2">
      <c r="A1340" s="5">
        <v>1279</v>
      </c>
      <c r="B1340" s="138">
        <f>'Expenditures 15-22'!C210</f>
        <v>28256</v>
      </c>
      <c r="C1340" s="2" t="s">
        <v>573</v>
      </c>
      <c r="D1340" s="2" t="str">
        <f t="shared" si="19"/>
        <v>Error?</v>
      </c>
    </row>
    <row r="1341" spans="1:4" x14ac:dyDescent="0.2">
      <c r="A1341" s="5">
        <v>1280</v>
      </c>
      <c r="B1341" s="138">
        <f>'Expenditures 15-22'!D182</f>
        <v>674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674</v>
      </c>
      <c r="C1345" s="2" t="s">
        <v>573</v>
      </c>
      <c r="D1345" s="2" t="str">
        <f t="shared" si="20"/>
        <v>Error?</v>
      </c>
    </row>
    <row r="1346" spans="1:4" x14ac:dyDescent="0.2">
      <c r="A1346" s="5">
        <v>1285</v>
      </c>
      <c r="B1346" s="138">
        <f>'Expenditures 15-22'!D210</f>
        <v>674</v>
      </c>
      <c r="C1346" s="2" t="s">
        <v>573</v>
      </c>
      <c r="D1346" s="2" t="str">
        <f t="shared" si="20"/>
        <v>Error?</v>
      </c>
    </row>
    <row r="1347" spans="1:4" x14ac:dyDescent="0.2">
      <c r="A1347" s="5">
        <v>1286</v>
      </c>
      <c r="B1347" s="138">
        <f>'Expenditures 15-22'!E182</f>
        <v>21073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21073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21073</v>
      </c>
      <c r="C1353" s="2" t="s">
        <v>573</v>
      </c>
      <c r="D1353" s="2" t="str">
        <f t="shared" si="20"/>
        <v>Error?</v>
      </c>
    </row>
    <row r="1354" spans="1:4" x14ac:dyDescent="0.2">
      <c r="A1354" s="5">
        <v>1293</v>
      </c>
      <c r="B1354" s="138">
        <f>'Expenditures 15-22'!F182</f>
        <v>4120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4120</v>
      </c>
      <c r="C1358" s="2" t="s">
        <v>573</v>
      </c>
      <c r="D1358" s="2" t="str">
        <f t="shared" si="20"/>
        <v>Error?</v>
      </c>
    </row>
    <row r="1359" spans="1:4" x14ac:dyDescent="0.2">
      <c r="A1359" s="5">
        <v>1298</v>
      </c>
      <c r="B1359" s="138">
        <f>'Expenditures 15-22'!F210</f>
        <v>4120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54123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54123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54123</v>
      </c>
      <c r="C1388" s="2" t="s">
        <v>573</v>
      </c>
      <c r="D1388" s="2" t="str">
        <f t="shared" si="20"/>
        <v>Error?</v>
      </c>
    </row>
    <row r="1389" spans="1:4" x14ac:dyDescent="0.2">
      <c r="A1389" s="5">
        <v>1328</v>
      </c>
      <c r="B1389" s="138">
        <f>'Expenditures 15-22'!K211</f>
        <v>13712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1197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33469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1101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109</v>
      </c>
      <c r="D1416" s="2" t="str">
        <f t="shared" si="21"/>
        <v>Error?</v>
      </c>
    </row>
    <row r="1417" spans="1:4" x14ac:dyDescent="0.2">
      <c r="A1417" s="5">
        <v>1356</v>
      </c>
      <c r="B1417" s="138">
        <f>'Expenditures 15-22'!D238</f>
        <v>1210</v>
      </c>
      <c r="C1417" s="2" t="s">
        <v>573</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70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85</v>
      </c>
      <c r="C1421" s="2" t="s">
        <v>573</v>
      </c>
      <c r="D1421" s="2" t="str">
        <f t="shared" si="21"/>
        <v>Error?</v>
      </c>
    </row>
    <row r="1422" spans="1:4" x14ac:dyDescent="0.2">
      <c r="A1422" s="5">
        <v>1361</v>
      </c>
      <c r="B1422" s="138">
        <f>'Expenditures 15-22'!D245</f>
        <v>172</v>
      </c>
      <c r="D1422" s="2" t="str">
        <f t="shared" si="21"/>
        <v>Error?</v>
      </c>
    </row>
    <row r="1423" spans="1:4" x14ac:dyDescent="0.2">
      <c r="A1423" s="5">
        <v>1362</v>
      </c>
      <c r="B1423" s="138">
        <f>'Expenditures 15-22'!D246</f>
        <v>883</v>
      </c>
      <c r="D1423" s="2" t="str">
        <f t="shared" si="21"/>
        <v>Error?</v>
      </c>
    </row>
    <row r="1424" spans="1:4" x14ac:dyDescent="0.2">
      <c r="A1424" s="5">
        <v>1363</v>
      </c>
      <c r="B1424" s="138">
        <f>'Expenditures 15-22'!D257</f>
        <v>1055</v>
      </c>
      <c r="C1424" s="2" t="s">
        <v>573</v>
      </c>
      <c r="D1424" s="2" t="str">
        <f t="shared" si="21"/>
        <v>Error?</v>
      </c>
    </row>
    <row r="1425" spans="1:4" x14ac:dyDescent="0.2">
      <c r="A1425" s="5">
        <v>1364</v>
      </c>
      <c r="B1425" s="138">
        <f>'Expenditures 15-22'!D259</f>
        <v>5295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5295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2410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8650</v>
      </c>
      <c r="D1431" s="2" t="str">
        <f t="shared" si="21"/>
        <v>Error?</v>
      </c>
    </row>
    <row r="1432" spans="1:4" x14ac:dyDescent="0.2">
      <c r="A1432" s="5">
        <v>1371</v>
      </c>
      <c r="B1432" s="138">
        <f>'Expenditures 15-22'!D267</f>
        <v>4840</v>
      </c>
      <c r="D1432" s="2" t="str">
        <f t="shared" si="21"/>
        <v>Error?</v>
      </c>
    </row>
    <row r="1433" spans="1:4" x14ac:dyDescent="0.2">
      <c r="A1433" s="5">
        <v>1372</v>
      </c>
      <c r="B1433" s="138">
        <f>'Expenditures 15-22'!D268</f>
        <v>4673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20573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28218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61687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1197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33469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1101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109</v>
      </c>
      <c r="C1480" s="2" t="s">
        <v>573</v>
      </c>
      <c r="D1480" s="2" t="str">
        <f t="shared" si="22"/>
        <v>Error?</v>
      </c>
    </row>
    <row r="1481" spans="1:4" x14ac:dyDescent="0.2">
      <c r="A1481" s="5">
        <v>1420</v>
      </c>
      <c r="B1481" s="138">
        <f>'Expenditures 15-22'!K238</f>
        <v>1210</v>
      </c>
      <c r="C1481" s="2" t="s">
        <v>573</v>
      </c>
      <c r="D1481" s="2" t="str">
        <f t="shared" si="22"/>
        <v>Error?</v>
      </c>
    </row>
    <row r="1482" spans="1:4" x14ac:dyDescent="0.2">
      <c r="A1482" s="5">
        <v>1421</v>
      </c>
      <c r="B1482" s="138">
        <f>'Expenditures 15-22'!K240</f>
        <v>15</v>
      </c>
      <c r="C1482" s="2" t="s">
        <v>573</v>
      </c>
      <c r="D1482" s="2" t="str">
        <f t="shared" si="22"/>
        <v>Error?</v>
      </c>
    </row>
    <row r="1483" spans="1:4" x14ac:dyDescent="0.2">
      <c r="A1483" s="5">
        <v>1422</v>
      </c>
      <c r="B1483" s="138">
        <f>'Expenditures 15-22'!K241</f>
        <v>70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85</v>
      </c>
      <c r="C1485" s="2" t="s">
        <v>573</v>
      </c>
      <c r="D1485" s="2" t="str">
        <f t="shared" si="22"/>
        <v>Error?</v>
      </c>
    </row>
    <row r="1486" spans="1:4" x14ac:dyDescent="0.2">
      <c r="A1486" s="5">
        <v>1425</v>
      </c>
      <c r="B1486" s="138">
        <f>'Expenditures 15-22'!K245</f>
        <v>172</v>
      </c>
      <c r="C1486" s="2" t="s">
        <v>573</v>
      </c>
      <c r="D1486" s="2" t="str">
        <f t="shared" si="22"/>
        <v>Error?</v>
      </c>
    </row>
    <row r="1487" spans="1:4" x14ac:dyDescent="0.2">
      <c r="A1487" s="5">
        <v>1426</v>
      </c>
      <c r="B1487" s="138">
        <f>'Expenditures 15-22'!K246</f>
        <v>883</v>
      </c>
      <c r="C1487" s="2" t="s">
        <v>573</v>
      </c>
      <c r="D1487" s="2" t="str">
        <f t="shared" si="22"/>
        <v>Error?</v>
      </c>
    </row>
    <row r="1488" spans="1:4" x14ac:dyDescent="0.2">
      <c r="A1488" s="5">
        <v>1427</v>
      </c>
      <c r="B1488" s="138">
        <f>'Expenditures 15-22'!K257</f>
        <v>1055</v>
      </c>
      <c r="C1488" s="2" t="s">
        <v>573</v>
      </c>
      <c r="D1488" s="2" t="str">
        <f t="shared" si="22"/>
        <v>Error?</v>
      </c>
    </row>
    <row r="1489" spans="1:4" x14ac:dyDescent="0.2">
      <c r="A1489" s="5">
        <v>1428</v>
      </c>
      <c r="B1489" s="138">
        <f>'Expenditures 15-22'!K259</f>
        <v>5295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5295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2410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8650</v>
      </c>
      <c r="C1495" s="2" t="s">
        <v>573</v>
      </c>
      <c r="D1495" s="2" t="str">
        <f t="shared" si="22"/>
        <v>Error?</v>
      </c>
    </row>
    <row r="1496" spans="1:4" x14ac:dyDescent="0.2">
      <c r="A1496" s="5">
        <v>1435</v>
      </c>
      <c r="B1496" s="138">
        <f>'Expenditures 15-22'!K267</f>
        <v>4840</v>
      </c>
      <c r="C1496" s="2" t="s">
        <v>573</v>
      </c>
      <c r="D1496" s="2" t="str">
        <f t="shared" si="22"/>
        <v>Error?</v>
      </c>
    </row>
    <row r="1497" spans="1:4" x14ac:dyDescent="0.2">
      <c r="A1497" s="5">
        <v>1436</v>
      </c>
      <c r="B1497" s="138">
        <f>'Expenditures 15-22'!K268</f>
        <v>4673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20573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28218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61687</v>
      </c>
      <c r="C1517" s="2" t="s">
        <v>573</v>
      </c>
      <c r="D1517" s="2" t="str">
        <f t="shared" si="22"/>
        <v>Error?</v>
      </c>
    </row>
    <row r="1518" spans="1:4" x14ac:dyDescent="0.2">
      <c r="A1518" s="5">
        <v>1457</v>
      </c>
      <c r="B1518" s="138">
        <f>'Expenditures 15-22'!K296</f>
        <v>-6026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53115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53115</v>
      </c>
      <c r="C1547" s="2" t="s">
        <v>573</v>
      </c>
      <c r="D1547" s="2" t="str">
        <f t="shared" si="23"/>
        <v>Error?</v>
      </c>
    </row>
    <row r="1548" spans="1:4" x14ac:dyDescent="0.2">
      <c r="A1548" s="5">
        <v>1487</v>
      </c>
      <c r="B1548" s="138">
        <f>'Expenditures 15-22'!G312</f>
        <v>53115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53115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53115</v>
      </c>
      <c r="C1559" s="2" t="s">
        <v>573</v>
      </c>
      <c r="D1559" s="2" t="str">
        <f t="shared" si="23"/>
        <v>Error?</v>
      </c>
    </row>
    <row r="1560" spans="1:4" x14ac:dyDescent="0.2">
      <c r="A1560" s="5">
        <v>1499</v>
      </c>
      <c r="B1560" s="138">
        <f>'Expenditures 15-22'!K312</f>
        <v>53115</v>
      </c>
      <c r="C1560" s="2" t="s">
        <v>573</v>
      </c>
      <c r="D1560" s="2" t="str">
        <f t="shared" si="23"/>
        <v>Error?</v>
      </c>
    </row>
    <row r="1561" spans="1:4" x14ac:dyDescent="0.2">
      <c r="A1561" s="5">
        <v>1500</v>
      </c>
      <c r="B1561" s="138">
        <f>'Expenditures 15-22'!K313</f>
        <v>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962894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1075771</v>
      </c>
      <c r="C1630" s="2" t="s">
        <v>573</v>
      </c>
      <c r="D1630" s="2" t="str">
        <f t="shared" si="24"/>
        <v>Error?</v>
      </c>
    </row>
    <row r="1631" spans="1:4" x14ac:dyDescent="0.2">
      <c r="A1631" s="5">
        <v>1570</v>
      </c>
      <c r="B1631" s="138">
        <f>'Acct Summary 7-8'!D79</f>
        <v>48655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26469</v>
      </c>
      <c r="C1644" s="2" t="s">
        <v>573</v>
      </c>
      <c r="D1644" s="2" t="str">
        <f t="shared" si="24"/>
        <v>Error?</v>
      </c>
    </row>
    <row r="1645" spans="1:4" x14ac:dyDescent="0.2">
      <c r="A1645" s="5">
        <v>1584</v>
      </c>
      <c r="B1645" s="138">
        <f>'Acct Summary 7-8'!E79</f>
        <v>450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1369</v>
      </c>
      <c r="C1658" s="2" t="s">
        <v>573</v>
      </c>
      <c r="D1658" s="2" t="str">
        <f t="shared" si="24"/>
        <v>Error?</v>
      </c>
    </row>
    <row r="1659" spans="1:4" x14ac:dyDescent="0.2">
      <c r="A1659" s="5">
        <v>1598</v>
      </c>
      <c r="B1659" s="138">
        <f>'Acct Summary 7-8'!F79</f>
        <v>30559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44271</v>
      </c>
      <c r="C1672" s="2" t="s">
        <v>573</v>
      </c>
      <c r="D1672" s="2" t="str">
        <f t="shared" si="25"/>
        <v>Error?</v>
      </c>
    </row>
    <row r="1673" spans="1:4" x14ac:dyDescent="0.2">
      <c r="A1673" s="5">
        <v>1612</v>
      </c>
      <c r="B1673" s="138">
        <f>'Acct Summary 7-8'!G79</f>
        <v>32511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26485</v>
      </c>
      <c r="C1686" s="2" t="s">
        <v>573</v>
      </c>
      <c r="D1686" s="2" t="str">
        <f t="shared" si="25"/>
        <v>Error?</v>
      </c>
    </row>
    <row r="1687" spans="1:4" x14ac:dyDescent="0.2">
      <c r="A1687" s="5">
        <v>1626</v>
      </c>
      <c r="B1687" s="138">
        <f>'Acct Summary 7-8'!H79</f>
        <v>15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286878</v>
      </c>
      <c r="C1744" s="2" t="s">
        <v>573</v>
      </c>
      <c r="D1744" s="2" t="str">
        <f t="shared" si="26"/>
        <v>Error?</v>
      </c>
    </row>
    <row r="1745" spans="1:5" x14ac:dyDescent="0.2">
      <c r="A1745" s="5">
        <v>1684</v>
      </c>
      <c r="B1745" s="138">
        <f>'Tax Sched 23'!B5</f>
        <v>61060</v>
      </c>
      <c r="C1745" s="2" t="s">
        <v>573</v>
      </c>
      <c r="D1745" s="2" t="str">
        <f t="shared" si="26"/>
        <v>Error?</v>
      </c>
    </row>
    <row r="1746" spans="1:5" x14ac:dyDescent="0.2">
      <c r="A1746" s="5">
        <v>1685</v>
      </c>
      <c r="B1746" s="138">
        <f>'Tax Sched 23'!B6</f>
        <v>29758</v>
      </c>
      <c r="C1746" s="2" t="s">
        <v>573</v>
      </c>
      <c r="D1746" s="2" t="str">
        <f t="shared" si="26"/>
        <v>Error?</v>
      </c>
    </row>
    <row r="1747" spans="1:5" x14ac:dyDescent="0.2">
      <c r="A1747" s="5">
        <v>1686</v>
      </c>
      <c r="B1747" s="138">
        <f>'Tax Sched 23'!B7</f>
        <v>28067</v>
      </c>
      <c r="C1747" s="2" t="s">
        <v>573</v>
      </c>
      <c r="D1747" s="2" t="str">
        <f t="shared" si="26"/>
        <v>Error?</v>
      </c>
    </row>
    <row r="1748" spans="1:5" x14ac:dyDescent="0.2">
      <c r="A1748" s="5">
        <v>1687</v>
      </c>
      <c r="B1748" s="138">
        <f>'Tax Sched 23'!B8</f>
        <v>28067</v>
      </c>
      <c r="C1748" s="2" t="s">
        <v>573</v>
      </c>
      <c r="D1748" s="2" t="str">
        <f t="shared" si="26"/>
        <v>Error?</v>
      </c>
    </row>
    <row r="1749" spans="1:5" x14ac:dyDescent="0.2">
      <c r="A1749" s="5">
        <v>1688</v>
      </c>
      <c r="B1749" s="138">
        <f>'Tax Sched 23'!B10</f>
        <v>9850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114238</v>
      </c>
      <c r="C1752" s="2" t="s">
        <v>573</v>
      </c>
      <c r="D1752" s="2" t="str">
        <f t="shared" si="26"/>
        <v>Error?</v>
      </c>
    </row>
    <row r="1753" spans="1:5" x14ac:dyDescent="0.2">
      <c r="A1753" s="5">
        <v>1692</v>
      </c>
      <c r="B1753" s="138">
        <f>'Tax Sched 23'!B12</f>
        <v>10833</v>
      </c>
      <c r="C1753" s="2" t="s">
        <v>573</v>
      </c>
      <c r="D1753" s="2" t="str">
        <f t="shared" si="26"/>
        <v>Error?</v>
      </c>
    </row>
    <row r="1754" spans="1:5" x14ac:dyDescent="0.2">
      <c r="A1754" s="5">
        <v>1693</v>
      </c>
      <c r="B1754" s="138">
        <f>'Tax Sched 23'!B14</f>
        <v>4728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576041</v>
      </c>
      <c r="C1759" s="2" t="s">
        <v>573</v>
      </c>
      <c r="D1759" s="2" t="str">
        <f t="shared" si="26"/>
        <v>Error?</v>
      </c>
    </row>
    <row r="1760" spans="1:5" x14ac:dyDescent="0.2">
      <c r="A1760" s="5">
        <v>1699</v>
      </c>
      <c r="B1760" s="138">
        <f>'Tax Sched 23'!D4</f>
        <v>286878</v>
      </c>
      <c r="C1760" s="2" t="s">
        <v>573</v>
      </c>
      <c r="D1760" s="2" t="str">
        <f t="shared" si="26"/>
        <v>Error?</v>
      </c>
    </row>
    <row r="1761" spans="1:5" x14ac:dyDescent="0.2">
      <c r="A1761" s="5">
        <v>1700</v>
      </c>
      <c r="B1761" s="138">
        <f>'Tax Sched 23'!D5</f>
        <v>61060</v>
      </c>
      <c r="C1761" s="2" t="s">
        <v>573</v>
      </c>
      <c r="D1761" s="2" t="str">
        <f t="shared" si="26"/>
        <v>Error?</v>
      </c>
    </row>
    <row r="1762" spans="1:5" s="8" customFormat="1" x14ac:dyDescent="0.2">
      <c r="A1762" s="5">
        <v>1701</v>
      </c>
      <c r="B1762" s="138">
        <f>'Tax Sched 23'!D6</f>
        <v>29758</v>
      </c>
      <c r="C1762" s="2" t="s">
        <v>573</v>
      </c>
      <c r="D1762" s="2" t="str">
        <f t="shared" si="26"/>
        <v>Error?</v>
      </c>
      <c r="E1762" s="9"/>
    </row>
    <row r="1763" spans="1:5" x14ac:dyDescent="0.2">
      <c r="A1763" s="5">
        <v>1702</v>
      </c>
      <c r="B1763" s="138">
        <f>'Tax Sched 23'!D7</f>
        <v>28067</v>
      </c>
      <c r="C1763" s="2" t="s">
        <v>573</v>
      </c>
      <c r="D1763" s="2" t="str">
        <f t="shared" si="26"/>
        <v>Error?</v>
      </c>
    </row>
    <row r="1764" spans="1:5" x14ac:dyDescent="0.2">
      <c r="A1764" s="5">
        <v>1703</v>
      </c>
      <c r="B1764" s="138">
        <f>'Tax Sched 23'!D8</f>
        <v>28067</v>
      </c>
      <c r="C1764" s="2" t="s">
        <v>573</v>
      </c>
      <c r="D1764" s="2" t="str">
        <f t="shared" si="26"/>
        <v>Error?</v>
      </c>
    </row>
    <row r="1765" spans="1:5" x14ac:dyDescent="0.2">
      <c r="A1765" s="5">
        <v>1704</v>
      </c>
      <c r="B1765" s="138">
        <f>'Tax Sched 23'!D10</f>
        <v>9850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114238</v>
      </c>
      <c r="C1768" s="2" t="s">
        <v>573</v>
      </c>
      <c r="D1768" s="2" t="str">
        <f t="shared" si="26"/>
        <v>Error?</v>
      </c>
    </row>
    <row r="1769" spans="1:5" x14ac:dyDescent="0.2">
      <c r="A1769" s="5">
        <v>1708</v>
      </c>
      <c r="B1769" s="138">
        <f>'Tax Sched 23'!D12</f>
        <v>10833</v>
      </c>
      <c r="C1769" s="2" t="s">
        <v>573</v>
      </c>
      <c r="D1769" s="2" t="str">
        <f t="shared" si="26"/>
        <v>Error?</v>
      </c>
    </row>
    <row r="1770" spans="1:5" x14ac:dyDescent="0.2">
      <c r="A1770" s="5">
        <v>1709</v>
      </c>
      <c r="B1770" s="138">
        <f>'Tax Sched 23'!D14</f>
        <v>4728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576041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307783</v>
      </c>
      <c r="C1792" s="2" t="s">
        <v>573</v>
      </c>
      <c r="D1792" s="2" t="str">
        <f t="shared" si="27"/>
        <v>Error?</v>
      </c>
    </row>
    <row r="1793" spans="1:4" x14ac:dyDescent="0.2">
      <c r="A1793" s="5">
        <v>1732</v>
      </c>
      <c r="B1793" s="138">
        <f>'Tax Sched 23'!F5</f>
        <v>63956</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29478</v>
      </c>
      <c r="C1795" s="2" t="s">
        <v>573</v>
      </c>
      <c r="D1795" s="2" t="str">
        <f t="shared" si="27"/>
        <v>Error?</v>
      </c>
    </row>
    <row r="1796" spans="1:4" x14ac:dyDescent="0.2">
      <c r="A1796" s="5">
        <v>1735</v>
      </c>
      <c r="B1796" s="138">
        <f>'Tax Sched 23'!F8</f>
        <v>29478</v>
      </c>
      <c r="C1796" s="2" t="s">
        <v>573</v>
      </c>
      <c r="D1796" s="2" t="str">
        <f t="shared" si="27"/>
        <v>Error?</v>
      </c>
    </row>
    <row r="1797" spans="1:4" x14ac:dyDescent="0.2">
      <c r="A1797" s="5">
        <v>1736</v>
      </c>
      <c r="B1797" s="138">
        <f>'Tax Sched 23'!F10</f>
        <v>10494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115919</v>
      </c>
      <c r="C1800" s="2" t="s">
        <v>573</v>
      </c>
      <c r="D1800" s="2" t="str">
        <f t="shared" si="27"/>
        <v>Error?</v>
      </c>
    </row>
    <row r="1801" spans="1:4" x14ac:dyDescent="0.2">
      <c r="A1801" s="5">
        <v>1740</v>
      </c>
      <c r="B1801" s="138">
        <f>'Tax Sched 23'!F12</f>
        <v>10993</v>
      </c>
      <c r="C1801" s="2" t="s">
        <v>573</v>
      </c>
      <c r="D1801" s="2" t="str">
        <f t="shared" si="27"/>
        <v>Error?</v>
      </c>
    </row>
    <row r="1802" spans="1:4" x14ac:dyDescent="0.2">
      <c r="A1802" s="5">
        <v>1741</v>
      </c>
      <c r="B1802" s="138">
        <f>'Tax Sched 23'!F14</f>
        <v>4796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575896</v>
      </c>
      <c r="C1807" s="2" t="s">
        <v>573</v>
      </c>
      <c r="D1807" s="2" t="str">
        <f t="shared" si="27"/>
        <v>Error?</v>
      </c>
    </row>
    <row r="1808" spans="1:4" x14ac:dyDescent="0.2">
      <c r="A1808" s="5">
        <v>1747</v>
      </c>
      <c r="B1808" s="138">
        <f>'Tax Sched 23'!E4</f>
        <v>307783</v>
      </c>
      <c r="D1808" s="2" t="str">
        <f t="shared" si="27"/>
        <v>Error?</v>
      </c>
    </row>
    <row r="1809" spans="1:4" x14ac:dyDescent="0.2">
      <c r="A1809" s="5">
        <v>1748</v>
      </c>
      <c r="B1809" s="138">
        <f>'Tax Sched 23'!E5</f>
        <v>63956</v>
      </c>
      <c r="D1809" s="2" t="str">
        <f t="shared" si="27"/>
        <v>Error?</v>
      </c>
    </row>
    <row r="1810" spans="1:4" x14ac:dyDescent="0.2">
      <c r="A1810" s="5">
        <v>1749</v>
      </c>
      <c r="B1810" s="138">
        <f>'Tax Sched 23'!E6</f>
        <v>0</v>
      </c>
      <c r="D1810" s="2" t="str">
        <f t="shared" si="27"/>
        <v>Error?</v>
      </c>
    </row>
    <row r="1811" spans="1:4" x14ac:dyDescent="0.2">
      <c r="A1811" s="5">
        <v>1750</v>
      </c>
      <c r="B1811" s="138">
        <f>'Tax Sched 23'!E7</f>
        <v>29478</v>
      </c>
      <c r="D1811" s="2" t="str">
        <f t="shared" si="27"/>
        <v>Error?</v>
      </c>
    </row>
    <row r="1812" spans="1:4" x14ac:dyDescent="0.2">
      <c r="A1812" s="5">
        <v>1751</v>
      </c>
      <c r="B1812" s="138">
        <f>'Tax Sched 23'!E8</f>
        <v>29478</v>
      </c>
      <c r="D1812" s="2" t="str">
        <f t="shared" si="27"/>
        <v>Error?</v>
      </c>
    </row>
    <row r="1813" spans="1:4" x14ac:dyDescent="0.2">
      <c r="A1813" s="5">
        <v>1752</v>
      </c>
      <c r="B1813" s="138">
        <f>'Tax Sched 23'!E10</f>
        <v>10494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115919</v>
      </c>
      <c r="D1816" s="2" t="str">
        <f t="shared" si="27"/>
        <v>Error?</v>
      </c>
    </row>
    <row r="1817" spans="1:4" x14ac:dyDescent="0.2">
      <c r="A1817" s="5">
        <v>1756</v>
      </c>
      <c r="B1817" s="138">
        <f>'Tax Sched 23'!E12</f>
        <v>10993</v>
      </c>
      <c r="D1817" s="2" t="str">
        <f t="shared" si="27"/>
        <v>Error?</v>
      </c>
    </row>
    <row r="1818" spans="1:4" x14ac:dyDescent="0.2">
      <c r="A1818" s="5">
        <v>1757</v>
      </c>
      <c r="B1818" s="138">
        <f>'Tax Sched 23'!E14</f>
        <v>4796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575896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4728</v>
      </c>
      <c r="D1972" s="2" t="str">
        <f t="shared" si="29"/>
        <v>Error?</v>
      </c>
    </row>
    <row r="1973" spans="1:5" x14ac:dyDescent="0.2">
      <c r="A1973" s="5">
        <v>1912</v>
      </c>
      <c r="B1973" s="138">
        <f>'Rest Tax Levies-Tort Im 25'!H6</f>
        <v>14</v>
      </c>
      <c r="D1973" s="2" t="str">
        <f t="shared" si="29"/>
        <v>Error?</v>
      </c>
    </row>
    <row r="1974" spans="1:5" x14ac:dyDescent="0.2">
      <c r="A1974" s="5">
        <v>1913</v>
      </c>
      <c r="B1974" s="138">
        <f>'Rest Tax Levies-Tort Im 25'!H10</f>
        <v>40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4782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4782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11500</v>
      </c>
      <c r="D2008" s="2" t="str">
        <f t="shared" si="30"/>
        <v>Error?</v>
      </c>
    </row>
    <row r="2009" spans="1:4" x14ac:dyDescent="0.2">
      <c r="A2009" s="5">
        <v>1948</v>
      </c>
      <c r="B2009" s="138">
        <f>'Cap Outlay Deprec 26'!C8</f>
        <v>2139845</v>
      </c>
      <c r="D2009" s="2" t="str">
        <f t="shared" si="30"/>
        <v>Error?</v>
      </c>
    </row>
    <row r="2010" spans="1:4" x14ac:dyDescent="0.2">
      <c r="A2010" s="5">
        <v>1949</v>
      </c>
      <c r="B2010" s="138">
        <f>'Cap Outlay Deprec 26'!C10</f>
        <v>26234</v>
      </c>
      <c r="D2010" s="2" t="str">
        <f t="shared" si="30"/>
        <v>Error?</v>
      </c>
    </row>
    <row r="2011" spans="1:4" x14ac:dyDescent="0.2">
      <c r="A2011" s="5">
        <v>1950</v>
      </c>
      <c r="B2011" s="138">
        <f>'Cap Outlay Deprec 26'!C12</f>
        <v>656374</v>
      </c>
      <c r="D2011" s="2" t="str">
        <f t="shared" si="30"/>
        <v>Error?</v>
      </c>
    </row>
    <row r="2012" spans="1:4" x14ac:dyDescent="0.2">
      <c r="A2012" s="5">
        <v>1951</v>
      </c>
      <c r="B2012" s="138">
        <f>'Cap Outlay Deprec 26'!C13</f>
        <v>5157</v>
      </c>
      <c r="D2012" s="2" t="str">
        <f t="shared" si="30"/>
        <v>Error?</v>
      </c>
    </row>
    <row r="2013" spans="1:4" x14ac:dyDescent="0.2">
      <c r="A2013" s="5">
        <v>1952</v>
      </c>
      <c r="B2013" s="138">
        <f>'Cap Outlay Deprec 26'!C16</f>
        <v>2839110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59290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3962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63252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45684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45684</v>
      </c>
      <c r="C2025" s="2" t="s">
        <v>573</v>
      </c>
      <c r="D2025" s="2" t="str">
        <f t="shared" si="30"/>
        <v>Error?</v>
      </c>
    </row>
    <row r="2026" spans="1:4" x14ac:dyDescent="0.2">
      <c r="A2026" s="5">
        <v>1965</v>
      </c>
      <c r="B2026" s="138">
        <f>'Cap Outlay Deprec 26'!F5</f>
        <v>11500</v>
      </c>
      <c r="C2026" s="2" t="s">
        <v>573</v>
      </c>
      <c r="D2026" s="2" t="str">
        <f t="shared" si="30"/>
        <v>Error?</v>
      </c>
    </row>
    <row r="2027" spans="1:4" x14ac:dyDescent="0.2">
      <c r="A2027" s="5">
        <v>1966</v>
      </c>
      <c r="B2027" s="138">
        <f>'Cap Outlay Deprec 26'!F8</f>
        <v>2199135</v>
      </c>
      <c r="C2027" s="2" t="s">
        <v>573</v>
      </c>
      <c r="D2027" s="2" t="str">
        <f t="shared" si="30"/>
        <v>Error?</v>
      </c>
    </row>
    <row r="2028" spans="1:4" x14ac:dyDescent="0.2">
      <c r="A2028" s="5">
        <v>1967</v>
      </c>
      <c r="B2028" s="138">
        <f>'Cap Outlay Deprec 26'!F10</f>
        <v>26234</v>
      </c>
      <c r="C2028" s="2" t="s">
        <v>573</v>
      </c>
      <c r="D2028" s="2" t="str">
        <f t="shared" si="30"/>
        <v>Error?</v>
      </c>
    </row>
    <row r="2029" spans="1:4" x14ac:dyDescent="0.2">
      <c r="A2029" s="5">
        <v>1968</v>
      </c>
      <c r="B2029" s="138">
        <f>'Cap Outlay Deprec 26'!F12</f>
        <v>614652</v>
      </c>
      <c r="C2029" s="2" t="s">
        <v>573</v>
      </c>
      <c r="D2029" s="2" t="str">
        <f t="shared" si="30"/>
        <v>Error?</v>
      </c>
    </row>
    <row r="2030" spans="1:4" x14ac:dyDescent="0.2">
      <c r="A2030" s="5">
        <v>1969</v>
      </c>
      <c r="B2030" s="138">
        <f>'Cap Outlay Deprec 26'!F13</f>
        <v>5157</v>
      </c>
      <c r="C2030" s="2" t="s">
        <v>573</v>
      </c>
      <c r="D2030" s="2" t="str">
        <f t="shared" si="30"/>
        <v>Error?</v>
      </c>
    </row>
    <row r="2031" spans="1:4" x14ac:dyDescent="0.2">
      <c r="A2031" s="5">
        <v>1970</v>
      </c>
      <c r="B2031" s="138">
        <f>'Cap Outlay Deprec 26'!F16</f>
        <v>2856678</v>
      </c>
      <c r="C2031" s="2" t="s">
        <v>573</v>
      </c>
      <c r="D2031" s="2" t="str">
        <f t="shared" si="30"/>
        <v>Error?</v>
      </c>
    </row>
    <row r="2032" spans="1:4" x14ac:dyDescent="0.2">
      <c r="A2032" s="10">
        <v>1971</v>
      </c>
      <c r="D2032" s="2" t="str">
        <f t="shared" si="30"/>
        <v>OK</v>
      </c>
    </row>
    <row r="2033" spans="1:4" x14ac:dyDescent="0.2">
      <c r="A2033" s="5">
        <v>1972</v>
      </c>
      <c r="B2033" s="138">
        <f>'Cap Outlay Deprec 26'!H8</f>
        <v>1106721</v>
      </c>
      <c r="D2033" s="2" t="str">
        <f t="shared" si="30"/>
        <v>Error?</v>
      </c>
    </row>
    <row r="2034" spans="1:4" x14ac:dyDescent="0.2">
      <c r="A2034" s="5">
        <v>1973</v>
      </c>
      <c r="B2034" s="138">
        <f>'Cap Outlay Deprec 26'!H10</f>
        <v>24845</v>
      </c>
      <c r="D2034" s="2" t="str">
        <f t="shared" si="30"/>
        <v>Error?</v>
      </c>
    </row>
    <row r="2035" spans="1:4" x14ac:dyDescent="0.2">
      <c r="A2035" s="5">
        <v>1974</v>
      </c>
      <c r="B2035" s="138">
        <f>'Cap Outlay Deprec 26'!H12</f>
        <v>520185</v>
      </c>
      <c r="D2035" s="2" t="str">
        <f t="shared" si="30"/>
        <v>Error?</v>
      </c>
    </row>
    <row r="2036" spans="1:4" x14ac:dyDescent="0.2">
      <c r="A2036" s="5">
        <v>1975</v>
      </c>
      <c r="B2036" s="138">
        <f>'Cap Outlay Deprec 26'!H13</f>
        <v>1891</v>
      </c>
      <c r="D2036" s="2" t="str">
        <f t="shared" si="30"/>
        <v>Error?</v>
      </c>
    </row>
    <row r="2037" spans="1:4" x14ac:dyDescent="0.2">
      <c r="A2037" s="5">
        <v>1976</v>
      </c>
      <c r="B2037" s="138">
        <f>'Cap Outlay Deprec 26'!H16</f>
        <v>1653642</v>
      </c>
      <c r="C2037" s="2" t="s">
        <v>573</v>
      </c>
      <c r="D2037" s="2" t="str">
        <f t="shared" si="30"/>
        <v>Error?</v>
      </c>
    </row>
    <row r="2038" spans="1:4" x14ac:dyDescent="0.2">
      <c r="A2038" s="10">
        <v>1977</v>
      </c>
      <c r="D2038" s="2" t="str">
        <f t="shared" si="30"/>
        <v>OK</v>
      </c>
    </row>
    <row r="2039" spans="1:4" x14ac:dyDescent="0.2">
      <c r="A2039" s="5">
        <v>1978</v>
      </c>
      <c r="B2039" s="138">
        <f>'Cap Outlay Deprec 26'!I8</f>
        <v>30593</v>
      </c>
      <c r="D2039" s="2" t="str">
        <f t="shared" si="30"/>
        <v>Error?</v>
      </c>
    </row>
    <row r="2040" spans="1:4" x14ac:dyDescent="0.2">
      <c r="A2040" s="5">
        <v>1979</v>
      </c>
      <c r="B2040" s="138">
        <f>'Cap Outlay Deprec 26'!I10</f>
        <v>285</v>
      </c>
      <c r="D2040" s="2" t="str">
        <f t="shared" si="30"/>
        <v>Error?</v>
      </c>
    </row>
    <row r="2041" spans="1:4" x14ac:dyDescent="0.2">
      <c r="A2041" s="5">
        <v>1980</v>
      </c>
      <c r="B2041" s="138">
        <f>'Cap Outlay Deprec 26'!I12</f>
        <v>25526</v>
      </c>
      <c r="D2041" s="2" t="str">
        <f t="shared" si="30"/>
        <v>Error?</v>
      </c>
    </row>
    <row r="2042" spans="1:4" x14ac:dyDescent="0.2">
      <c r="A2042" s="5">
        <v>1981</v>
      </c>
      <c r="B2042" s="138">
        <f>'Cap Outlay Deprec 26'!I13</f>
        <v>1031</v>
      </c>
      <c r="D2042" s="2" t="str">
        <f t="shared" si="30"/>
        <v>Error?</v>
      </c>
    </row>
    <row r="2043" spans="1:4" x14ac:dyDescent="0.2">
      <c r="A2043" s="5">
        <v>1982</v>
      </c>
      <c r="B2043" s="138">
        <f>'Cap Outlay Deprec 26'!I16</f>
        <v>57435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44628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44628</v>
      </c>
      <c r="C2049" s="2" t="s">
        <v>573</v>
      </c>
      <c r="D2049" s="2" t="str">
        <f t="shared" si="31"/>
        <v>Error?</v>
      </c>
    </row>
    <row r="2050" spans="1:4" x14ac:dyDescent="0.2">
      <c r="A2050" s="10">
        <v>1989</v>
      </c>
      <c r="D2050" s="2" t="str">
        <f t="shared" si="31"/>
        <v>OK</v>
      </c>
    </row>
    <row r="2051" spans="1:4" x14ac:dyDescent="0.2">
      <c r="A2051" s="5">
        <v>1990</v>
      </c>
      <c r="B2051" s="138">
        <f>'Cap Outlay Deprec 26'!K8</f>
        <v>1137314</v>
      </c>
      <c r="C2051" s="2" t="s">
        <v>573</v>
      </c>
      <c r="D2051" s="2" t="str">
        <f t="shared" si="31"/>
        <v>Error?</v>
      </c>
    </row>
    <row r="2052" spans="1:4" x14ac:dyDescent="0.2">
      <c r="A2052" s="5">
        <v>1991</v>
      </c>
      <c r="B2052" s="138">
        <f>'Cap Outlay Deprec 26'!K10</f>
        <v>25130</v>
      </c>
      <c r="C2052" s="2" t="s">
        <v>573</v>
      </c>
      <c r="D2052" s="2" t="str">
        <f t="shared" si="31"/>
        <v>Error?</v>
      </c>
    </row>
    <row r="2053" spans="1:4" x14ac:dyDescent="0.2">
      <c r="A2053" s="5">
        <v>1992</v>
      </c>
      <c r="B2053" s="138">
        <f>'Cap Outlay Deprec 26'!K12</f>
        <v>501083</v>
      </c>
      <c r="C2053" s="2" t="s">
        <v>573</v>
      </c>
      <c r="D2053" s="2" t="str">
        <f t="shared" si="31"/>
        <v>Error?</v>
      </c>
    </row>
    <row r="2054" spans="1:4" x14ac:dyDescent="0.2">
      <c r="A2054" s="5">
        <v>1993</v>
      </c>
      <c r="B2054" s="138">
        <f>'Cap Outlay Deprec 26'!K13</f>
        <v>2922</v>
      </c>
      <c r="C2054" s="2" t="s">
        <v>573</v>
      </c>
      <c r="D2054" s="2" t="str">
        <f t="shared" si="31"/>
        <v>Error?</v>
      </c>
    </row>
    <row r="2055" spans="1:4" x14ac:dyDescent="0.2">
      <c r="A2055" s="5">
        <v>1994</v>
      </c>
      <c r="B2055" s="138">
        <f>'Cap Outlay Deprec 26'!K16</f>
        <v>1666449</v>
      </c>
      <c r="C2055" s="2" t="s">
        <v>573</v>
      </c>
      <c r="D2055" s="2" t="str">
        <f t="shared" si="31"/>
        <v>Error?</v>
      </c>
    </row>
    <row r="2056" spans="1:4" x14ac:dyDescent="0.2">
      <c r="A2056" s="5">
        <v>1995</v>
      </c>
      <c r="B2056" s="138">
        <f>'Cap Outlay Deprec 26'!L5</f>
        <v>11500</v>
      </c>
      <c r="C2056" s="2" t="s">
        <v>573</v>
      </c>
      <c r="D2056" s="2" t="str">
        <f t="shared" si="31"/>
        <v>Error?</v>
      </c>
    </row>
    <row r="2057" spans="1:4" x14ac:dyDescent="0.2">
      <c r="A2057" s="5">
        <v>1996</v>
      </c>
      <c r="B2057" s="138">
        <f>'Cap Outlay Deprec 26'!L8</f>
        <v>1061821</v>
      </c>
      <c r="C2057" s="2" t="s">
        <v>573</v>
      </c>
      <c r="D2057" s="2" t="str">
        <f t="shared" si="31"/>
        <v>Error?</v>
      </c>
    </row>
    <row r="2058" spans="1:4" x14ac:dyDescent="0.2">
      <c r="A2058" s="5">
        <v>1997</v>
      </c>
      <c r="B2058" s="138">
        <f>'Cap Outlay Deprec 26'!L10</f>
        <v>1104</v>
      </c>
      <c r="C2058" s="2" t="s">
        <v>573</v>
      </c>
      <c r="D2058" s="2" t="str">
        <f t="shared" si="31"/>
        <v>Error?</v>
      </c>
    </row>
    <row r="2059" spans="1:4" x14ac:dyDescent="0.2">
      <c r="A2059" s="5">
        <v>1998</v>
      </c>
      <c r="B2059" s="138">
        <f>'Cap Outlay Deprec 26'!L12</f>
        <v>113569</v>
      </c>
      <c r="C2059" s="2" t="s">
        <v>573</v>
      </c>
      <c r="D2059" s="2" t="str">
        <f t="shared" si="31"/>
        <v>Error?</v>
      </c>
    </row>
    <row r="2060" spans="1:4" x14ac:dyDescent="0.2">
      <c r="A2060" s="5">
        <v>1999</v>
      </c>
      <c r="B2060" s="138">
        <f>'Cap Outlay Deprec 26'!L13</f>
        <v>2235</v>
      </c>
      <c r="C2060" s="2" t="s">
        <v>573</v>
      </c>
      <c r="D2060" s="2" t="str">
        <f t="shared" si="31"/>
        <v>Error?</v>
      </c>
    </row>
    <row r="2061" spans="1:4" x14ac:dyDescent="0.2">
      <c r="A2061" s="5">
        <v>2000</v>
      </c>
      <c r="B2061" s="138">
        <f>'Cap Outlay Deprec 26'!L16</f>
        <v>1190229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20226</v>
      </c>
      <c r="C2088" s="2" t="s">
        <v>573</v>
      </c>
      <c r="D2088" s="2" t="str">
        <f t="shared" si="31"/>
        <v>Error?</v>
      </c>
    </row>
    <row r="2089" spans="1:4" x14ac:dyDescent="0.2">
      <c r="A2089" s="5">
        <v>2028</v>
      </c>
      <c r="B2089" s="138">
        <f>'Expenditures 15-22'!K92</f>
        <v>24735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10039</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2042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431543</v>
      </c>
      <c r="C2551" s="2" t="s">
        <v>573</v>
      </c>
      <c r="D2551" s="2" t="str">
        <f t="shared" si="38"/>
        <v>Error?</v>
      </c>
    </row>
    <row r="2552" spans="1:4" x14ac:dyDescent="0.2">
      <c r="A2552" s="10">
        <v>2491</v>
      </c>
      <c r="D2552" s="2" t="str">
        <f t="shared" si="38"/>
        <v>OK</v>
      </c>
    </row>
    <row r="2553" spans="1:4" x14ac:dyDescent="0.2">
      <c r="A2553" s="5">
        <v>2492</v>
      </c>
      <c r="B2553" s="138">
        <f>'Acct Summary 7-8'!C6</f>
        <v>721027</v>
      </c>
      <c r="C2553" s="2" t="s">
        <v>573</v>
      </c>
      <c r="D2553" s="2" t="str">
        <f t="shared" si="38"/>
        <v>Error?</v>
      </c>
    </row>
    <row r="2554" spans="1:4" x14ac:dyDescent="0.2">
      <c r="A2554" s="5">
        <v>2493</v>
      </c>
      <c r="B2554" s="138">
        <f>'Acct Summary 7-8'!C7</f>
        <v>272675</v>
      </c>
      <c r="C2554" s="2" t="s">
        <v>573</v>
      </c>
      <c r="D2554" s="2" t="str">
        <f t="shared" si="38"/>
        <v>Error?</v>
      </c>
    </row>
    <row r="2555" spans="1:4" x14ac:dyDescent="0.2">
      <c r="A2555" s="5">
        <v>2494</v>
      </c>
      <c r="B2555" s="138">
        <f>'Acct Summary 7-8'!C8</f>
        <v>1425245</v>
      </c>
      <c r="C2555" s="2" t="s">
        <v>573</v>
      </c>
      <c r="D2555" s="2" t="str">
        <f t="shared" si="38"/>
        <v>Error?</v>
      </c>
    </row>
    <row r="2556" spans="1:4" x14ac:dyDescent="0.2">
      <c r="A2556" s="5">
        <v>2495</v>
      </c>
      <c r="B2556" s="138">
        <f>'Acct Summary 7-8'!C12</f>
        <v>982231</v>
      </c>
      <c r="C2556" s="2" t="s">
        <v>573</v>
      </c>
      <c r="D2556" s="2" t="str">
        <f t="shared" si="38"/>
        <v>Error?</v>
      </c>
    </row>
    <row r="2557" spans="1:4" x14ac:dyDescent="0.2">
      <c r="A2557" s="5">
        <v>2496</v>
      </c>
      <c r="B2557" s="138">
        <f>'Acct Summary 7-8'!C13</f>
        <v>295215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44961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1322407</v>
      </c>
      <c r="C2561" s="2" t="s">
        <v>573</v>
      </c>
      <c r="D2561" s="2" t="str">
        <f t="shared" si="39"/>
        <v>Error?</v>
      </c>
    </row>
    <row r="2562" spans="1:4" x14ac:dyDescent="0.2">
      <c r="A2562" s="5">
        <v>2501</v>
      </c>
      <c r="B2562" s="138">
        <f>'Acct Summary 7-8'!C20</f>
        <v>102838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66793</v>
      </c>
      <c r="C2564" s="2" t="s">
        <v>573</v>
      </c>
      <c r="D2564" s="2" t="str">
        <f t="shared" si="39"/>
        <v>Error?</v>
      </c>
    </row>
    <row r="2565" spans="1:4" x14ac:dyDescent="0.2">
      <c r="A2565" s="10">
        <v>2504</v>
      </c>
      <c r="D2565" s="2" t="str">
        <f t="shared" si="39"/>
        <v>OK</v>
      </c>
    </row>
    <row r="2566" spans="1:4" x14ac:dyDescent="0.2">
      <c r="A2566" s="5">
        <v>2505</v>
      </c>
      <c r="B2566" s="138">
        <f>'Acct Summary 7-8'!D6</f>
        <v>7000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73793</v>
      </c>
      <c r="C2568" s="2" t="s">
        <v>573</v>
      </c>
      <c r="D2568" s="2" t="str">
        <f t="shared" si="39"/>
        <v>Error?</v>
      </c>
    </row>
    <row r="2569" spans="1:4" x14ac:dyDescent="0.2">
      <c r="A2569" s="5">
        <v>2508</v>
      </c>
      <c r="B2569" s="138">
        <f>'Acct Summary 7-8'!D13</f>
        <v>95979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95979</v>
      </c>
      <c r="C2573" s="2" t="s">
        <v>573</v>
      </c>
      <c r="D2573" s="2" t="str">
        <f t="shared" si="39"/>
        <v>Error?</v>
      </c>
    </row>
    <row r="2574" spans="1:4" x14ac:dyDescent="0.2">
      <c r="A2574" s="5">
        <v>2513</v>
      </c>
      <c r="B2574" s="138">
        <f>'Acct Summary 7-8'!D20</f>
        <v>-22186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28749</v>
      </c>
      <c r="C2591" s="2" t="s">
        <v>573</v>
      </c>
      <c r="D2591" s="2" t="str">
        <f t="shared" si="39"/>
        <v>Error?</v>
      </c>
    </row>
    <row r="2592" spans="1:4" x14ac:dyDescent="0.2">
      <c r="A2592" s="10">
        <v>2531</v>
      </c>
      <c r="D2592" s="2" t="str">
        <f t="shared" si="39"/>
        <v>OK</v>
      </c>
    </row>
    <row r="2593" spans="1:4" x14ac:dyDescent="0.2">
      <c r="A2593" s="5">
        <v>2532</v>
      </c>
      <c r="B2593" s="138">
        <f>'Acct Summary 7-8'!F6</f>
        <v>39086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67835</v>
      </c>
      <c r="C2595" s="2" t="s">
        <v>573</v>
      </c>
      <c r="D2595" s="2" t="str">
        <f t="shared" si="39"/>
        <v>Error?</v>
      </c>
    </row>
    <row r="2596" spans="1:4" x14ac:dyDescent="0.2">
      <c r="A2596" s="5">
        <v>2535</v>
      </c>
      <c r="B2596" s="138">
        <f>'Acct Summary 7-8'!F13</f>
        <v>54123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54123</v>
      </c>
      <c r="C2600" s="2" t="s">
        <v>573</v>
      </c>
      <c r="D2600" s="2" t="str">
        <f t="shared" si="39"/>
        <v>Error?</v>
      </c>
    </row>
    <row r="2601" spans="1:4" x14ac:dyDescent="0.2">
      <c r="A2601" s="5">
        <v>2540</v>
      </c>
      <c r="B2601" s="138">
        <f>'Acct Summary 7-8'!F20</f>
        <v>13712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51242</v>
      </c>
      <c r="C2603" s="2" t="s">
        <v>573</v>
      </c>
      <c r="D2603" s="2" t="str">
        <f t="shared" si="39"/>
        <v>Error?</v>
      </c>
    </row>
    <row r="2604" spans="1:4" x14ac:dyDescent="0.2">
      <c r="A2604" s="5">
        <v>2543</v>
      </c>
      <c r="B2604" s="138">
        <f>'Acct Summary 7-8'!G6</f>
        <v>860</v>
      </c>
      <c r="C2604" s="2" t="s">
        <v>573</v>
      </c>
      <c r="D2604" s="2" t="str">
        <f t="shared" si="39"/>
        <v>Error?</v>
      </c>
    </row>
    <row r="2605" spans="1:4" x14ac:dyDescent="0.2">
      <c r="A2605" s="5">
        <v>2544</v>
      </c>
      <c r="B2605" s="138">
        <f>'Acct Summary 7-8'!G7</f>
        <v>3559</v>
      </c>
      <c r="C2605" s="2" t="s">
        <v>573</v>
      </c>
      <c r="D2605" s="2" t="str">
        <f t="shared" si="39"/>
        <v>Error?</v>
      </c>
    </row>
    <row r="2606" spans="1:4" x14ac:dyDescent="0.2">
      <c r="A2606" s="5">
        <v>2545</v>
      </c>
      <c r="B2606" s="138">
        <f>'Acct Summary 7-8'!G8</f>
        <v>55661</v>
      </c>
      <c r="C2606" s="2" t="s">
        <v>573</v>
      </c>
      <c r="D2606" s="2" t="str">
        <f t="shared" si="39"/>
        <v>Error?</v>
      </c>
    </row>
    <row r="2607" spans="1:4" x14ac:dyDescent="0.2">
      <c r="A2607" s="5">
        <v>2546</v>
      </c>
      <c r="B2607" s="138">
        <f>'Acct Summary 7-8'!G12</f>
        <v>33469</v>
      </c>
      <c r="C2607" s="2" t="s">
        <v>573</v>
      </c>
      <c r="D2607" s="2" t="str">
        <f t="shared" si="39"/>
        <v>Error?</v>
      </c>
    </row>
    <row r="2608" spans="1:4" x14ac:dyDescent="0.2">
      <c r="A2608" s="5">
        <v>2547</v>
      </c>
      <c r="B2608" s="138">
        <f>'Acct Summary 7-8'!G13</f>
        <v>28218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61687</v>
      </c>
      <c r="C2612" s="2" t="s">
        <v>573</v>
      </c>
      <c r="D2612" s="2" t="str">
        <f t="shared" si="39"/>
        <v>Error?</v>
      </c>
    </row>
    <row r="2613" spans="1:4" x14ac:dyDescent="0.2">
      <c r="A2613" s="5">
        <v>2552</v>
      </c>
      <c r="B2613" s="138">
        <f>'Acct Summary 7-8'!G20</f>
        <v>-6026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30229</v>
      </c>
      <c r="C2630" s="2" t="s">
        <v>573</v>
      </c>
      <c r="D2630" s="2" t="str">
        <f t="shared" si="40"/>
        <v>Error?</v>
      </c>
    </row>
    <row r="2631" spans="1:4" x14ac:dyDescent="0.2">
      <c r="A2631" s="5">
        <v>2570</v>
      </c>
      <c r="B2631" s="138">
        <f>'Acct Summary 7-8'!E6</f>
        <v>25700</v>
      </c>
      <c r="C2631" s="2" t="s">
        <v>573</v>
      </c>
      <c r="D2631" s="2" t="str">
        <f t="shared" si="40"/>
        <v>Error?</v>
      </c>
    </row>
    <row r="2632" spans="1:4" x14ac:dyDescent="0.2">
      <c r="A2632" s="5">
        <v>2571</v>
      </c>
      <c r="B2632" s="138">
        <f>'Acct Summary 7-8'!E8</f>
        <v>55929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55010</v>
      </c>
      <c r="C2634" s="2" t="s">
        <v>573</v>
      </c>
      <c r="D2634" s="2" t="str">
        <f t="shared" si="40"/>
        <v>Error?</v>
      </c>
    </row>
    <row r="2635" spans="1:4" x14ac:dyDescent="0.2">
      <c r="A2635" s="5">
        <v>2574</v>
      </c>
      <c r="B2635" s="138">
        <f>'Acct Summary 7-8'!E17</f>
        <v>55010</v>
      </c>
      <c r="C2635" s="2" t="s">
        <v>573</v>
      </c>
      <c r="D2635" s="2" t="str">
        <f t="shared" si="40"/>
        <v>Error?</v>
      </c>
    </row>
    <row r="2636" spans="1:4" x14ac:dyDescent="0.2">
      <c r="A2636" s="5">
        <v>2575</v>
      </c>
      <c r="B2636" s="138">
        <f>'Acct Summary 7-8'!E20</f>
        <v>919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126</v>
      </c>
      <c r="C2655" s="2" t="s">
        <v>573</v>
      </c>
      <c r="D2655" s="2" t="str">
        <f t="shared" si="40"/>
        <v>Error?</v>
      </c>
    </row>
    <row r="2656" spans="1:4" x14ac:dyDescent="0.2">
      <c r="A2656" s="5">
        <v>2595</v>
      </c>
      <c r="B2656" s="138">
        <f>'Acct Summary 7-8'!H6</f>
        <v>52995</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53121</v>
      </c>
      <c r="C2658" s="2" t="s">
        <v>573</v>
      </c>
      <c r="D2658" s="2" t="str">
        <f t="shared" si="40"/>
        <v>Error?</v>
      </c>
    </row>
    <row r="2659" spans="1:4" x14ac:dyDescent="0.2">
      <c r="A2659" s="5">
        <v>2598</v>
      </c>
      <c r="B2659" s="138">
        <f>'Acct Summary 7-8'!H13</f>
        <v>53115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53115</v>
      </c>
      <c r="C2661" s="2" t="s">
        <v>573</v>
      </c>
      <c r="D2661" s="2" t="str">
        <f t="shared" si="40"/>
        <v>Error?</v>
      </c>
    </row>
    <row r="2662" spans="1:4" x14ac:dyDescent="0.2">
      <c r="A2662" s="5">
        <v>2601</v>
      </c>
      <c r="B2662" s="138">
        <f>'Acct Summary 7-8'!H20</f>
        <v>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20226</v>
      </c>
      <c r="C2789" s="2" t="s">
        <v>573</v>
      </c>
      <c r="D2789" s="2" t="str">
        <f t="shared" si="42"/>
        <v>Error?</v>
      </c>
    </row>
    <row r="2790" spans="1:4" x14ac:dyDescent="0.2">
      <c r="A2790" s="5">
        <v>2729</v>
      </c>
      <c r="B2790" s="138">
        <f>'Expenditures 15-22'!E102</f>
        <v>20226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27983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27983</v>
      </c>
      <c r="D2914" s="2" t="str">
        <f t="shared" si="44"/>
        <v>Error?</v>
      </c>
    </row>
    <row r="2915" spans="1:4" x14ac:dyDescent="0.2">
      <c r="A2915" s="10">
        <v>2854</v>
      </c>
      <c r="D2915" s="2" t="str">
        <f t="shared" si="44"/>
        <v>OK</v>
      </c>
    </row>
    <row r="2916" spans="1:4" x14ac:dyDescent="0.2">
      <c r="A2916" s="5">
        <v>2855</v>
      </c>
      <c r="B2916" s="138">
        <f>'Assets-Liab 5-6'!L34</f>
        <v>27983</v>
      </c>
      <c r="C2916" s="2" t="s">
        <v>573</v>
      </c>
      <c r="D2916" s="2" t="str">
        <f t="shared" si="44"/>
        <v>Error?</v>
      </c>
    </row>
    <row r="2917" spans="1:4" x14ac:dyDescent="0.2">
      <c r="A2917" s="5">
        <v>2856</v>
      </c>
      <c r="B2917" s="138">
        <f>'Assets-Liab 5-6'!L41</f>
        <v>27983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17508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2718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17508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2718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66188</v>
      </c>
      <c r="D3055" s="2" t="str">
        <f t="shared" si="46"/>
        <v>Error?</v>
      </c>
    </row>
    <row r="3056" spans="1:4" x14ac:dyDescent="0.2">
      <c r="A3056" s="5">
        <v>2995</v>
      </c>
      <c r="B3056" s="138">
        <f>'Expenditures 15-22'!D10</f>
        <v>1720</v>
      </c>
      <c r="D3056" s="2" t="str">
        <f t="shared" si="46"/>
        <v>Error?</v>
      </c>
    </row>
    <row r="3057" spans="1:4" x14ac:dyDescent="0.2">
      <c r="A3057" s="5">
        <v>2996</v>
      </c>
      <c r="B3057" s="138">
        <f>'Expenditures 15-22'!E10</f>
        <v>5102</v>
      </c>
      <c r="D3057" s="2" t="str">
        <f t="shared" si="46"/>
        <v>Error?</v>
      </c>
    </row>
    <row r="3058" spans="1:4" x14ac:dyDescent="0.2">
      <c r="A3058" s="5">
        <v>2997</v>
      </c>
      <c r="B3058" s="138">
        <f>'Expenditures 15-22'!F10</f>
        <v>11362</v>
      </c>
      <c r="D3058" s="2" t="str">
        <f t="shared" si="46"/>
        <v>Error?</v>
      </c>
    </row>
    <row r="3059" spans="1:4" x14ac:dyDescent="0.2">
      <c r="A3059" s="5">
        <v>2998</v>
      </c>
      <c r="B3059" s="138">
        <f>'Expenditures 15-22'!G10</f>
        <v>2458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86830</v>
      </c>
      <c r="C3062" s="2" t="s">
        <v>573</v>
      </c>
      <c r="D3062" s="2" t="str">
        <f t="shared" si="46"/>
        <v>Error?</v>
      </c>
    </row>
    <row r="3063" spans="1:4" x14ac:dyDescent="0.2">
      <c r="A3063" s="10">
        <v>3002</v>
      </c>
      <c r="D3063" s="2" t="str">
        <f t="shared" si="46"/>
        <v>OK</v>
      </c>
    </row>
    <row r="3064" spans="1:4" x14ac:dyDescent="0.2">
      <c r="A3064" s="5">
        <v>3003</v>
      </c>
      <c r="B3064" s="138">
        <f>'Expenditures 15-22'!D219</f>
        <v>8959</v>
      </c>
      <c r="D3064" s="2" t="str">
        <f t="shared" si="46"/>
        <v>Error?</v>
      </c>
    </row>
    <row r="3065" spans="1:4" x14ac:dyDescent="0.2">
      <c r="A3065" s="5">
        <v>3004</v>
      </c>
      <c r="B3065" s="138">
        <f>'Expenditures 15-22'!K219</f>
        <v>8959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10039</v>
      </c>
      <c r="C3225" s="2" t="s">
        <v>573</v>
      </c>
      <c r="D3225" s="2" t="str">
        <f t="shared" si="49"/>
        <v>Error?</v>
      </c>
    </row>
    <row r="3226" spans="1:4" x14ac:dyDescent="0.2">
      <c r="A3226" s="5">
        <v>3165</v>
      </c>
      <c r="B3226" s="138">
        <f>'Acct Summary 7-8'!I8</f>
        <v>10039</v>
      </c>
      <c r="C3226" s="2" t="s">
        <v>573</v>
      </c>
      <c r="D3226" s="2" t="str">
        <f t="shared" si="49"/>
        <v>Error?</v>
      </c>
    </row>
    <row r="3227" spans="1:4" x14ac:dyDescent="0.2">
      <c r="A3227" s="5">
        <v>3166</v>
      </c>
      <c r="B3227" s="138">
        <f>'Acct Summary 7-8'!I20</f>
        <v>10039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10039</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10039</v>
      </c>
      <c r="C3232" s="2" t="s">
        <v>573</v>
      </c>
      <c r="D3232" s="2" t="str">
        <f t="shared" si="49"/>
        <v>Error?</v>
      </c>
    </row>
    <row r="3233" spans="1:4" x14ac:dyDescent="0.2">
      <c r="A3233" s="5">
        <v>3172</v>
      </c>
      <c r="B3233" s="138">
        <f>'Acct Summary 7-8'!C78</f>
        <v>112877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-22186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13712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-6026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919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10039</v>
      </c>
      <c r="C3318" s="2" t="s">
        <v>573</v>
      </c>
      <c r="D3318" s="2" t="str">
        <f t="shared" si="50"/>
        <v>Error?</v>
      </c>
    </row>
    <row r="3319" spans="1:4" x14ac:dyDescent="0.2">
      <c r="A3319" s="5">
        <v>3258</v>
      </c>
      <c r="B3319" s="138">
        <f>'Acct Summary 7-8'!I77</f>
        <v>-10039</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170686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13143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5546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189375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9974</v>
      </c>
      <c r="D3387" s="2" t="str">
        <f t="shared" si="51"/>
        <v>Error?</v>
      </c>
    </row>
    <row r="3388" spans="1:4" x14ac:dyDescent="0.2">
      <c r="A3388" s="5">
        <v>3327</v>
      </c>
      <c r="B3388" s="138">
        <f>'Expenditures 15-22'!D217</f>
        <v>13339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9974</v>
      </c>
      <c r="C3390" s="2" t="s">
        <v>573</v>
      </c>
      <c r="D3390" s="2" t="str">
        <f t="shared" si="51"/>
        <v>Error?</v>
      </c>
    </row>
    <row r="3391" spans="1:4" x14ac:dyDescent="0.2">
      <c r="A3391" s="5">
        <v>3330</v>
      </c>
      <c r="B3391" s="138">
        <f>'Expenditures 15-22'!K217</f>
        <v>13339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1063271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26469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13869</v>
      </c>
      <c r="D3417" s="2" t="str">
        <f t="shared" si="52"/>
        <v>Error?</v>
      </c>
    </row>
    <row r="3418" spans="1:4" x14ac:dyDescent="0.2">
      <c r="A3418" s="10">
        <v>3357</v>
      </c>
      <c r="D3418" s="2" t="str">
        <f t="shared" si="52"/>
        <v>OK</v>
      </c>
    </row>
    <row r="3419" spans="1:4" x14ac:dyDescent="0.2">
      <c r="A3419" s="5">
        <v>3358</v>
      </c>
      <c r="B3419" s="138">
        <f>'Assets-Liab 5-6'!F4</f>
        <v>44271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26485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27983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2562</v>
      </c>
      <c r="C3446" s="2" t="s">
        <v>573</v>
      </c>
      <c r="D3446" s="2" t="str">
        <f t="shared" si="52"/>
        <v>Error?</v>
      </c>
    </row>
    <row r="3447" spans="1:4" x14ac:dyDescent="0.2">
      <c r="A3447" s="5">
        <v>3386</v>
      </c>
      <c r="B3447" s="138">
        <f>'Tax Sched 23'!D16</f>
        <v>2562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2999</v>
      </c>
      <c r="C3449" s="2" t="s">
        <v>573</v>
      </c>
      <c r="D3449" s="2" t="str">
        <f t="shared" si="52"/>
        <v>Error?</v>
      </c>
    </row>
    <row r="3450" spans="1:4" x14ac:dyDescent="0.2">
      <c r="A3450" s="5">
        <v>3389</v>
      </c>
      <c r="B3450" s="138">
        <f>'Tax Sched 23'!E16</f>
        <v>2999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54388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54388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54388</v>
      </c>
      <c r="D3567" s="2" t="str">
        <f t="shared" si="54"/>
        <v>Error?</v>
      </c>
    </row>
    <row r="3568" spans="1:4" x14ac:dyDescent="0.2">
      <c r="A3568" s="5">
        <v>3507</v>
      </c>
      <c r="B3568" s="138">
        <f>'Assets-Liab 5-6'!K41</f>
        <v>54388</v>
      </c>
      <c r="C3568" s="2" t="s">
        <v>573</v>
      </c>
      <c r="D3568" s="2" t="str">
        <f t="shared" si="54"/>
        <v>Error?</v>
      </c>
    </row>
    <row r="3569" spans="1:4" x14ac:dyDescent="0.2">
      <c r="A3569" s="5">
        <v>3508</v>
      </c>
      <c r="B3569" s="138">
        <f>'Acct Summary 7-8'!K4</f>
        <v>11566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11566</v>
      </c>
      <c r="C3571" s="2" t="s">
        <v>573</v>
      </c>
      <c r="D3571" s="2" t="str">
        <f t="shared" si="54"/>
        <v>Error?</v>
      </c>
    </row>
    <row r="3572" spans="1:4" x14ac:dyDescent="0.2">
      <c r="A3572" s="5">
        <v>3511</v>
      </c>
      <c r="B3572" s="138">
        <f>'Acct Summary 7-8'!K13</f>
        <v>23347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23347</v>
      </c>
      <c r="C3575" s="2" t="s">
        <v>573</v>
      </c>
      <c r="D3575" s="2" t="str">
        <f t="shared" si="54"/>
        <v>Error?</v>
      </c>
    </row>
    <row r="3576" spans="1:4" x14ac:dyDescent="0.2">
      <c r="A3576" s="5">
        <v>3515</v>
      </c>
      <c r="B3576" s="138">
        <f>'Acct Summary 7-8'!K20</f>
        <v>-11781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-11781</v>
      </c>
      <c r="C3588" s="2" t="s">
        <v>573</v>
      </c>
      <c r="D3588" s="2" t="str">
        <f t="shared" si="55"/>
        <v>Error?</v>
      </c>
    </row>
    <row r="3589" spans="1:4" x14ac:dyDescent="0.2">
      <c r="A3589" s="5">
        <v>3528</v>
      </c>
      <c r="B3589" s="138">
        <f>'Acct Summary 7-8'!K79</f>
        <v>66169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54388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16431</v>
      </c>
      <c r="D3631" s="2" t="str">
        <f t="shared" si="55"/>
        <v>Error?</v>
      </c>
    </row>
    <row r="3632" spans="1:4" x14ac:dyDescent="0.2">
      <c r="A3632" s="5">
        <v>3571</v>
      </c>
      <c r="B3632" s="138">
        <f>'Expenditures 15-22'!E349</f>
        <v>273</v>
      </c>
      <c r="D3632" s="2" t="str">
        <f t="shared" si="55"/>
        <v>Error?</v>
      </c>
    </row>
    <row r="3633" spans="1:4" x14ac:dyDescent="0.2">
      <c r="A3633" s="5">
        <v>3572</v>
      </c>
      <c r="B3633" s="138">
        <f>'Expenditures 15-22'!E350</f>
        <v>16704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16704</v>
      </c>
      <c r="C3636" s="2" t="s">
        <v>573</v>
      </c>
      <c r="D3636" s="2" t="str">
        <f t="shared" si="55"/>
        <v>Error?</v>
      </c>
    </row>
    <row r="3637" spans="1:4" x14ac:dyDescent="0.2">
      <c r="A3637" s="10">
        <v>3576</v>
      </c>
      <c r="D3637" s="2" t="str">
        <f t="shared" si="55"/>
        <v>OK</v>
      </c>
    </row>
    <row r="3638" spans="1:4" x14ac:dyDescent="0.2">
      <c r="A3638" s="5">
        <v>3577</v>
      </c>
      <c r="B3638" s="138">
        <f>'Expenditures 15-22'!F348</f>
        <v>399</v>
      </c>
      <c r="D3638" s="2" t="str">
        <f t="shared" si="55"/>
        <v>Error?</v>
      </c>
    </row>
    <row r="3639" spans="1:4" x14ac:dyDescent="0.2">
      <c r="A3639" s="5">
        <v>3578</v>
      </c>
      <c r="B3639" s="138">
        <f>'Expenditures 15-22'!F349</f>
        <v>69</v>
      </c>
      <c r="D3639" s="2" t="str">
        <f t="shared" si="55"/>
        <v>Error?</v>
      </c>
    </row>
    <row r="3640" spans="1:4" x14ac:dyDescent="0.2">
      <c r="A3640" s="5">
        <v>3579</v>
      </c>
      <c r="B3640" s="138">
        <f>'Expenditures 15-22'!F350</f>
        <v>468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468</v>
      </c>
      <c r="C3642" s="2" t="s">
        <v>573</v>
      </c>
      <c r="D3642" s="2" t="str">
        <f t="shared" si="55"/>
        <v>Error?</v>
      </c>
    </row>
    <row r="3643" spans="1:4" x14ac:dyDescent="0.2">
      <c r="A3643" s="5">
        <v>3582</v>
      </c>
      <c r="B3643" s="138">
        <f>'Expenditures 15-22'!F367</f>
        <v>468</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6175</v>
      </c>
      <c r="D3646" s="2" t="str">
        <f t="shared" si="55"/>
        <v>Error?</v>
      </c>
    </row>
    <row r="3647" spans="1:4" x14ac:dyDescent="0.2">
      <c r="A3647" s="5">
        <v>3586</v>
      </c>
      <c r="B3647" s="138">
        <f>'Expenditures 15-22'!G350</f>
        <v>6175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6175</v>
      </c>
      <c r="C3649" s="2" t="s">
        <v>573</v>
      </c>
      <c r="D3649" s="2" t="str">
        <f t="shared" si="56"/>
        <v>Error?</v>
      </c>
    </row>
    <row r="3650" spans="1:4" x14ac:dyDescent="0.2">
      <c r="A3650" s="5">
        <v>3589</v>
      </c>
      <c r="B3650" s="138">
        <f>'Expenditures 15-22'!G367</f>
        <v>6175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16830</v>
      </c>
      <c r="C3668" s="2" t="s">
        <v>573</v>
      </c>
      <c r="D3668" s="2" t="str">
        <f t="shared" si="56"/>
        <v>Error?</v>
      </c>
    </row>
    <row r="3669" spans="1:4" x14ac:dyDescent="0.2">
      <c r="A3669" s="5">
        <v>3608</v>
      </c>
      <c r="B3669" s="138">
        <f>'Expenditures 15-22'!K349</f>
        <v>6517</v>
      </c>
      <c r="C3669" s="2" t="s">
        <v>573</v>
      </c>
      <c r="D3669" s="2" t="str">
        <f t="shared" si="56"/>
        <v>Error?</v>
      </c>
    </row>
    <row r="3670" spans="1:4" x14ac:dyDescent="0.2">
      <c r="A3670" s="5">
        <v>3609</v>
      </c>
      <c r="B3670" s="138">
        <f>'Expenditures 15-22'!K350</f>
        <v>23347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23347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23347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-11781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68233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537266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1962511</v>
      </c>
      <c r="C4122" s="2" t="s">
        <v>573</v>
      </c>
      <c r="D4122" s="2" t="str">
        <f t="shared" si="63"/>
        <v>Error?</v>
      </c>
    </row>
    <row r="4123" spans="1:4" x14ac:dyDescent="0.2">
      <c r="A4123" s="5">
        <v>4062</v>
      </c>
      <c r="B4123" s="138">
        <f>'Acct Summary 7-8'!D10</f>
        <v>73793</v>
      </c>
      <c r="C4123" s="2" t="s">
        <v>573</v>
      </c>
      <c r="D4123" s="2" t="str">
        <f t="shared" si="63"/>
        <v>Error?</v>
      </c>
    </row>
    <row r="4124" spans="1:4" x14ac:dyDescent="0.2">
      <c r="A4124" s="5">
        <v>4063</v>
      </c>
      <c r="B4124" s="138">
        <f>'Acct Summary 7-8'!E10</f>
        <v>55929</v>
      </c>
      <c r="C4124" s="2" t="s">
        <v>573</v>
      </c>
      <c r="D4124" s="2" t="str">
        <f t="shared" si="63"/>
        <v>Error?</v>
      </c>
    </row>
    <row r="4125" spans="1:4" x14ac:dyDescent="0.2">
      <c r="A4125" s="5">
        <v>4064</v>
      </c>
      <c r="B4125" s="138">
        <f>'Acct Summary 7-8'!F10</f>
        <v>67835</v>
      </c>
      <c r="C4125" s="2" t="s">
        <v>573</v>
      </c>
      <c r="D4125" s="2" t="str">
        <f t="shared" si="63"/>
        <v>Error?</v>
      </c>
    </row>
    <row r="4126" spans="1:4" x14ac:dyDescent="0.2">
      <c r="A4126" s="5">
        <v>4065</v>
      </c>
      <c r="B4126" s="138">
        <f>'Acct Summary 7-8'!G10</f>
        <v>55661</v>
      </c>
      <c r="C4126" s="2" t="s">
        <v>573</v>
      </c>
      <c r="D4126" s="2" t="str">
        <f t="shared" si="63"/>
        <v>Error?</v>
      </c>
    </row>
    <row r="4127" spans="1:4" x14ac:dyDescent="0.2">
      <c r="A4127" s="5">
        <v>4066</v>
      </c>
      <c r="B4127" s="138">
        <f>'Acct Summary 7-8'!H10</f>
        <v>53121</v>
      </c>
      <c r="C4127" s="2" t="s">
        <v>573</v>
      </c>
      <c r="D4127" s="2" t="str">
        <f t="shared" si="63"/>
        <v>Error?</v>
      </c>
    </row>
    <row r="4128" spans="1:4" x14ac:dyDescent="0.2">
      <c r="A4128" s="5">
        <v>4067</v>
      </c>
      <c r="B4128" s="138">
        <f>'Acct Summary 7-8'!I10</f>
        <v>10039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11566</v>
      </c>
      <c r="C4130" s="2" t="s">
        <v>573</v>
      </c>
      <c r="D4130" s="2" t="str">
        <f t="shared" si="63"/>
        <v>Error?</v>
      </c>
    </row>
    <row r="4131" spans="1:4" x14ac:dyDescent="0.2">
      <c r="A4131" s="5">
        <v>4070</v>
      </c>
      <c r="B4131" s="138">
        <f>'Acct Summary 7-8'!C18</f>
        <v>537266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1859673</v>
      </c>
      <c r="C4136" s="2" t="s">
        <v>573</v>
      </c>
      <c r="D4136" s="2" t="str">
        <f t="shared" si="63"/>
        <v>Error?</v>
      </c>
    </row>
    <row r="4137" spans="1:4" x14ac:dyDescent="0.2">
      <c r="A4137" s="5">
        <v>4076</v>
      </c>
      <c r="B4137" s="138">
        <f>'Acct Summary 7-8'!D19</f>
        <v>95979</v>
      </c>
      <c r="C4137" s="2" t="s">
        <v>573</v>
      </c>
      <c r="D4137" s="2" t="str">
        <f t="shared" si="63"/>
        <v>Error?</v>
      </c>
    </row>
    <row r="4138" spans="1:4" x14ac:dyDescent="0.2">
      <c r="A4138" s="5">
        <v>4077</v>
      </c>
      <c r="B4138" s="138">
        <f>'Acct Summary 7-8'!E19</f>
        <v>55010</v>
      </c>
      <c r="C4138" s="2" t="s">
        <v>573</v>
      </c>
      <c r="D4138" s="2" t="str">
        <f t="shared" si="63"/>
        <v>Error?</v>
      </c>
    </row>
    <row r="4139" spans="1:4" x14ac:dyDescent="0.2">
      <c r="A4139" s="5">
        <v>4078</v>
      </c>
      <c r="B4139" s="138">
        <f>'Acct Summary 7-8'!F19</f>
        <v>54123</v>
      </c>
      <c r="C4139" s="2" t="s">
        <v>573</v>
      </c>
      <c r="D4139" s="2" t="str">
        <f t="shared" si="63"/>
        <v>Error?</v>
      </c>
    </row>
    <row r="4140" spans="1:4" x14ac:dyDescent="0.2">
      <c r="A4140" s="5">
        <v>4079</v>
      </c>
      <c r="B4140" s="138">
        <f>'Acct Summary 7-8'!G19</f>
        <v>61687</v>
      </c>
      <c r="C4140" s="2" t="s">
        <v>573</v>
      </c>
      <c r="D4140" s="2" t="str">
        <f t="shared" si="63"/>
        <v>Error?</v>
      </c>
    </row>
    <row r="4141" spans="1:4" x14ac:dyDescent="0.2">
      <c r="A4141" s="5">
        <v>4080</v>
      </c>
      <c r="B4141" s="138">
        <f>'Acct Summary 7-8'!H19</f>
        <v>53115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23347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140000</v>
      </c>
      <c r="C4171" s="2" t="s">
        <v>573</v>
      </c>
      <c r="D4171" s="2" t="str">
        <f t="shared" si="64"/>
        <v>Error?</v>
      </c>
    </row>
    <row r="4172" spans="1:4" x14ac:dyDescent="0.2">
      <c r="A4172" s="5">
        <v>4111</v>
      </c>
      <c r="B4172" s="138">
        <f>'Short-Term Long-Term Debt 24'!J49</f>
        <v>126131</v>
      </c>
      <c r="C4172" s="2" t="s">
        <v>573</v>
      </c>
      <c r="D4172" s="2" t="str">
        <f t="shared" si="64"/>
        <v>Error?</v>
      </c>
    </row>
    <row r="4173" spans="1:4" x14ac:dyDescent="0.2">
      <c r="A4173" s="5">
        <v>4112</v>
      </c>
      <c r="B4173" s="138">
        <f>'Short-Term Long-Term Debt 24'!H49</f>
        <v>45000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1425.3999999999999</v>
      </c>
      <c r="C4265" s="2" t="s">
        <v>573</v>
      </c>
      <c r="D4265" s="2" t="str">
        <f t="shared" si="65"/>
        <v>Error?</v>
      </c>
      <c r="E4265" s="128"/>
    </row>
    <row r="4266" spans="1:5" x14ac:dyDescent="0.2">
      <c r="A4266" s="12">
        <v>4205</v>
      </c>
      <c r="B4266" s="138">
        <f>('FP Info 3'!F10)*100000</f>
        <v>296.19</v>
      </c>
      <c r="C4266" s="2" t="s">
        <v>573</v>
      </c>
      <c r="D4266" s="2" t="str">
        <f t="shared" si="65"/>
        <v>Error?</v>
      </c>
      <c r="E4266" s="128"/>
    </row>
    <row r="4267" spans="1:5" x14ac:dyDescent="0.2">
      <c r="A4267" s="12">
        <v>4206</v>
      </c>
      <c r="B4267" s="138">
        <f>('FP Info 3'!H10)*100000</f>
        <v>136.52000000000001</v>
      </c>
      <c r="C4267" s="2" t="s">
        <v>573</v>
      </c>
      <c r="D4267" s="2" t="str">
        <f t="shared" si="65"/>
        <v>Error?</v>
      </c>
      <c r="E4267" s="128"/>
    </row>
    <row r="4268" spans="1:5" x14ac:dyDescent="0.2">
      <c r="A4268" s="12">
        <v>4207</v>
      </c>
      <c r="B4268" s="138">
        <f>('FP Info 3'!J10)*100000</f>
        <v>1858</v>
      </c>
      <c r="C4268" s="2" t="s">
        <v>573</v>
      </c>
      <c r="D4268" s="2" t="str">
        <f t="shared" si="65"/>
        <v>Error?</v>
      </c>
    </row>
    <row r="4269" spans="1:5" x14ac:dyDescent="0.2">
      <c r="A4269" s="12">
        <v>4208</v>
      </c>
      <c r="B4269" s="138">
        <f>'FP Info 3'!J16</f>
        <v>1146511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3481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4349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2138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5610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38367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600</v>
      </c>
      <c r="D4795" s="2" t="str">
        <f t="shared" si="73"/>
        <v>Error?</v>
      </c>
    </row>
    <row r="4796" spans="1:4" x14ac:dyDescent="0.2">
      <c r="A4796" s="5">
        <v>4735</v>
      </c>
      <c r="B4796" s="138">
        <f>'Revenues 9-14'!G168</f>
        <v>860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23358</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21592778</v>
      </c>
      <c r="D4995" s="2" t="str">
        <f t="shared" si="77"/>
        <v>Error?</v>
      </c>
    </row>
    <row r="4996" spans="1:4" x14ac:dyDescent="0.2">
      <c r="A4996" s="12">
        <v>4935</v>
      </c>
      <c r="B4996" s="138">
        <f>'FP Info 3'!H31</f>
        <v>1489901.682</v>
      </c>
      <c r="D4996" s="2" t="str">
        <f t="shared" si="77"/>
        <v>Error?</v>
      </c>
    </row>
    <row r="4997" spans="1:4" x14ac:dyDescent="0.2">
      <c r="A4997" s="12">
        <v>4936</v>
      </c>
      <c r="B4997" s="138">
        <f>'FP Info 3'!H37</f>
        <v>140000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286878</v>
      </c>
      <c r="D5061" s="2" t="str">
        <f t="shared" si="78"/>
        <v>Error?</v>
      </c>
    </row>
    <row r="5062" spans="1:4" x14ac:dyDescent="0.2">
      <c r="A5062" s="10">
        <v>5001</v>
      </c>
      <c r="D5062" s="2" t="str">
        <f t="shared" si="78"/>
        <v>OK</v>
      </c>
    </row>
    <row r="5063" spans="1:4" x14ac:dyDescent="0.2">
      <c r="A5063" s="5">
        <v>5002</v>
      </c>
      <c r="B5063" s="138">
        <f>'Revenues 9-14'!C7</f>
        <v>4728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291606</v>
      </c>
      <c r="C5066" s="2" t="s">
        <v>573</v>
      </c>
      <c r="D5066" s="2" t="str">
        <f t="shared" si="78"/>
        <v>Error?</v>
      </c>
    </row>
    <row r="5067" spans="1:4" x14ac:dyDescent="0.2">
      <c r="A5067" s="5">
        <v>5006</v>
      </c>
      <c r="B5067" s="138">
        <f>'Revenues 9-14'!C14</f>
        <v>2481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120211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122692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10319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10319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386</v>
      </c>
      <c r="D5093" s="2" t="str">
        <f t="shared" si="78"/>
        <v>Error?</v>
      </c>
    </row>
    <row r="5094" spans="1:4" x14ac:dyDescent="0.2">
      <c r="A5094" s="5">
        <v>5033</v>
      </c>
      <c r="B5094" s="138">
        <f>'Revenues 9-14'!C73</f>
        <v>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430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1150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1150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5346</v>
      </c>
      <c r="D5119" s="2" t="str">
        <f t="shared" ref="D5119:D5182" si="79">IF(ISBLANK(B5119),"OK",IF(A5119-B5119=0,"OK","Error?"))</f>
        <v>Error?</v>
      </c>
    </row>
    <row r="5120" spans="1:4" x14ac:dyDescent="0.2">
      <c r="A5120" s="5">
        <v>5059</v>
      </c>
      <c r="B5120" s="138">
        <f>'Revenues 9-14'!C108</f>
        <v>5346</v>
      </c>
      <c r="C5120" s="2" t="s">
        <v>573</v>
      </c>
      <c r="D5120" s="2" t="str">
        <f t="shared" si="79"/>
        <v>Error?</v>
      </c>
    </row>
    <row r="5121" spans="1:4" x14ac:dyDescent="0.2">
      <c r="A5121" s="5">
        <v>5060</v>
      </c>
      <c r="B5121" s="138">
        <f>'Revenues 9-14'!C109</f>
        <v>431543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680054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680054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2606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40973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721027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23358</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89567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41736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139049</v>
      </c>
      <c r="C5246" s="2" t="s">
        <v>573</v>
      </c>
      <c r="D5246" s="2" t="str">
        <f t="shared" si="80"/>
        <v>Error?</v>
      </c>
    </row>
    <row r="5247" spans="1:4" x14ac:dyDescent="0.2">
      <c r="A5247" s="5">
        <v>5186</v>
      </c>
      <c r="B5247" s="138">
        <f>'Revenues 9-14'!C200</f>
        <v>80636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2138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80636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14054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14054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249317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272675</v>
      </c>
      <c r="C5326" s="2" t="s">
        <v>573</v>
      </c>
      <c r="D5326" s="2" t="str">
        <f t="shared" si="82"/>
        <v>Error?</v>
      </c>
    </row>
    <row r="5327" spans="1:5" x14ac:dyDescent="0.2">
      <c r="A5327" s="5">
        <v>5266</v>
      </c>
      <c r="B5327" s="138">
        <f>'Revenues 9-14'!C268</f>
        <v>1425245</v>
      </c>
      <c r="C5327" s="2" t="s">
        <v>573</v>
      </c>
      <c r="D5327" s="2" t="str">
        <f t="shared" si="82"/>
        <v>Error?</v>
      </c>
    </row>
    <row r="5328" spans="1:5" x14ac:dyDescent="0.2">
      <c r="A5328" s="5">
        <v>5267</v>
      </c>
      <c r="B5328" s="138">
        <f>'Revenues 9-14'!D5</f>
        <v>61060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61060</v>
      </c>
      <c r="C5334" s="2" t="s">
        <v>573</v>
      </c>
      <c r="D5334" s="2" t="str">
        <f t="shared" si="82"/>
        <v>Error?</v>
      </c>
    </row>
    <row r="5335" spans="1:4" x14ac:dyDescent="0.2">
      <c r="A5335" s="5">
        <v>5274</v>
      </c>
      <c r="B5335" s="138">
        <f>'Revenues 9-14'!D14</f>
        <v>520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520</v>
      </c>
      <c r="C5339" s="2" t="s">
        <v>573</v>
      </c>
      <c r="D5339" s="2" t="str">
        <f t="shared" si="82"/>
        <v>Error?</v>
      </c>
    </row>
    <row r="5340" spans="1:4" x14ac:dyDescent="0.2">
      <c r="A5340" s="5">
        <v>5279</v>
      </c>
      <c r="B5340" s="138">
        <f>'Revenues 9-14'!D65</f>
        <v>595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595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1050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3568</v>
      </c>
      <c r="D5354" s="2" t="str">
        <f t="shared" si="82"/>
        <v>Error?</v>
      </c>
    </row>
    <row r="5355" spans="1:4" x14ac:dyDescent="0.2">
      <c r="A5355" s="5">
        <v>5294</v>
      </c>
      <c r="B5355" s="138">
        <f>'Revenues 9-14'!D108</f>
        <v>4618</v>
      </c>
      <c r="C5355" s="2" t="s">
        <v>573</v>
      </c>
      <c r="D5355" s="2" t="str">
        <f t="shared" si="82"/>
        <v>Error?</v>
      </c>
    </row>
    <row r="5356" spans="1:4" x14ac:dyDescent="0.2">
      <c r="A5356" s="5">
        <v>5295</v>
      </c>
      <c r="B5356" s="138">
        <f>'Revenues 9-14'!D109</f>
        <v>66793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7000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7000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7000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73793</v>
      </c>
      <c r="C5508" s="2" t="s">
        <v>573</v>
      </c>
      <c r="D5508" s="2" t="str">
        <f t="shared" si="85"/>
        <v>Error?</v>
      </c>
    </row>
    <row r="5509" spans="1:4" x14ac:dyDescent="0.2">
      <c r="A5509" s="5">
        <v>5448</v>
      </c>
      <c r="B5509" s="138">
        <f>'Revenues 9-14'!E5</f>
        <v>29758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29758</v>
      </c>
      <c r="C5513" s="2" t="s">
        <v>573</v>
      </c>
      <c r="D5513" s="2" t="str">
        <f t="shared" si="85"/>
        <v>Error?</v>
      </c>
    </row>
    <row r="5514" spans="1:4" x14ac:dyDescent="0.2">
      <c r="A5514" s="5">
        <v>5453</v>
      </c>
      <c r="B5514" s="138">
        <f>'Revenues 9-14'!E14</f>
        <v>253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253</v>
      </c>
      <c r="C5518" s="2" t="s">
        <v>573</v>
      </c>
      <c r="D5518" s="2" t="str">
        <f t="shared" si="85"/>
        <v>Error?</v>
      </c>
    </row>
    <row r="5519" spans="1:4" x14ac:dyDescent="0.2">
      <c r="A5519" s="5">
        <v>5458</v>
      </c>
      <c r="B5519" s="138">
        <f>'Revenues 9-14'!E65</f>
        <v>218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30229</v>
      </c>
      <c r="C5527" s="2" t="s">
        <v>573</v>
      </c>
      <c r="D5527" s="2" t="str">
        <f t="shared" si="85"/>
        <v>Error?</v>
      </c>
    </row>
    <row r="5528" spans="1:4" x14ac:dyDescent="0.2">
      <c r="A5528" s="5">
        <v>5467</v>
      </c>
      <c r="B5528" s="138">
        <f>'Revenues 9-14'!E117</f>
        <v>25700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25700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25700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55929</v>
      </c>
      <c r="C5552" s="2" t="s">
        <v>573</v>
      </c>
      <c r="D5552" s="2" t="str">
        <f t="shared" si="85"/>
        <v>Error?</v>
      </c>
    </row>
    <row r="5553" spans="1:4" x14ac:dyDescent="0.2">
      <c r="A5553" s="5">
        <v>5492</v>
      </c>
      <c r="B5553" s="138">
        <f>'Revenues 9-14'!F5</f>
        <v>28067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28067</v>
      </c>
      <c r="C5557" s="2" t="s">
        <v>573</v>
      </c>
      <c r="D5557" s="2" t="str">
        <f t="shared" si="85"/>
        <v>Error?</v>
      </c>
    </row>
    <row r="5558" spans="1:4" x14ac:dyDescent="0.2">
      <c r="A5558" s="5">
        <v>5497</v>
      </c>
      <c r="B5558" s="138">
        <f>'Revenues 9-14'!F14</f>
        <v>239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239</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28749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15000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21791</v>
      </c>
      <c r="D5615" s="2" t="str">
        <f t="shared" si="86"/>
        <v>Error?</v>
      </c>
    </row>
    <row r="5616" spans="1:4" x14ac:dyDescent="0.2">
      <c r="A5616" s="10">
        <v>5555</v>
      </c>
      <c r="D5616" s="2" t="str">
        <f t="shared" si="86"/>
        <v>OK</v>
      </c>
    </row>
    <row r="5617" spans="1:5" x14ac:dyDescent="0.2">
      <c r="A5617" s="5">
        <v>5556</v>
      </c>
      <c r="B5617" s="138">
        <f>'Revenues 9-14'!F153</f>
        <v>1695</v>
      </c>
      <c r="D5617" s="2" t="str">
        <f t="shared" si="86"/>
        <v>Error?</v>
      </c>
    </row>
    <row r="5618" spans="1:5" x14ac:dyDescent="0.2">
      <c r="A5618" s="5">
        <v>5557</v>
      </c>
      <c r="B5618" s="138">
        <f>'Revenues 9-14'!F155</f>
        <v>23486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24086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39086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67835</v>
      </c>
      <c r="C5720" s="2" t="s">
        <v>573</v>
      </c>
      <c r="D5720" s="2" t="str">
        <f t="shared" si="88"/>
        <v>Error?</v>
      </c>
    </row>
    <row r="5721" spans="1:4" x14ac:dyDescent="0.2">
      <c r="A5721" s="5">
        <v>5660</v>
      </c>
      <c r="B5721" s="138">
        <f>'Revenues 9-14'!G5</f>
        <v>28067</v>
      </c>
      <c r="D5721" s="2" t="str">
        <f t="shared" si="88"/>
        <v>Error?</v>
      </c>
    </row>
    <row r="5722" spans="1:4" x14ac:dyDescent="0.2">
      <c r="A5722" s="5">
        <v>5661</v>
      </c>
      <c r="B5722" s="138">
        <f>'Revenues 9-14'!G7</f>
        <v>0</v>
      </c>
      <c r="D5722" s="2" t="str">
        <f t="shared" si="88"/>
        <v>Error?</v>
      </c>
    </row>
    <row r="5723" spans="1:4" x14ac:dyDescent="0.2">
      <c r="A5723" s="5">
        <v>5662</v>
      </c>
      <c r="B5723" s="138">
        <f>'Revenues 9-14'!G8</f>
        <v>2562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30629</v>
      </c>
      <c r="C5725" s="2" t="s">
        <v>573</v>
      </c>
      <c r="D5725" s="2" t="str">
        <f t="shared" si="88"/>
        <v>Error?</v>
      </c>
    </row>
    <row r="5726" spans="1:4" x14ac:dyDescent="0.2">
      <c r="A5726" s="5">
        <v>5665</v>
      </c>
      <c r="B5726" s="138">
        <f>'Revenues 9-14'!G14</f>
        <v>261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19904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20165</v>
      </c>
      <c r="C5730" s="2" t="s">
        <v>573</v>
      </c>
      <c r="D5730" s="2" t="str">
        <f t="shared" si="88"/>
        <v>Error?</v>
      </c>
    </row>
    <row r="5731" spans="1:4" x14ac:dyDescent="0.2">
      <c r="A5731" s="5">
        <v>5670</v>
      </c>
      <c r="B5731" s="138">
        <f>'Revenues 9-14'!G65</f>
        <v>448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448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860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860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3559</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3559</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3559</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3559</v>
      </c>
      <c r="C5869" s="2" t="s">
        <v>573</v>
      </c>
      <c r="D5869" s="2" t="str">
        <f t="shared" si="90"/>
        <v>Error?</v>
      </c>
    </row>
    <row r="5870" spans="1:4" x14ac:dyDescent="0.2">
      <c r="A5870" s="5">
        <v>5809</v>
      </c>
      <c r="B5870" s="138">
        <f>'Revenues 9-14'!G268</f>
        <v>55661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126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52995</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52995</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52995</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53121</v>
      </c>
      <c r="C5915" s="2" t="s">
        <v>573</v>
      </c>
      <c r="D5915" s="2" t="str">
        <f t="shared" si="91"/>
        <v>Error?</v>
      </c>
    </row>
    <row r="5916" spans="1:4" x14ac:dyDescent="0.2">
      <c r="A5916" s="5">
        <v>5855</v>
      </c>
      <c r="B5916" s="138">
        <f>'Revenues 9-14'!I5</f>
        <v>9850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9850</v>
      </c>
      <c r="C5918" s="2" t="s">
        <v>573</v>
      </c>
      <c r="D5918" s="2" t="str">
        <f t="shared" si="91"/>
        <v>Error?</v>
      </c>
    </row>
    <row r="5919" spans="1:4" x14ac:dyDescent="0.2">
      <c r="A5919" s="5">
        <v>5858</v>
      </c>
      <c r="B5919" s="138">
        <f>'Revenues 9-14'!I14</f>
        <v>84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84</v>
      </c>
      <c r="C5923" s="2" t="s">
        <v>573</v>
      </c>
      <c r="D5923" s="2" t="str">
        <f t="shared" si="91"/>
        <v>Error?</v>
      </c>
    </row>
    <row r="5924" spans="1:4" x14ac:dyDescent="0.2">
      <c r="A5924" s="5">
        <v>5863</v>
      </c>
      <c r="B5924" s="138">
        <f>'Revenues 9-14'!I65</f>
        <v>105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10039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10833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10833</v>
      </c>
      <c r="C5987" s="2" t="s">
        <v>573</v>
      </c>
      <c r="D5987" s="2" t="str">
        <f t="shared" si="92"/>
        <v>Error?</v>
      </c>
    </row>
    <row r="5988" spans="1:4" x14ac:dyDescent="0.2">
      <c r="A5988" s="5">
        <v>5927</v>
      </c>
      <c r="B5988" s="138">
        <f>'Revenues 9-14'!K14</f>
        <v>92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92</v>
      </c>
      <c r="C5992" s="2" t="s">
        <v>573</v>
      </c>
      <c r="D5992" s="2" t="str">
        <f t="shared" si="92"/>
        <v>Error?</v>
      </c>
    </row>
    <row r="5993" spans="1:4" x14ac:dyDescent="0.2">
      <c r="A5993" s="5">
        <v>5932</v>
      </c>
      <c r="B5993" s="138">
        <f>'Revenues 9-14'!K65</f>
        <v>641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11566</v>
      </c>
      <c r="C6023" s="2" t="s">
        <v>573</v>
      </c>
      <c r="D6023" s="2" t="str">
        <f t="shared" si="93"/>
        <v>Error?</v>
      </c>
    </row>
    <row r="6024" spans="1:5" x14ac:dyDescent="0.2">
      <c r="A6024" s="5">
        <v>5963</v>
      </c>
      <c r="B6024" s="138">
        <f>'Revenues 9-14'!G109</f>
        <v>51242</v>
      </c>
      <c r="C6024" s="2" t="s">
        <v>573</v>
      </c>
      <c r="D6024" s="2" t="str">
        <f t="shared" si="93"/>
        <v>Error?</v>
      </c>
    </row>
    <row r="6025" spans="1:5" x14ac:dyDescent="0.2">
      <c r="A6025" s="5">
        <v>5964</v>
      </c>
      <c r="B6025" s="138">
        <f>'Revenues 9-14'!H109</f>
        <v>126</v>
      </c>
      <c r="C6025" s="2" t="s">
        <v>573</v>
      </c>
      <c r="D6025" s="2" t="str">
        <f t="shared" si="93"/>
        <v>Error?</v>
      </c>
    </row>
    <row r="6026" spans="1:5" x14ac:dyDescent="0.2">
      <c r="A6026" s="5">
        <v>5965</v>
      </c>
      <c r="B6026" s="138">
        <f>'Revenues 9-14'!I109</f>
        <v>10039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11566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7818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12500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49231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12500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49231</v>
      </c>
      <c r="D6215" s="2" t="str">
        <f t="shared" si="96"/>
        <v>Error?</v>
      </c>
      <c r="E6215" s="2" t="s">
        <v>190</v>
      </c>
    </row>
    <row r="6216" spans="1:5" x14ac:dyDescent="0.2">
      <c r="A6216">
        <v>6155</v>
      </c>
      <c r="B6216" s="138">
        <f>'Assets-Liab 5-6'!J41</f>
        <v>49231</v>
      </c>
      <c r="D6216" s="2" t="str">
        <f t="shared" si="96"/>
        <v>Error?</v>
      </c>
      <c r="E6216" s="2" t="s">
        <v>190</v>
      </c>
    </row>
    <row r="6217" spans="1:5" x14ac:dyDescent="0.2">
      <c r="A6217">
        <v>6156</v>
      </c>
      <c r="B6217" s="138">
        <f>'Assets-Liab 5-6'!J4</f>
        <v>49231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116117</v>
      </c>
      <c r="D6220" s="2" t="str">
        <f t="shared" si="96"/>
        <v>Error?</v>
      </c>
      <c r="E6220" s="2" t="s">
        <v>190</v>
      </c>
    </row>
    <row r="6221" spans="1:5" x14ac:dyDescent="0.2">
      <c r="A6221">
        <v>6160</v>
      </c>
      <c r="B6221" s="138">
        <f>'Acct Summary 7-8'!J6</f>
        <v>10000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126117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126117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115535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115535</v>
      </c>
      <c r="D6229" s="2" t="str">
        <f t="shared" si="96"/>
        <v>Error?</v>
      </c>
      <c r="E6229" s="2" t="s">
        <v>190</v>
      </c>
    </row>
    <row r="6230" spans="1:5" x14ac:dyDescent="0.2">
      <c r="A6230">
        <v>6169</v>
      </c>
      <c r="B6230" s="138">
        <f>'Acct Summary 7-8'!J20</f>
        <v>10582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10582</v>
      </c>
      <c r="D6263" s="2" t="str">
        <f t="shared" si="96"/>
        <v>Error?</v>
      </c>
      <c r="E6263" s="2" t="s">
        <v>190</v>
      </c>
    </row>
    <row r="6264" spans="1:5" x14ac:dyDescent="0.2">
      <c r="A6264">
        <v>6203</v>
      </c>
      <c r="B6264" s="138">
        <f>'Acct Summary 7-8'!J79</f>
        <v>38649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49231</v>
      </c>
      <c r="D6266" s="2" t="str">
        <f t="shared" si="96"/>
        <v>Error?</v>
      </c>
      <c r="E6266" s="2" t="s">
        <v>190</v>
      </c>
    </row>
    <row r="6267" spans="1:5" x14ac:dyDescent="0.2">
      <c r="A6267">
        <v>6206</v>
      </c>
      <c r="B6267" s="138">
        <f>'Acct Summary 7-8'!C82</f>
        <v>112877</v>
      </c>
      <c r="D6267" s="2" t="str">
        <f t="shared" si="96"/>
        <v>Error?</v>
      </c>
      <c r="E6267" s="2" t="s">
        <v>190</v>
      </c>
    </row>
    <row r="6268" spans="1:5" x14ac:dyDescent="0.2">
      <c r="A6268">
        <v>6207</v>
      </c>
      <c r="B6268" s="138">
        <f>'Acct Summary 7-8'!D82</f>
        <v>-22186</v>
      </c>
      <c r="D6268" s="2" t="str">
        <f t="shared" si="96"/>
        <v>Error?</v>
      </c>
      <c r="E6268" s="2" t="s">
        <v>190</v>
      </c>
    </row>
    <row r="6269" spans="1:5" x14ac:dyDescent="0.2">
      <c r="A6269">
        <v>6208</v>
      </c>
      <c r="B6269" s="138">
        <f>'Acct Summary 7-8'!E82</f>
        <v>919</v>
      </c>
      <c r="D6269" s="2" t="str">
        <f t="shared" si="96"/>
        <v>Error?</v>
      </c>
      <c r="E6269" s="2" t="s">
        <v>190</v>
      </c>
    </row>
    <row r="6270" spans="1:5" x14ac:dyDescent="0.2">
      <c r="A6270">
        <v>6209</v>
      </c>
      <c r="B6270" s="138">
        <f>'Acct Summary 7-8'!F82</f>
        <v>13712</v>
      </c>
      <c r="D6270" s="2" t="str">
        <f t="shared" si="96"/>
        <v>Error?</v>
      </c>
      <c r="E6270" s="2" t="s">
        <v>190</v>
      </c>
    </row>
    <row r="6271" spans="1:5" x14ac:dyDescent="0.2">
      <c r="A6271">
        <v>6210</v>
      </c>
      <c r="B6271" s="138">
        <f>'Acct Summary 7-8'!G82</f>
        <v>-6026</v>
      </c>
      <c r="D6271" s="2" t="str">
        <f t="shared" ref="D6271:D6334" si="97">IF(ISBLANK(B6271),"OK",IF(A6271-B6271=0,"OK","Error?"))</f>
        <v>Error?</v>
      </c>
      <c r="E6271" s="2" t="s">
        <v>190</v>
      </c>
    </row>
    <row r="6272" spans="1:5" x14ac:dyDescent="0.2">
      <c r="A6272">
        <v>6211</v>
      </c>
      <c r="B6272" s="138">
        <f>'Acct Summary 7-8'!H82</f>
        <v>6</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10582</v>
      </c>
      <c r="D6274" s="2" t="str">
        <f t="shared" si="97"/>
        <v>Error?</v>
      </c>
      <c r="E6274" s="2" t="s">
        <v>190</v>
      </c>
    </row>
    <row r="6275" spans="1:5" x14ac:dyDescent="0.2">
      <c r="A6275">
        <v>6214</v>
      </c>
      <c r="B6275" s="138">
        <f>'Acct Summary 7-8'!K82</f>
        <v>-11781</v>
      </c>
      <c r="D6275" s="2" t="str">
        <f t="shared" si="97"/>
        <v>Error?</v>
      </c>
      <c r="E6275" s="2" t="s">
        <v>190</v>
      </c>
    </row>
    <row r="6276" spans="1:5" x14ac:dyDescent="0.2">
      <c r="A6276">
        <v>6215</v>
      </c>
      <c r="B6276" s="138">
        <f>'Acct Summary 7-8'!C83</f>
        <v>0.10492660612714044</v>
      </c>
      <c r="D6276" s="2" t="str">
        <f t="shared" si="97"/>
        <v>Error?</v>
      </c>
      <c r="E6276" s="2" t="s">
        <v>190</v>
      </c>
    </row>
    <row r="6277" spans="1:5" x14ac:dyDescent="0.2">
      <c r="A6277">
        <v>6216</v>
      </c>
      <c r="B6277" s="138">
        <f>'Acct Summary 7-8'!D83</f>
        <v>-0.83818806906192145</v>
      </c>
      <c r="D6277" s="2" t="str">
        <f t="shared" si="97"/>
        <v>Error?</v>
      </c>
      <c r="E6277" s="2" t="s">
        <v>190</v>
      </c>
    </row>
    <row r="6278" spans="1:5" x14ac:dyDescent="0.2">
      <c r="A6278">
        <v>6217</v>
      </c>
      <c r="B6278" s="138">
        <f>'Acct Summary 7-8'!E83</f>
        <v>0.6712929145361578</v>
      </c>
      <c r="D6278" s="2" t="str">
        <f t="shared" si="97"/>
        <v>Error?</v>
      </c>
      <c r="E6278" s="2" t="s">
        <v>190</v>
      </c>
    </row>
    <row r="6279" spans="1:5" x14ac:dyDescent="0.2">
      <c r="A6279">
        <v>6218</v>
      </c>
      <c r="B6279" s="138">
        <f>'Acct Summary 7-8'!F83</f>
        <v>0.30972871631542093</v>
      </c>
      <c r="D6279" s="2" t="str">
        <f t="shared" si="97"/>
        <v>Error?</v>
      </c>
      <c r="E6279" s="2" t="s">
        <v>190</v>
      </c>
    </row>
    <row r="6280" spans="1:5" x14ac:dyDescent="0.2">
      <c r="A6280">
        <v>6219</v>
      </c>
      <c r="B6280" s="138">
        <f>'Acct Summary 7-8'!G83</f>
        <v>-0.2275250141589579</v>
      </c>
      <c r="D6280" s="2" t="str">
        <f t="shared" si="97"/>
        <v>Error?</v>
      </c>
      <c r="E6280" s="2" t="s">
        <v>190</v>
      </c>
    </row>
    <row r="6281" spans="1:5" x14ac:dyDescent="0.2">
      <c r="A6281">
        <v>6220</v>
      </c>
      <c r="B6281" s="138">
        <f>'Acct Summary 7-8'!H83</f>
        <v>0.2857142857142857</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0.21494586744124636</v>
      </c>
      <c r="D6283" s="2" t="str">
        <f t="shared" si="97"/>
        <v>Error?</v>
      </c>
      <c r="E6283" s="2" t="s">
        <v>190</v>
      </c>
    </row>
    <row r="6284" spans="1:5" x14ac:dyDescent="0.2">
      <c r="A6284">
        <v>6223</v>
      </c>
      <c r="B6284" s="138">
        <f>'Acct Summary 7-8'!K83</f>
        <v>-0.2166102816797823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114238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114238</v>
      </c>
      <c r="D6301" s="2" t="str">
        <f t="shared" si="97"/>
        <v>Error?</v>
      </c>
      <c r="E6301" s="2" t="s">
        <v>190</v>
      </c>
    </row>
    <row r="6302" spans="1:5" x14ac:dyDescent="0.2">
      <c r="A6302">
        <v>6241</v>
      </c>
      <c r="B6302" s="138">
        <f>'Revenues 9-14'!J14</f>
        <v>972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972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907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907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116117</v>
      </c>
      <c r="D6352" s="2" t="str">
        <f t="shared" si="98"/>
        <v>Error?</v>
      </c>
      <c r="E6352" s="2" t="s">
        <v>190</v>
      </c>
    </row>
    <row r="6353" spans="1:5" x14ac:dyDescent="0.2">
      <c r="A6353">
        <v>6292</v>
      </c>
      <c r="B6353" s="138">
        <f>'Revenues 9-14'!J117</f>
        <v>10000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10000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10000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24735</v>
      </c>
      <c r="D6983" s="2" t="str">
        <f t="shared" si="108"/>
        <v>Error?</v>
      </c>
    </row>
    <row r="6984" spans="1:4" x14ac:dyDescent="0.2">
      <c r="A6984">
        <v>6923</v>
      </c>
      <c r="B6984" s="138">
        <f>'Expenditures 15-22'!K86</f>
        <v>24735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24735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111456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126117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8500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8500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1954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1954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13398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13398</v>
      </c>
      <c r="D7153" s="2" t="str">
        <f t="shared" si="110"/>
        <v>Error?</v>
      </c>
    </row>
    <row r="7154" spans="1:4" x14ac:dyDescent="0.2">
      <c r="A7154">
        <v>7093</v>
      </c>
      <c r="B7154" s="138">
        <f>'Expenditures 15-22'!C323</f>
        <v>68037</v>
      </c>
      <c r="D7154" s="2" t="str">
        <f t="shared" si="110"/>
        <v>Error?</v>
      </c>
    </row>
    <row r="7155" spans="1:4" x14ac:dyDescent="0.2">
      <c r="A7155">
        <v>7094</v>
      </c>
      <c r="B7155" s="138">
        <f>'Expenditures 15-22'!D323</f>
        <v>3371</v>
      </c>
      <c r="D7155" s="2" t="str">
        <f t="shared" si="110"/>
        <v>Error?</v>
      </c>
    </row>
    <row r="7156" spans="1:4" x14ac:dyDescent="0.2">
      <c r="A7156">
        <v>7095</v>
      </c>
      <c r="B7156" s="138">
        <f>'Expenditures 15-22'!E323</f>
        <v>15821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87229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375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375</v>
      </c>
      <c r="D7198" s="2" t="str">
        <f t="shared" si="111"/>
        <v>Error?</v>
      </c>
    </row>
    <row r="7199" spans="1:4" x14ac:dyDescent="0.2">
      <c r="A7199">
        <v>7138</v>
      </c>
      <c r="B7199" s="138">
        <f>'Expenditures 15-22'!C330</f>
        <v>68037</v>
      </c>
      <c r="D7199" s="2" t="str">
        <f t="shared" si="111"/>
        <v>Error?</v>
      </c>
    </row>
    <row r="7200" spans="1:4" x14ac:dyDescent="0.2">
      <c r="A7200">
        <v>7139</v>
      </c>
      <c r="B7200" s="138">
        <f>'Expenditures 15-22'!D330</f>
        <v>3371</v>
      </c>
      <c r="D7200" s="2" t="str">
        <f t="shared" si="111"/>
        <v>Error?</v>
      </c>
    </row>
    <row r="7201" spans="1:4" x14ac:dyDescent="0.2">
      <c r="A7201">
        <v>7140</v>
      </c>
      <c r="B7201" s="138">
        <f>'Expenditures 15-22'!E330</f>
        <v>40048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111456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68037</v>
      </c>
      <c r="D7216" s="2" t="str">
        <f t="shared" si="111"/>
        <v>Error?</v>
      </c>
    </row>
    <row r="7217" spans="1:4" x14ac:dyDescent="0.2">
      <c r="A7217">
        <v>7156</v>
      </c>
      <c r="B7217" s="138">
        <f>'Expenditures 15-22'!D342</f>
        <v>3371</v>
      </c>
      <c r="D7217" s="2" t="str">
        <f t="shared" si="111"/>
        <v>Error?</v>
      </c>
    </row>
    <row r="7218" spans="1:4" x14ac:dyDescent="0.2">
      <c r="A7218">
        <v>7157</v>
      </c>
      <c r="B7218" s="138">
        <f>'Expenditures 15-22'!E342</f>
        <v>40048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4079</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115535</v>
      </c>
      <c r="D7224" s="2" t="str">
        <f t="shared" si="111"/>
        <v>Error?</v>
      </c>
    </row>
    <row r="7225" spans="1:4" x14ac:dyDescent="0.2">
      <c r="A7225">
        <v>7164</v>
      </c>
      <c r="B7225" s="138">
        <f>'Expenditures 15-22'!K343</f>
        <v>10582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57435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7746</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4782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4079</v>
      </c>
      <c r="D7787" s="2" t="str">
        <f t="shared" si="127"/>
        <v>Error?</v>
      </c>
      <c r="E7787" s="4" t="s">
        <v>1854</v>
      </c>
    </row>
    <row r="7788" spans="1:5" x14ac:dyDescent="0.2">
      <c r="A7788">
        <v>7727</v>
      </c>
      <c r="B7788" s="138">
        <f>'Expenditures 15-22'!K333</f>
        <v>4079</v>
      </c>
      <c r="D7788" s="2" t="str">
        <f t="shared" si="127"/>
        <v>Error?</v>
      </c>
      <c r="E7788" s="4" t="s">
        <v>1854</v>
      </c>
    </row>
    <row r="7789" spans="1:5" x14ac:dyDescent="0.2">
      <c r="A7789">
        <v>7728</v>
      </c>
      <c r="B7789" s="138">
        <f>'Expenditures 15-22'!H334</f>
        <v>4079</v>
      </c>
      <c r="D7789" s="2" t="str">
        <f t="shared" si="127"/>
        <v>Error?</v>
      </c>
      <c r="E7789" s="4" t="s">
        <v>1854</v>
      </c>
    </row>
    <row r="7790" spans="1:5" x14ac:dyDescent="0.2">
      <c r="A7790">
        <v>7729</v>
      </c>
      <c r="B7790" s="138">
        <f>'Expenditures 15-22'!K334</f>
        <v>4079</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4079</v>
      </c>
      <c r="D7796" s="2" t="str">
        <f t="shared" si="127"/>
        <v>Error?</v>
      </c>
      <c r="E7796" s="4" t="s">
        <v>1854</v>
      </c>
    </row>
    <row r="7797" spans="1:5" x14ac:dyDescent="0.2">
      <c r="A7797">
        <v>7736</v>
      </c>
      <c r="B7797" s="138">
        <f>'Contracts Paid in CY 29'!D37</f>
        <v>30352</v>
      </c>
      <c r="D7797" s="2" t="str">
        <f t="shared" si="127"/>
        <v>Error?</v>
      </c>
      <c r="E7797" s="4" t="s">
        <v>1903</v>
      </c>
    </row>
    <row r="7798" spans="1:5" x14ac:dyDescent="0.2">
      <c r="A7798">
        <v>7737</v>
      </c>
      <c r="B7798" s="138">
        <f>'Contracts Paid in CY 29'!F37</f>
        <v>30352</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1987</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BETHEL SD 82</v>
      </c>
      <c r="B7" s="2403"/>
      <c r="C7" s="2403"/>
      <c r="D7" s="2404"/>
      <c r="E7" s="2405">
        <f>COVER!A13</f>
        <v>13041082002</v>
      </c>
      <c r="F7" s="2406"/>
      <c r="G7" s="2412" t="str">
        <f>COVER!T23</f>
        <v>066-004957</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SUSAN J. LYONS, CPA, P.C.</v>
      </c>
      <c r="H9" s="2418"/>
      <c r="I9" s="2418"/>
      <c r="J9" s="2418"/>
      <c r="K9" s="2418"/>
      <c r="L9" s="2419"/>
    </row>
    <row r="10" spans="1:29" ht="13.5" customHeight="1" x14ac:dyDescent="0.2">
      <c r="A10" s="2392" t="str">
        <f>COVER!A38</f>
        <v>CRAIG KUJAWA</v>
      </c>
      <c r="B10" s="2393"/>
      <c r="C10" s="2393"/>
      <c r="D10" s="2393"/>
      <c r="E10" s="2393"/>
      <c r="F10" s="2394"/>
      <c r="G10" s="2386" t="str">
        <f>COVER!T17</f>
        <v>5859 U.S. HIGHWAY 51</v>
      </c>
      <c r="H10" s="2387"/>
      <c r="I10" s="2387"/>
      <c r="J10" s="2387"/>
      <c r="K10" s="2387"/>
      <c r="L10" s="2388"/>
    </row>
    <row r="11" spans="1:29" ht="13.5" customHeight="1" x14ac:dyDescent="0.2">
      <c r="A11" s="1184" t="s">
        <v>1519</v>
      </c>
      <c r="B11" s="1185"/>
      <c r="C11" s="1186"/>
      <c r="D11" s="1191"/>
      <c r="E11" s="1186"/>
      <c r="F11" s="1190"/>
      <c r="G11" s="2386" t="str">
        <f>COVER!T19</f>
        <v>ODIN</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slyons1007@gmail.com</v>
      </c>
      <c r="J13" s="2399"/>
      <c r="K13" s="2399"/>
      <c r="L13" s="2400"/>
    </row>
    <row r="14" spans="1:29" ht="13.5" customHeight="1" x14ac:dyDescent="0.2">
      <c r="A14" s="2386" t="str">
        <f>COVER!A19</f>
        <v>1201 BETHEL ROAD</v>
      </c>
      <c r="B14" s="2387"/>
      <c r="C14" s="2387"/>
      <c r="D14" s="2387"/>
      <c r="E14" s="2387"/>
      <c r="F14" s="2388"/>
      <c r="G14" s="1195" t="s">
        <v>1185</v>
      </c>
      <c r="H14" s="1193"/>
      <c r="I14" s="1193"/>
      <c r="J14" s="1193"/>
      <c r="K14" s="1193"/>
      <c r="L14" s="1194"/>
    </row>
    <row r="15" spans="1:29" ht="13.5" customHeight="1" x14ac:dyDescent="0.2">
      <c r="A15" s="2386" t="str">
        <f>COVER!A21</f>
        <v>MT. VERNON</v>
      </c>
      <c r="B15" s="2387"/>
      <c r="C15" s="2387"/>
      <c r="D15" s="2387"/>
      <c r="E15" s="2387"/>
      <c r="F15" s="2388"/>
      <c r="G15" s="2383" t="str">
        <f>COVER!T15</f>
        <v>SUSAN J. LYONS</v>
      </c>
      <c r="H15" s="2384"/>
      <c r="I15" s="2384"/>
      <c r="J15" s="2384"/>
      <c r="K15" s="2384"/>
      <c r="L15" s="2385"/>
    </row>
    <row r="16" spans="1:29" ht="12.2" customHeight="1" x14ac:dyDescent="0.2">
      <c r="A16" s="2408">
        <f>COVER!A25</f>
        <v>62864</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618-267-3213</v>
      </c>
      <c r="H18" s="2403"/>
      <c r="I18" s="2403"/>
      <c r="J18" s="2403"/>
      <c r="K18" s="2402" t="str">
        <f>COVER!X21</f>
        <v>618-247-3208</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BETHEL SD 82</v>
      </c>
      <c r="B1" s="2401"/>
      <c r="C1" s="2401"/>
      <c r="D1" s="2401"/>
    </row>
    <row r="2" spans="1:11" s="1212" customFormat="1" ht="12.75" x14ac:dyDescent="0.2">
      <c r="A2" s="2425">
        <f>'Single Audit Cover'!E7</f>
        <v>13041082002</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BETHEL SD 82</v>
      </c>
      <c r="B1" s="2428"/>
      <c r="C1" s="2428"/>
      <c r="D1" s="2428"/>
      <c r="E1" s="2428"/>
    </row>
    <row r="2" spans="1:5" x14ac:dyDescent="0.2">
      <c r="A2" s="2429">
        <f>'Single Audit Cover'!E7</f>
        <v>13041082002</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276234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7818</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-4349</v>
      </c>
    </row>
    <row r="19" spans="1:4" ht="13.5" thickBot="1" x14ac:dyDescent="0.25">
      <c r="A19" s="1262" t="s">
        <v>1235</v>
      </c>
      <c r="D19" s="1263">
        <f>SUM(D10:D17)</f>
        <v>279703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279703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279703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BETHEL SD 82</v>
      </c>
      <c r="C1" s="2432"/>
      <c r="D1" s="2432"/>
      <c r="E1" s="2432"/>
      <c r="F1" s="2432"/>
      <c r="G1" s="2432"/>
      <c r="H1" s="2432"/>
      <c r="I1" s="2432"/>
      <c r="J1" s="2432"/>
      <c r="K1" s="2432"/>
      <c r="L1" s="2432"/>
      <c r="M1" s="2432"/>
    </row>
    <row r="2" spans="2:14" ht="15" x14ac:dyDescent="0.2">
      <c r="B2" s="2433">
        <f>'Single Audit Cover'!E7</f>
        <v>13041082002</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BETHEL SD 82</v>
      </c>
      <c r="B1" s="2445"/>
      <c r="C1" s="2445"/>
      <c r="D1" s="2445"/>
      <c r="E1" s="2445"/>
      <c r="F1" s="2445"/>
    </row>
    <row r="2" spans="1:7" ht="13.5" customHeight="1" x14ac:dyDescent="0.2">
      <c r="A2" s="2433">
        <f>'Single Audit Cover'!E7</f>
        <v>13041082002</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3" t="s">
        <v>1270</v>
      </c>
      <c r="D15" s="2442" t="s">
        <v>1269</v>
      </c>
      <c r="E15" s="2442"/>
      <c r="F15" s="2442"/>
    </row>
    <row r="16" spans="1:7" ht="13.5" customHeight="1" x14ac:dyDescent="0.2">
      <c r="A16" s="1279"/>
      <c r="B16" s="1273" t="s">
        <v>1268</v>
      </c>
      <c r="C16" s="1843"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39">
        <f>+C33+C34</f>
        <v>0</v>
      </c>
      <c r="F34" s="2440"/>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2"/>
      <c r="C50" s="1842"/>
      <c r="D50" s="1842"/>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BETHEL SD 82</v>
      </c>
      <c r="C1" s="2460"/>
      <c r="D1" s="2460"/>
      <c r="E1" s="2460"/>
      <c r="F1" s="2460"/>
      <c r="G1" s="2460"/>
      <c r="H1" s="2460"/>
      <c r="I1" s="2460"/>
      <c r="J1" s="1406"/>
    </row>
    <row r="2" spans="2:10" s="317" customFormat="1" ht="12.75" customHeight="1" x14ac:dyDescent="0.2">
      <c r="B2" s="2461">
        <f>'Single Audit Cover'!E7</f>
        <v>13041082002</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2062</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A39" sqref="A39:B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BETHEL SD 82</v>
      </c>
      <c r="C1" s="2459"/>
      <c r="D1" s="2459"/>
      <c r="E1" s="2459"/>
      <c r="F1" s="2459"/>
      <c r="G1" s="2459"/>
      <c r="H1" s="2459"/>
      <c r="I1" s="2459"/>
      <c r="J1" s="2459"/>
      <c r="K1" s="2459"/>
      <c r="L1" s="1371"/>
      <c r="M1" s="1371"/>
    </row>
    <row r="2" spans="1:13" ht="12" customHeight="1" x14ac:dyDescent="0.2">
      <c r="B2" s="2461">
        <f>'Single Audit Cover'!E7</f>
        <v>13041082002</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2075</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4" t="s">
        <v>2076</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2077</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2078</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t="s">
        <v>2079</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3" t="s">
        <v>2080</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3" t="s">
        <v>2081</v>
      </c>
      <c r="C32" s="2473"/>
      <c r="D32" s="2474"/>
      <c r="E32" s="2474"/>
      <c r="F32" s="2474"/>
      <c r="G32" s="2474"/>
      <c r="H32" s="2474"/>
      <c r="I32" s="2474"/>
      <c r="J32" s="2474"/>
      <c r="K32" s="2474"/>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A39" sqref="A39:B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BETHEL SD 82</v>
      </c>
      <c r="C1" s="2459"/>
      <c r="D1" s="2459"/>
      <c r="E1" s="2459"/>
      <c r="F1" s="2459"/>
      <c r="G1" s="2459"/>
      <c r="H1" s="2459"/>
      <c r="I1" s="2459"/>
      <c r="J1" s="2459"/>
      <c r="K1" s="2459"/>
      <c r="L1" s="1371"/>
      <c r="M1" s="1371"/>
    </row>
    <row r="2" spans="1:13" ht="12" customHeight="1" x14ac:dyDescent="0.2">
      <c r="B2" s="2461">
        <f>'Single Audit Cover'!E7</f>
        <v>13041082002</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935"/>
      <c r="M3" s="1935"/>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2083</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2114</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t="s">
        <v>2115</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2116</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2117</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4" customHeight="1" x14ac:dyDescent="0.2">
      <c r="B26" s="2474" t="s">
        <v>2118</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75.75" customHeight="1" x14ac:dyDescent="0.2">
      <c r="B29" s="2473" t="s">
        <v>2119</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29.25" customHeight="1" x14ac:dyDescent="0.2">
      <c r="B32" s="2473" t="s">
        <v>2120</v>
      </c>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BETHEL SD 82</v>
      </c>
      <c r="C1" s="2482"/>
      <c r="D1" s="2482"/>
      <c r="E1" s="2482"/>
      <c r="F1" s="2482"/>
      <c r="G1" s="2482"/>
      <c r="H1" s="2482"/>
      <c r="I1" s="2482"/>
      <c r="J1" s="2482"/>
      <c r="K1" s="2482"/>
      <c r="L1" s="1449"/>
    </row>
    <row r="2" spans="1:12" ht="12.75" customHeight="1" x14ac:dyDescent="0.2">
      <c r="B2" s="2483">
        <f>'Single Audit Cover'!E7</f>
        <v>13041082002</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BETHEL SD 82</v>
      </c>
      <c r="C1" s="2459"/>
      <c r="D1" s="2459"/>
      <c r="E1" s="1469"/>
    </row>
    <row r="2" spans="2:5" s="1279" customFormat="1" ht="12.75" customHeight="1" x14ac:dyDescent="0.2">
      <c r="B2" s="2461">
        <f>'Single Audit Cover'!E7</f>
        <v>13041082002</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d21dc803-237d-4c68-8692-8d731fd29118"/>
    <ds:schemaRef ds:uri="http://schemas.microsoft.com/office/2006/metadata/properties"/>
    <ds:schemaRef ds:uri="http://schemas.openxmlformats.org/package/2006/metadata/core-properties"/>
    <ds:schemaRef ds:uri="http://purl.org/dc/dcmitype/"/>
    <ds:schemaRef ds:uri="http://schemas.microsoft.com/office/2006/documentManagement/types"/>
    <ds:schemaRef ds:uri="4d435f69-8686-490b-bd6d-b153bf22ab50"/>
    <ds:schemaRef ds:uri="6ce3111e-7420-4802-b50a-75d4e9a0b980"/>
    <ds:schemaRef ds:uri="http://schemas.microsoft.com/sharepoint/v3"/>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2019-10-15T21:15:17Z</cp:lastPrinted>
  <dcterms:created xsi:type="dcterms:W3CDTF">2003-10-29T19:06:34Z</dcterms:created>
  <dcterms:modified xsi:type="dcterms:W3CDTF">2019-11-27T19:40:23Z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