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8771364-3687-41A9-9A73-3E89C95658A7}" xr6:coauthVersionLast="36" xr6:coauthVersionMax="36" xr10:uidLastSave="{00000000-0000-0000-0000-000000000000}"/>
  <bookViews>
    <workbookView xWindow="2037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E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D9" i="7"/>
  <c r="B1767" i="106" s="1"/>
  <c r="D1767" i="106" s="1"/>
  <c r="B5752" i="106"/>
  <c r="D5752" i="106" s="1"/>
  <c r="L5" i="11" l="1"/>
  <c r="B2056" i="106" s="1"/>
  <c r="D2056" i="106" s="1"/>
  <c r="F36" i="34"/>
  <c r="B3647" i="106"/>
  <c r="D3647" i="106" s="1"/>
  <c r="J77" i="4"/>
  <c r="B6262" i="106" s="1"/>
  <c r="D6262" i="106" s="1"/>
  <c r="D69" i="36"/>
  <c r="H29" i="118"/>
  <c r="K28" i="118" s="1"/>
  <c r="O27" i="118" s="1"/>
  <c r="O29" i="118" s="1"/>
  <c r="D11" i="37"/>
  <c r="D31" i="36"/>
  <c r="H33" i="118"/>
  <c r="F19" i="7"/>
  <c r="B1807" i="106" s="1"/>
  <c r="D1807" i="106" s="1"/>
  <c r="F28" i="108"/>
  <c r="F41" i="108" s="1"/>
  <c r="G43" i="108" s="1"/>
  <c r="E28" i="108"/>
  <c r="G30" i="108"/>
  <c r="E30" i="108"/>
  <c r="L342" i="29"/>
  <c r="C352" i="29"/>
  <c r="B3621" i="106" s="1"/>
  <c r="D3621" i="106" s="1"/>
  <c r="D27" i="108"/>
  <c r="D41" i="108" s="1"/>
  <c r="E43" i="108" s="1"/>
  <c r="D17" i="7"/>
  <c r="B4104" i="106" s="1"/>
  <c r="D4104" i="106" s="1"/>
  <c r="F46" i="34"/>
  <c r="H76" i="4"/>
  <c r="B3298" i="106" s="1"/>
  <c r="D3298" i="106" s="1"/>
  <c r="F44" i="34"/>
  <c r="J352" i="29"/>
  <c r="J367" i="29" s="1"/>
  <c r="B7245" i="106" s="1"/>
  <c r="D7245" i="106" s="1"/>
  <c r="D6103" i="106"/>
  <c r="K41" i="3"/>
  <c r="L15" i="11"/>
  <c r="B3459" i="106" s="1"/>
  <c r="D3459" i="106" s="1"/>
  <c r="L13" i="11"/>
  <c r="B2060" i="106" s="1"/>
  <c r="D2060" i="106" s="1"/>
  <c r="C129" i="29"/>
  <c r="C151" i="29" s="1"/>
  <c r="B1226" i="106" s="1"/>
  <c r="D1226" i="106" s="1"/>
  <c r="C342" i="29"/>
  <c r="B7216" i="106" s="1"/>
  <c r="D7216" i="106" s="1"/>
  <c r="J41" i="3"/>
  <c r="D51" i="36" s="1"/>
  <c r="H365" i="29"/>
  <c r="B7242" i="106" s="1"/>
  <c r="D7242" i="106" s="1"/>
  <c r="F77" i="4"/>
  <c r="B3255" i="106" s="1"/>
  <c r="D3255" i="106" s="1"/>
  <c r="K184" i="29"/>
  <c r="F13" i="4" s="1"/>
  <c r="B2596" i="106" s="1"/>
  <c r="D2596" i="106" s="1"/>
  <c r="G210" i="29"/>
  <c r="G15" i="145"/>
  <c r="B7235" i="106"/>
  <c r="D7235" i="106" s="1"/>
  <c r="L367"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5" i="106" l="1"/>
  <c r="D7252" i="106"/>
  <c r="L16" i="11"/>
  <c r="B2061" i="106" s="1"/>
  <c r="D2061" i="106" s="1"/>
  <c r="B1317" i="106"/>
  <c r="D1317" i="106" s="1"/>
  <c r="I7" i="4"/>
  <c r="B4444" i="106" s="1"/>
  <c r="D4444" i="106" s="1"/>
  <c r="K365" i="29"/>
  <c r="L114" i="29"/>
  <c r="B1381" i="106"/>
  <c r="D1381" i="106" s="1"/>
  <c r="D7256" i="106"/>
  <c r="C114" i="29"/>
  <c r="B757" i="106" s="1"/>
  <c r="D757" i="106" s="1"/>
  <c r="B3568" i="106"/>
  <c r="D3568" i="106" s="1"/>
  <c r="D52" i="36"/>
  <c r="D7251" i="106"/>
  <c r="D7253" i="106"/>
  <c r="F174" i="34"/>
  <c r="D7254" i="106"/>
  <c r="D7250" i="106"/>
  <c r="B5778" i="106"/>
  <c r="D5778" i="106" s="1"/>
  <c r="G6" i="4"/>
  <c r="B2604" i="106" s="1"/>
  <c r="D2604" i="106" s="1"/>
  <c r="K342" i="29"/>
  <c r="F13" i="34" s="1"/>
  <c r="B5770" i="106"/>
  <c r="D5770" i="106" s="1"/>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20" i="4"/>
  <c r="J78" i="4" s="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3575" i="106"/>
  <c r="D3575" i="106" s="1"/>
  <c r="K20" i="4"/>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<sst xmlns="http://schemas.openxmlformats.org/spreadsheetml/2006/main" count="5066" uniqueCount="2092">
  <si>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</si>
  <si>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</si>
  <si>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</si>
  <si>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</si>
  <si>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</si>
  <si>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</si>
  <si>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</si>
  <si>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</si>
  <si>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</si>
  <si>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</si>
  <si>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</si>
  <si>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</si>
  <si>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</si>
  <si>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</si>
  <si>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</si>
  <si>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</si>
  <si>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</si>
  <si>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</si>
  <si>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</si>
  <si>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</si>
  <si>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</si>
  <si>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</si>
  <si>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</si>
  <si>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</si>
  <si>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</si>
  <si>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</si>
  <si>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</si>
  <si>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</si>
  <si>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</si>
  <si>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</si>
  <si>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</si>
  <si>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</si>
  <si>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</si>
  <si>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</si>
  <si>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</si>
  <si>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</si>
  <si>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</si>
  <si>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</si>
  <si>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</si>
  <si>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</si>
  <si>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</si>
  <si>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</si>
  <si>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</si>
  <si>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</si>
  <si>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</si>
  <si>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</si>
  <si>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</si>
  <si>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</si>
  <si>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</si>
  <si>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</si>
  <si>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</si>
  <si>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</si>
  <si>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</si>
  <si>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</si>
  <si>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</si>
  <si>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</si>
  <si>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</si>
  <si>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</si>
  <si>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</si>
  <si>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</si>
  <si>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</si>
  <si>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</si>
  <si>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</si>
  <si>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</si>
  <si>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</si>
  <si>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</si>
  <si>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</si>
  <si>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</si>
  <si>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</si>
  <si>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</si>
  <si>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</si>
  <si>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</si>
  <si>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</si>
  <si>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</si>
  <si>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</si>
  <si>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</si>
  <si>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</si>
  <si>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</si>
  <si>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</si>
  <si>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</si>
  <si>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</si>
  <si>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</si>
  <si>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</si>
  <si>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</si>
  <si>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</si>
  <si>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</si>
  <si>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</si>
  <si>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</si>
  <si>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</si>
  <si>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</si>
  <si>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</si>
  <si>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</si>
  <si>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</si>
  <si>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</si>
  <si>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</si>
  <si>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</si>
  <si>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</si>
  <si>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</si>
  <si>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</si>
  <si>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</si>
  <si>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</si>
  <si>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</si>
  <si>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</si>
  <si>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</si>
  <si>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</si>
  <si>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</si>
  <si>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</si>
  <si>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</si>
  <si>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</si>
  <si>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</si>
  <si>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</si>
  <si>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</si>
  <si>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</si>
  <si>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</si>
  <si>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</si>
  <si>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</si>
  <si>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</si>
  <si>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</si>
  <si>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</si>
  <si>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</si>
  <si>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</si>
  <si>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</si>
  <si>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</si>
  <si>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</si>
  <si>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</si>
  <si>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</si>
  <si>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</si>
  <si>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</si>
  <si>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</si>
  <si>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</si>
  <si>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</si>
  <si>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</si>
  <si>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</si>
  <si>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</si>
  <si>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</si>
  <si>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</si>
  <si>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</si>
  <si>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</si>
  <si>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</si>
  <si>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</si>
  <si>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</si>
  <si>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</si>
  <si>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</si>
  <si>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</si>
  <si>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</si>
  <si>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</si>
  <si>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</si>
  <si>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</si>
  <si>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</si>
  <si>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</si>
  <si>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</si>
  <si>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</si>
  <si>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</si>
  <si>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</si>
  <si>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</si>
  <si>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</si>
  <si>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</si>
  <si>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</si>
  <si>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</si>
  <si>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</si>
  <si>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</si>
  <si>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</si>
  <si>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</si>
  <si>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</si>
  <si>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</si>
  <si>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</si>
  <si>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</si>
  <si>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</si>
  <si>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</si>
  <si>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</si>
  <si>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</si>
  <si>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</si>
  <si>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</si>
  <si>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</si>
  <si>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</si>
  <si>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</si>
  <si>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</si>
  <si>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</si>
  <si>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</si>
  <si>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</si>
  <si>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</si>
  <si>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</si>
  <si>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</si>
  <si>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</si>
  <si>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</si>
  <si>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</si>
  <si>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</si>
  <si>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</si>
  <si>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</si>
  <si>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</si>
  <si>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</si>
  <si>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</si>
  <si>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</si>
  <si>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</si>
  <si>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</si>
  <si>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</si>
  <si>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</si>
  <si>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</si>
  <si>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</si>
  <si>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</si>
  <si>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</si>
  <si>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</si>
  <si>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</si>
  <si>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</si>
  <si>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</si>
  <si>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</si>
  <si>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</si>
  <si>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</si>
  <si>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</si>
  <si>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</si>
  <si>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</si>
  <si>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</si>
  <si>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</si>
  <si>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</si>
  <si>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</si>
  <si>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</si>
  <si>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</si>
  <si>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</si>
  <si>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</si>
  <si>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</si>
  <si>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</si>
  <si>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</si>
  <si>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</si>
  <si>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</si>
  <si>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</si>
  <si>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</si>
  <si>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</si>
  <si>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</si>
  <si>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</si>
  <si>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</si>
  <si>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</si>
  <si>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</si>
  <si>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</si>
  <si>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</si>
  <si>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</si>
  <si>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</si>
  <si>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</si>
  <si>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</si>
  <si>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</si>
  <si>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</si>
  <si>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</si>
  <si>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</si>
  <si>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</si>
  <si>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</si>
  <si>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</si>
  <si>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</si>
  <si>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</si>
  <si>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</si>
  <si>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</si>
  <si>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</si>
  <si>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</si>
  <si>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</si>
  <si>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</si>
  <si>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</si>
  <si>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</si>
  <si>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</si>
  <si>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</si>
  <si>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</si>
  <si>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</si>
  <si>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</si>
  <si>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</si>
  <si>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</si>
  <si>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</si>
  <si>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</si>
  <si>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</si>
  <si>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</si>
  <si>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</si>
  <si>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</si>
  <si>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</si>
  <si>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</si>
  <si>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</si>
  <si>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</si>
  <si>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</si>
  <si>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</si>
  <si>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</si>
  <si>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</si>
  <si>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</si>
  <si>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</si>
  <si>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</si>
  <si>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</si>
  <si>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</si>
  <si>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</si>
  <si>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</si>
  <si>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</si>
  <si>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</si>
  <si>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</si>
  <si>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</si>
  <si>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</si>
  <si>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</si>
  <si>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</si>
  <si>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</si>
  <si>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</si>
  <si>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</si>
  <si>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</si>
  <si>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</si>
  <si>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</si>
  <si>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</si>
  <si>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</si>
  <si>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</si>
  <si>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</si>
  <si>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</si>
  <si>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</si>
  <si>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</si>
  <si>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</si>
  <si>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</si>
  <si>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</si>
  <si>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</si>
  <si>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</si>
  <si>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</si>
  <si>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</si>
  <si>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</si>
  <si>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</si>
  <si>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</si>
  <si>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</si>
  <si>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</si>
  <si>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</si>
  <si>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</si>
  <si>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</si>
  <si>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</si>
  <si>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</si>
  <si>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</si>
  <si>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</si>
  <si>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</si>
  <si>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</si>
  <si>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</si>
  <si>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</si>
  <si>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</si>
  <si>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</si>
  <si>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</si>
  <si>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</si>
  <si>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</si>
  <si>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</si>
  <si>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</si>
  <si>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</si>
  <si>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</si>
  <si>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</si>
  <si>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</si>
  <si>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</si>
  <si>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</si>
  <si>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</si>
  <si>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</si>
  <si>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</si>
  <si>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</si>
  <si>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</si>
  <si>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</si>
  <si>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</si>
  <si>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</si>
  <si>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</si>
  <si>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</si>
  <si>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</si>
  <si>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</si>
  <si>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</si>
  <si>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</si>
  <si>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</si>
  <si>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</si>
  <si>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</si>
  <si>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</si>
  <si>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</si>
  <si>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</si>
  <si>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</si>
  <si>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</si>
  <si>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</si>
  <si>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</si>
  <si>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</si>
  <si>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</si>
  <si>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</si>
  <si>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</si>
  <si>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</si>
  <si>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</si>
  <si>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</si>
  <si>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</si>
  <si>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</si>
  <si>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</si>
  <si>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</si>
  <si>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</si>
  <si>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</si>
  <si>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</si>
  <si>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</si>
  <si>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</si>
  <si>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</si>
  <si>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</si>
  <si>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</si>
  <si>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</si>
  <si>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</si>
  <si>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</si>
  <si>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</si>
  <si>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</si>
  <si>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</si>
  <si>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</si>
  <si>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</si>
  <si>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</si>
  <si>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</si>
  <si>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</si>
  <si>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</si>
  <si>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</si>
  <si>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</si>
  <si>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</si>
  <si>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</si>
  <si>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</si>
  <si>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</si>
  <si>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</si>
  <si>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</si>
  <si>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</si>
  <si>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</si>
  <si>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</si>
  <si>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</si>
  <si>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</si>
  <si>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</si>
  <si>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</si>
  <si>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</si>
  <si>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</si>
  <si>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</si>
  <si>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</si>
  <si>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</si>
  <si>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</si>
  <si>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</si>
  <si>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</si>
  <si>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</si>
  <si>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</si>
  <si>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</si>
  <si>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</si>
  <si>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</si>
  <si>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</si>
  <si>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</si>
  <si>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</si>
  <si>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</si>
  <si>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</si>
  <si>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</si>
  <si>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</si>
  <si>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</si>
  <si>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</si>
  <si>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</si>
  <si>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</si>
  <si>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</si>
  <si>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</si>
  <si>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</si>
  <si>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</si>
  <si>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</si>
  <si>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</si>
  <si>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</si>
  <si>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</si>
  <si>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</si>
  <si>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</si>
  <si>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</si>
  <si>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</si>
  <si>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</si>
  <si>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</si>
  <si>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</si>
  <si>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</si>
  <si>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</si>
  <si>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</si>
  <si>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</si>
  <si>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</si>
  <si>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</si>
  <si>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</si>
  <si>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</si>
  <si>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</si>
  <si>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</si>
  <si>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</si>
  <si>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</si>
  <si>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</si>
  <si>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</si>
  <si>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</si>
  <si>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</si>
  <si>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</si>
  <si>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</si>
  <si>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</si>
  <si>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</si>
  <si>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</si>
  <si>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</si>
  <si>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</si>
  <si>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</si>
  <si>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</si>
  <si>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</si>
  <si>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</si>
  <si>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</si>
  <si>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</si>
  <si>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</si>
  <si>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</si>
  <si>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</si>
  <si>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</si>
  <si>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</si>
  <si>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</si>
  <si>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</si>
  <si>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</si>
  <si>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</si>
  <si>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</si>
  <si>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</si>
  <si>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</si>
  <si>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</si>
  <si>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</si>
  <si>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</si>
  <si>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</si>
  <si>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</si>
  <si>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</si>
  <si>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</si>
  <si>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</si>
  <si>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</si>
  <si>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</si>
  <si>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</si>
  <si>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</si>
  <si>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</si>
  <si>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</si>
  <si>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</si>
  <si>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</si>
  <si>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</si>
  <si>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</si>
  <si>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</si>
  <si>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</si>
  <si>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</si>
  <si>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</si>
  <si>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</si>
  <si>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</si>
  <si>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</si>
  <si>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</si>
  <si>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</si>
  <si>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</si>
  <si>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</si>
  <si>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</si>
  <si>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</si>
  <si>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</si>
  <si>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</si>
  <si>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</si>
  <si>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</si>
  <si>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</si>
  <si>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</si>
  <si>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</si>
  <si>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</si>
  <si>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</si>
  <si>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</si>
  <si>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</si>
  <si>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</si>
  <si>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</si>
  <si>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</si>
  <si>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</si>
  <si>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</si>
  <si>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</si>
  <si>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</si>
  <si>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</si>
  <si>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</si>
  <si>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</si>
  <si>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</si>
  <si>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</si>
  <si>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</si>
  <si>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</si>
  <si>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</si>
  <si>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</si>
  <si>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</si>
  <si>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</si>
  <si>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</si>
  <si>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</si>
  <si>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</si>
  <si>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</si>
  <si>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</si>
  <si>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</si>
  <si>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</si>
  <si>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</si>
  <si>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</si>
  <si>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</si>
  <si>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</si>
  <si>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</si>
  <si>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</si>
  <si>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</si>
  <si>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</si>
  <si>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</si>
  <si>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</si>
  <si>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</si>
  <si>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</si>
  <si>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</si>
  <si>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</si>
  <si>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</si>
  <si>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</si>
  <si>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</si>
  <si>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</si>
  <si>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</si>
  <si>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</si>
  <si>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</si>
  <si>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</si>
  <si>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</si>
  <si>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</si>
  <si>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</si>
  <si>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</si>
  <si>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</si>
  <si>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</si>
  <si>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</si>
  <si>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</si>
  <si>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</si>
  <si>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</si>
  <si>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</si>
  <si>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</si>
  <si>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</si>
  <si>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</si>
  <si>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</si>
  <si>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</si>
  <si>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</si>
  <si>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</si>
  <si>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</si>
  <si>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</si>
  <si>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</si>
  <si>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</si>
  <si>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</si>
  <si>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</si>
  <si>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</si>
  <si>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</si>
  <si>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</si>
  <si>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</si>
  <si>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</si>
  <si>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</si>
  <si>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</si>
  <si>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</si>
  <si>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</si>
  <si>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</si>
  <si>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</si>
  <si>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</si>
  <si>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</si>
  <si>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</si>
  <si>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</si>
  <si>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</si>
  <si>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</si>
  <si>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</si>
  <si>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</si>
  <si>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</si>
  <si>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</si>
  <si>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</si>
  <si>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</si>
  <si>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</si>
  <si>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</si>
  <si>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</si>
  <si>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</si>
  <si>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</si>
  <si>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</si>
  <si>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</si>
  <si>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</si>
  <si>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</si>
  <si>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</si>
  <si>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</si>
  <si>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</si>
  <si>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</si>
  <si>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</si>
  <si>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</si>
  <si>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</si>
  <si>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</si>
  <si>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</si>
  <si>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</si>
  <si>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</si>
  <si>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</si>
  <si>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</si>
  <si>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</si>
  <si>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</si>
  <si>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</si>
  <si>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</si>
  <si>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</si>
  <si>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</si>
  <si>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</si>
  <si>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</si>
  <si>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</si>
  <si>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</si>
  <si>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</si>
  <si>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</si>
  <si>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</si>
  <si>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</si>
  <si>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</si>
  <si>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</si>
  <si>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</si>
  <si>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</si>
  <si>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</si>
  <si>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</si>
  <si>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</si>
  <si>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</si>
  <si>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</si>
  <si>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</si>
  <si>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</si>
  <si>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</si>
  <si>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</si>
  <si>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</si>
  <si>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</si>
  <si>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</si>
  <si>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</si>
  <si>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</si>
  <si>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</si>
  <si>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</si>
  <si>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</si>
  <si>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</si>
  <si>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</si>
  <si>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</si>
  <si>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</si>
  <si>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</si>
  <si>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</si>
  <si>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</si>
  <si>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</si>
  <si>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</si>
  <si>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</si>
  <si>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</si>
  <si>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</si>
  <si>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</si>
  <si>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</si>
  <si>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</si>
  <si>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</si>
  <si>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</si>
  <si>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</si>
  <si>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</si>
  <si>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</si>
  <si>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</si>
  <si>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</si>
  <si>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</si>
  <si>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</si>
  <si>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</si>
  <si>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</si>
  <si>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</si>
  <si>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</si>
  <si>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</si>
  <si>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</si>
  <si>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</si>
  <si>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</si>
  <si>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</si>
  <si>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</si>
  <si>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</si>
  <si>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</si>
  <si>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</si>
  <si>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</si>
  <si>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</si>
  <si>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</si>
  <si>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</si>
  <si>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</si>
  <si>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</si>
  <si>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</si>
  <si>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</si>
  <si>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</si>
  <si>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</si>
  <si>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</si>
  <si>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</si>
  <si>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</si>
  <si>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</si>
  <si>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</si>
  <si>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</si>
  <si>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</si>
  <si>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</si>
  <si>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</si>
  <si>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</si>
  <si>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</si>
  <si>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</si>
  <si>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</si>
  <si>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</si>
  <si>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</si>
  <si>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</si>
  <si>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</si>
  <si>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</si>
  <si>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</si>
  <si>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</si>
  <si>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</si>
  <si>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</si>
  <si>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</si>
  <si>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</si>
  <si>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</si>
  <si>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</si>
  <si>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</si>
  <si>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</si>
  <si>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</si>
  <si>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</si>
  <si>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</si>
  <si>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</si>
  <si>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</si>
  <si>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</si>
  <si>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</si>
  <si>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</si>
  <si>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</si>
  <si>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</si>
  <si>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</si>
  <si>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</si>
  <si>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</si>
  <si>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</si>
  <si>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</si>
  <si>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</si>
  <si>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</si>
  <si>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</si>
  <si>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</si>
  <si>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</si>
  <si>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</si>
  <si>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</si>
  <si>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</si>
  <si>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</si>
  <si>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</si>
  <si>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</si>
  <si>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</si>
  <si>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</si>
  <si>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</si>
  <si>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</si>
  <si>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</si>
  <si>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</si>
  <si>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</si>
  <si>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</si>
  <si>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</si>
  <si>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</si>
  <si>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</si>
  <si>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</si>
  <si>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</si>
  <si>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</si>
  <si>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</si>
  <si>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</si>
  <si>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</si>
  <si>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</si>
  <si>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</si>
  <si>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</si>
  <si>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</si>
  <si>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</si>
  <si>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</si>
  <si>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</si>
  <si>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</si>
  <si>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</si>
  <si>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</si>
  <si>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</si>
  <si>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</si>
  <si>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</si>
  <si>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</si>
  <si>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</si>
  <si>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</si>
  <si>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</si>
  <si>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</si>
  <si>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</si>
  <si>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</si>
  <si>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</si>
  <si>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</si>
  <si>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</si>
  <si>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</si>
  <si>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</si>
  <si>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</si>
  <si>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</si>
  <si>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</si>
  <si>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</si>
  <si>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</si>
  <si>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</si>
  <si>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</si>
  <si>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</si>
  <si>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</si>
  <si>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</si>
  <si>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</si>
  <si>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</si>
  <si>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</si>
  <si>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</si>
  <si>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</si>
  <si>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</si>
  <si>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</si>
  <si>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</si>
  <si>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</si>
  <si>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</si>
  <si>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</si>
  <si>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</si>
  <si>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</si>
  <si>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</si>
  <si>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</si>
  <si>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</si>
  <si>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</si>
  <si>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</si>
  <si>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</si>
  <si>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</si>
  <si>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</si>
  <si>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</si>
  <si>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</si>
  <si>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</si>
  <si>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</si>
  <si>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</si>
  <si>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</si>
  <si>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</si>
  <si>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</si>
  <si>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</si>
  <si>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</si>
  <si>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</si>
  <si>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</si>
  <si>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</si>
  <si>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</si>
  <si>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</si>
  <si>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</si>
  <si>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</si>
  <si>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</si>
  <si>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</si>
  <si>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</si>
  <si>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</si>
  <si>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</si>
  <si>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</si>
  <si>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</si>
  <si>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</si>
  <si>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</si>
  <si>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</si>
  <si>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</si>
  <si>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</si>
  <si>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</si>
  <si>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</si>
  <si>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</si>
  <si>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</si>
  <si>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</si>
  <si>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</si>
  <si>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</si>
  <si>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</si>
  <si>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</si>
  <si>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</si>
  <si>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</si>
  <si>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</si>
  <si>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</si>
  <si>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</si>
  <si>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</si>
  <si>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</si>
  <si>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</si>
  <si>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</si>
  <si>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</si>
  <si>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</si>
  <si>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</si>
  <si>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</si>
  <si>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</si>
  <si>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</si>
  <si>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</si>
  <si>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</si>
  <si>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</si>
  <si>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</si>
  <si>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</si>
  <si>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</si>
  <si>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</si>
  <si>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</si>
  <si>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</si>
  <si>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</si>
  <si>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</si>
  <si>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</si>
  <si>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</si>
  <si>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</si>
  <si>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</si>
  <si>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</si>
  <si>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</si>
  <si>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</si>
  <si>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</si>
  <si>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</si>
  <si>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</si>
  <si>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</si>
  <si>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</si>
  <si>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</si>
  <si>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</si>
  <si>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</si>
  <si>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</si>
  <si>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</si>
  <si>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</si>
  <si>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</si>
  <si>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</si>
  <si>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</si>
  <si>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</si>
  <si>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</si>
  <si>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</si>
  <si>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</si>
  <si>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</si>
  <si>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</si>
  <si>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</si>
  <si>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</si>
  <si>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</si>
  <si>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</si>
  <si>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</si>
  <si>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</si>
  <si>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</si>
  <si>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</si>
  <si>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</si>
  <si>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</si>
  <si>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</si>
  <si>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</si>
  <si>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</si>
  <si>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</si>
  <si>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</si>
  <si>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</si>
  <si>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</si>
  <si>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</si>
  <si>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</si>
  <si>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</si>
  <si>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</si>
  <si>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</si>
  <si>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</si>
  <si>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</si>
  <si>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</si>
  <si>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</si>
  <si>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</si>
  <si>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</si>
  <si>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</si>
  <si>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</si>
  <si>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</si>
  <si>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</si>
  <si>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</si>
  <si>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</si>
  <si>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</si>
  <si>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</si>
  <si>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</si>
  <si>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</si>
  <si>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</si>
  <si>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</si>
  <si>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</si>
  <si>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</si>
  <si>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</si>
  <si>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</si>
  <si>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</si>
  <si>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</si>
  <si>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</si>
  <si>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</si>
  <si>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</si>
  <si>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</si>
  <si>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</si>
  <si>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</si>
  <si>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</si>
  <si>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</si>
  <si>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</si>
  <si>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</si>
  <si>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</si>
  <si>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</si>
  <si>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</si>
  <si>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</si>
  <si>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</si>
  <si>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</si>
  <si>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</si>
  <si>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</si>
  <si>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</si>
  <si>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</si>
  <si>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</si>
  <si>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</si>
  <si>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</si>
  <si>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</si>
  <si>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</si>
  <si>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</si>
  <si>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</si>
  <si>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</si>
  <si>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</si>
  <si>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</si>
  <si>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</si>
  <si>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</si>
  <si>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</si>
  <si>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</si>
  <si>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</si>
  <si>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</si>
  <si>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</si>
  <si>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</si>
  <si>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</si>
  <si>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</si>
  <si>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</si>
  <si>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</si>
  <si>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</si>
  <si>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</si>
  <si>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</si>
  <si>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</si>
  <si>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</si>
  <si>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</si>
  <si>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</si>
  <si>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</si>
  <si>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</si>
  <si>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</si>
  <si>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</si>
  <si>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</si>
  <si>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</si>
  <si>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</si>
  <si>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</si>
  <si>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</si>
  <si>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</si>
  <si>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</si>
  <si>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</si>
  <si>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</si>
  <si>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</si>
  <si>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</si>
  <si>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</si>
  <si>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</si>
  <si>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</si>
  <si>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</si>
  <si>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</si>
  <si>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</si>
  <si>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</si>
  <si>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</si>
  <si>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</si>
  <si>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</si>
  <si>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</si>
  <si>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</si>
  <si>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</si>
  <si>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</si>
  <si>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</si>
  <si>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</si>
  <si>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</si>
  <si>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</si>
  <si>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</si>
  <si>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</si>
  <si>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</si>
  <si>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</si>
  <si>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</si>
  <si>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</si>
  <si>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</si>
  <si>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</si>
  <si>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</si>
  <si>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</si>
  <si>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</si>
  <si>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</si>
  <si>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</si>
  <si>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</si>
  <si>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</si>
  <si>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</si>
  <si>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</si>
  <si>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</si>
  <si>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</si>
  <si>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</si>
  <si>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</si>
  <si>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</si>
  <si>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</si>
  <si>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</si>
  <si>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</si>
  <si>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</si>
  <si>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</si>
  <si>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</si>
  <si>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</si>
  <si>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</si>
  <si>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</si>
  <si>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</si>
  <si>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</si>
  <si>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</si>
  <si>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</si>
  <si>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</si>
  <si>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</si>
  <si>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</si>
  <si>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</si>
  <si>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</si>
  <si>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</si>
  <si>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</si>
  <si>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</si>
  <si>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</si>
  <si>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</si>
  <si>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</si>
  <si>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</si>
  <si>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</si>
  <si>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</si>
  <si>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</si>
  <si>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</si>
  <si>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</si>
  <si>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</si>
  <si>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</si>
  <si>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</si>
  <si>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</si>
  <si>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</si>
  <si>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</si>
  <si>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</si>
  <si>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</si>
  <si>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</si>
  <si>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</si>
  <si>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</si>
  <si>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</si>
  <si>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</si>
  <si>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</si>
  <si>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</si>
  <si>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</si>
  <si>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</si>
  <si>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</si>
  <si>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</si>
  <si>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</si>
  <si>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</si>
  <si>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</si>
  <si>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</si>
  <si>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</si>
  <si>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</si>
  <si>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</si>
  <si>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</si>
  <si>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</si>
  <si>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</si>
  <si>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</si>
  <si>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</si>
  <si>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</si>
  <si>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</si>
  <si>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</si>
  <si>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</si>
  <si>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</si>
  <si>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</si>
  <si>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</si>
  <si>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</si>
  <si>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</si>
  <si>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</si>
  <si>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</si>
  <si>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</si>
  <si>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</si>
  <si>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</si>
  <si>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</si>
  <si>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</si>
  <si>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</si>
  <si>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</si>
  <si>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</si>
  <si>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</si>
  <si>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</si>
  <si>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</si>
  <si>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</si>
  <si>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</si>
  <si>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</si>
  <si>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</si>
  <si>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</si>
  <si>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</si>
  <si>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</si>
  <si>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</si>
  <si>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</si>
  <si>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</si>
  <si>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</si>
  <si>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</si>
  <si>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</si>
  <si>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</si>
  <si>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</si>
  <si>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</si>
  <si>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</si>
  <si>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</si>
  <si>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</si>
  <si>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</si>
  <si>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</si>
  <si>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</si>
  <si>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</si>
  <si>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</si>
  <si>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</si>
  <si>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</si>
  <si>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</si>
  <si>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</si>
  <si>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</si>
  <si>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</si>
  <si>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</si>
  <si>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</si>
  <si>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</si>
  <si>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</si>
  <si>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</si>
  <si>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</si>
  <si>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</si>
  <si>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</si>
  <si>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</si>
  <si>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</si>
  <si>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</si>
  <si>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</si>
  <si>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</si>
  <si>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</si>
  <si>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</si>
  <si>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</si>
  <si>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</si>
  <si>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</si>
  <si>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</si>
  <si>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</si>
  <si>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</si>
  <si>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</si>
  <si>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</si>
  <si>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</si>
  <si>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</si>
  <si>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</si>
  <si>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</si>
  <si>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</si>
  <si>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</si>
  <si>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</si>
  <si>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</si>
  <si>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</si>
  <si>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</si>
  <si>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</si>
  <si>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</si>
  <si>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</si>
  <si>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</si>
  <si>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</si>
  <si>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</si>
  <si>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</si>
  <si>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</si>
  <si>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</si>
  <si>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</si>
  <si>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</si>
  <si>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</si>
  <si>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</si>
  <si>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</si>
  <si>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</si>
  <si>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</si>
  <si>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</si>
  <si>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</si>
  <si>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</si>
  <si>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</si>
  <si>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</si>
  <si>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</si>
  <si>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</si>
  <si>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</si>
  <si>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</si>
  <si>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</si>
  <si>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</si>
  <si>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</si>
  <si>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</si>
  <si>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</si>
  <si>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</si>
  <si>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</si>
  <si>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</si>
  <si>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</si>
  <si>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</si>
  <si>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</si>
  <si>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</si>
  <si>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</si>
  <si>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</si>
  <si>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</si>
  <si>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</si>
  <si>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</si>
  <si>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</si>
  <si>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</si>
  <si>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</si>
  <si>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</si>
  <si>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</si>
  <si>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</si>
  <si>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</si>
  <si>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</si>
  <si>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</si>
  <si>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</si>
  <si>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</si>
  <si>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</si>
  <si>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</si>
  <si>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</si>
  <si>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</si>
  <si>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</si>
  <si>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</si>
  <si>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</si>
  <si>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</si>
  <si>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</si>
  <si>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</si>
  <si>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</si>
  <si>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</si>
  <si>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</si>
  <si>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</si>
  <si>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</si>
  <si>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</si>
  <si>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</si>
  <si>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</si>
  <si>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</si>
  <si>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</si>
  <si>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</si>
  <si>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</si>
  <si>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</si>
  <si>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</si>
  <si>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</si>
  <si>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</si>
  <si>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</si>
  <si>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</si>
  <si>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</si>
  <si>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</si>
  <si>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</si>
  <si>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</si>
  <si>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</si>
  <si>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</si>
  <si>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</si>
  <si>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</si>
  <si>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</si>
  <si>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</si>
  <si>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</si>
  <si>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</si>
  <si>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</si>
  <si>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</si>
  <si>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</si>
  <si>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</si>
  <si>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</si>
  <si>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</si>
  <si>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</si>
  <si>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</si>
  <si>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</si>
  <si>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</si>
  <si>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</si>
  <si>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</si>
  <si>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</si>
  <si>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</si>
  <si>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</si>
  <si>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</si>
  <si>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</si>
  <si>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</si>
  <si>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</si>
  <si>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</si>
  <si>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</si>
  <si>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</si>
  <si>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</si>
  <si>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</si>
  <si>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</si>
  <si>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</si>
  <si>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</si>
  <si>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</si>
  <si>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</si>
  <si>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</si>
  <si>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</si>
  <si>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</si>
  <si>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</si>
  <si>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</si>
  <si>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</si>
  <si>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</si>
  <si>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</si>
  <si>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</si>
  <si>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</si>
  <si>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</si>
  <si>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</si>
  <si>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</si>
  <si>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</si>
  <si>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</si>
  <si>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</si>
  <si>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</si>
  <si>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</si>
  <si>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</si>
  <si>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</si>
  <si>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</si>
  <si>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</si>
  <si>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</si>
  <si>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</si>
  <si>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</si>
  <si>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</si>
  <si>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</si>
  <si>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</si>
  <si>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</si>
  <si>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</si>
  <si>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</si>
  <si>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</si>
  <si>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</si>
  <si>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</si>
  <si>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</si>
  <si>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</si>
  <si>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</si>
  <si>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</si>
  <si>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</si>
  <si>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</si>
  <si>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</si>
  <si>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</si>
  <si>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</si>
  <si>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</si>
  <si>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</si>
  <si>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</si>
  <si>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</si>
  <si>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</si>
  <si>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</si>
  <si>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</si>
  <si>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</si>
  <si>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</si>
  <si>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</si>
  <si>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</si>
  <si>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</si>
  <si>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</si>
  <si>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</si>
  <si>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</si>
  <si>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</si>
  <si>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</si>
  <si>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</si>
  <si>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</si>
  <si>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</si>
  <si>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</si>
  <si>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</si>
  <si>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</si>
  <si>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</si>
  <si>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</si>
  <si>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</si>
  <si>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</si>
  <si>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</si>
  <si>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</si>
  <si>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</si>
  <si>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</si>
  <si>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</si>
  <si>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</si>
  <si>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</si>
  <si>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</si>
  <si>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</si>
  <si>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</si>
  <si>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</si>
  <si>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</si>
  <si>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</si>
  <si>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</si>
  <si>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</si>
  <si>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</si>
  <si>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</si>
  <si>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</si>
  <si>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</si>
  <si>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</si>
  <si>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</si>
  <si>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</si>
  <si>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</si>
  <si>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</si>
  <si>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</si>
  <si>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</si>
  <si>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</si>
  <si>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</si>
  <si>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</si>
  <si>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</si>
  <si>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</si>
  <si>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</si>
  <si>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</si>
  <si>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</si>
  <si>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</si>
  <si>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</si>
  <si>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</si>
  <si>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</si>
  <si>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</si>
  <si>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</si>
  <si>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</si>
  <si>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</si>
  <si>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</si>
  <si>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</si>
  <si>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</si>
  <si>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</si>
  <si>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</si>
  <si>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</si>
  <si>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</si>
  <si>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</si>
  <si>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</si>
  <si>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</si>
  <si>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</si>
  <si>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</si>
  <si>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</si>
  <si>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</si>
  <si>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</si>
  <si>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</si>
  <si>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</si>
  <si>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</si>
  <si>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</si>
  <si>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</si>
  <si>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</si>
  <si>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</si>
  <si>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</si>
  <si>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</si>
  <si>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</si>
  <si>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</si>
  <si>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</si>
  <si>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</si>
  <si>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</si>
  <si>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</si>
  <si>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</si>
  <si>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</si>
  <si>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</si>
  <si>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</si>
  <si>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</si>
  <si>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</si>
  <si>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</si>
  <si>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</si>
  <si>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</si>
  <si>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</si>
  <si>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</si>
  <si>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</si>
  <si>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</si>
  <si>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</si>
  <si>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</si>
  <si>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</si>
  <si>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</si>
  <si>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</si>
  <si>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</si>
  <si>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</si>
  <si>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</si>
  <si>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</si>
  <si>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</si>
  <si>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</si>
  <si>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</si>
  <si>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</si>
  <si>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</si>
  <si>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</si>
  <si>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</si>
  <si>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</si>
  <si>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</si>
  <si>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</si>
  <si>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</si>
  <si>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</si>
  <si>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</si>
  <si>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</si>
  <si>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</si>
  <si>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</si>
  <si>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</si>
  <si>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</si>
  <si>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</si>
  <si>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</si>
  <si>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</si>
  <si>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</si>
  <si>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</si>
  <si>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</si>
  <si>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</si>
  <si>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</si>
  <si>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</si>
  <si>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</si>
  <si>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</si>
  <si>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</si>
  <si>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</si>
  <si>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</si>
  <si>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</si>
  <si>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</si>
  <si>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</si>
  <si>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</si>
  <si>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</si>
  <si>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</si>
  <si>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</si>
  <si>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</si>
  <si>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</si>
  <si>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</si>
  <si>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</si>
  <si>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</si>
  <si>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</si>
  <si>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</si>
  <si>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</si>
  <si>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</si>
  <si>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</si>
  <si>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</si>
  <si>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</si>
  <si>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</si>
  <si>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</si>
  <si>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</si>
  <si>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</si>
  <si>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</si>
  <si>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</si>
  <si>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</si>
  <si>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</si>
  <si>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</si>
  <si>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</si>
  <si>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</si>
  <si>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</si>
  <si>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</si>
  <si>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</si>
  <si>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</si>
  <si>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</si>
  <si>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</si>
  <si>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</si>
  <si>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</si>
  <si>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</si>
  <si>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</si>
  <si>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</si>
  <si>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</si>
  <si>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</si>
  <si>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</si>
  <si>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</si>
  <si>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</si>
  <si>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</si>
  <si>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</si>
  <si>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</si>
  <si>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</si>
  <si>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</si>
  <si>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</si>
  <si>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</si>
  <si>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</si>
  <si>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</si>
  <si>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</si>
  <si>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</si>
  <si>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</si>
  <si>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</si>
  <si>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</si>
  <si>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</si>
  <si>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</si>
  <si>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</si>
  <si>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</si>
  <si>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</si>
  <si>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</si>
  <si>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</si>
  <si>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</si>
  <si>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</si>
  <si>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</si>
  <si>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</si>
  <si>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</si>
  <si>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</si>
  <si>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</si>
  <si>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</si>
  <si>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</si>
  <si>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</si>
  <si>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</si>
  <si>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</si>
  <si>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</si>
  <si>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</si>
  <si>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</si>
  <si>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</si>
  <si>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</si>
  <si>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</si>
  <si>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</si>
  <si>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</si>
  <si>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</si>
  <si>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</si>
  <si>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</si>
  <si>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</si>
  <si>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</si>
  <si>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</si>
  <si>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</si>
  <si>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</si>
  <si>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</si>
  <si>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</si>
  <si>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</si>
  <si>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</si>
  <si>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</si>
  <si>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</si>
  <si>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</si>
  <si>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</si>
  <si>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</si>
  <si>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</si>
  <si>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</si>
  <si>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</si>
  <si>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</si>
  <si>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</si>
  <si>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</si>
  <si>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</si>
  <si>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</si>
  <si>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</si>
  <si>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</si>
  <si>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</si>
  <si>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</si>
  <si>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</si>
  <si>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</si>
  <si>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</si>
  <si>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</si>
  <si>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</si>
  <si>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</si>
  <si>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</si>
  <si>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</si>
  <si>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</si>
  <si>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</si>
  <si>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</si>
  <si>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</si>
  <si>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</si>
  <si>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</si>
  <si>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</si>
  <si>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</si>
  <si>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</si>
  <si>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</si>
  <si>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</si>
  <si>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</si>
  <si>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</si>
  <si>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</si>
  <si>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</si>
  <si>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</si>
  <si>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</si>
  <si>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</si>
  <si>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</si>
  <si>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</si>
  <si>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</si>
  <si>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</si>
  <si>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</si>
  <si>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</si>
  <si>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</si>
  <si>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</si>
  <si>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</si>
  <si>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</si>
  <si>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</si>
  <si>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</si>
  <si>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</si>
  <si>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</si>
  <si>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</si>
  <si>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</si>
  <si>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</si>
  <si>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</si>
  <si>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</si>
  <si>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</si>
  <si>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</si>
  <si>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</si>
  <si>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</si>
  <si>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</si>
  <si>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</si>
  <si>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</si>
  <si>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</si>
  <si>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</si>
  <si>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</si>
  <si>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</si>
  <si>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</si>
  <si>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</si>
  <si>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</si>
  <si>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</si>
  <si>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</si>
  <si>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</si>
  <si>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</si>
  <si>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</si>
  <si>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</si>
  <si>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</si>
  <si>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</si>
  <si>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</si>
  <si>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</si>
  <si>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</si>
  <si>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</si>
  <si>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</si>
  <si>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</si>
  <si>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</si>
  <si>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</si>
  <si>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</si>
  <si>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</si>
  <si>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</si>
  <si>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</si>
  <si>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</si>
  <si>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</si>
  <si>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</si>
  <si>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</si>
  <si>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</si>
  <si>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</si>
  <si>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</si>
  <si>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</si>
  <si>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</si>
  <si>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</si>
  <si>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</si>
  <si>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</si>
  <si>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</si>
  <si>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</si>
  <si>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</si>
  <si>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</si>
  <si>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</si>
  <si>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</si>
  <si>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</si>
  <si>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</si>
  <si>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</si>
  <si>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</si>
  <si>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</si>
  <si>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</si>
  <si>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</si>
  <si>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</si>
  <si>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</si>
  <si>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</si>
  <si>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</si>
  <si>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</si>
  <si>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</si>
  <si>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</si>
  <si>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</si>
  <si>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</si>
  <si>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</si>
  <si>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</si>
  <si>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</si>
  <si>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</si>
  <si>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</si>
  <si>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</si>
  <si>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</si>
  <si>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</si>
  <si>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</si>
  <si>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</si>
  <si>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</si>
  <si>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</si>
  <si>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</si>
  <si>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</si>
  <si>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</si>
  <si>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</si>
  <si>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</si>
  <si>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</si>
  <si>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</si>
  <si>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</si>
  <si>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</si>
  <si>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</si>
  <si>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</si>
  <si>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</si>
  <si>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</si>
  <si>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</si>
  <si>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</si>
  <si>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</si>
  <si>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</si>
  <si>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</si>
  <si>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</si>
  <si>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</si>
  <si>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</si>
  <si>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</si>
  <si>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</si>
  <si>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</si>
  <si>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</si>
  <si>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</si>
  <si>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</si>
  <si>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</si>
  <si>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</si>
  <si>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</si>
  <si>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</si>
  <si>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</si>
  <si>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</si>
  <si>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</si>
  <si>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</si>
  <si>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</si>
  <si>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</si>
  <si>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</si>
  <si>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</si>
  <si>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</si>
  <si>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</si>
  <si>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</si>
  <si>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</si>
  <si>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</si>
  <si>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</si>
  <si>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</si>
  <si>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</si>
  <si>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</si>
  <si>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</si>
  <si>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</si>
  <si>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</si>
  <si>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</si>
  <si>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</si>
  <si>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</si>
  <si>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</si>
  <si>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</si>
  <si>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</si>
  <si>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</si>
  <si>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</si>
  <si>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</si>
  <si>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</si>
  <si>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</si>
  <si>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</si>
  <si>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</si>
  <si>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</si>
  <si>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</si>
  <si>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</si>
  <si>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</si>
  <si>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</si>
  <si>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</si>
  <si>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</si>
  <si>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</si>
  <si>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</si>
  <si>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</si>
  <si>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</si>
  <si>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</si>
  <si>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</si>
  <si>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</si>
  <si>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</si>
  <si>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</si>
  <si>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</si>
  <si>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</si>
  <si>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</si>
  <si>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</si>
  <si>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</si>
  <si>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</si>
  <si>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</si>
  <si>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</si>
  <si>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</si>
  <si>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</si>
  <si>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</si>
  <si>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</si>
  <si>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</si>
  <si>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</si>
  <si>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</si>
  <si>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</si>
  <si>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</si>
  <si>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</si>
  <si>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</si>
  <si>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</si>
  <si>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</si>
  <si>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</si>
  <si>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</si>
  <si>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</si>
  <si>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</si>
  <si>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</si>
  <si>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</si>
  <si>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</si>
  <si>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</si>
  <si>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</si>
  <si>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</si>
  <si>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</si>
  <si>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</si>
  <si>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</si>
  <si>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</si>
  <si>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</si>
  <si>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</si>
  <si>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</si>
  <si>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</si>
  <si>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</si>
  <si>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</si>
  <si>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</si>
  <si>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</si>
  <si>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</si>
  <si>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</si>
  <si>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</si>
  <si>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</si>
  <si>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</si>
  <si>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</si>
  <si>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</si>
  <si>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</si>
  <si>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</si>
  <si>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</si>
  <si>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</si>
  <si>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</si>
  <si>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</si>
  <si>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</si>
  <si>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</si>
  <si>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</si>
  <si>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</si>
  <si>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</si>
  <si>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</si>
  <si>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</si>
  <si>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</si>
  <si>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</si>
  <si>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</si>
  <si>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</si>
  <si>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</si>
  <si>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</si>
  <si>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</si>
  <si>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</si>
  <si>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</si>
  <si>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</si>
  <si>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</si>
  <si>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</si>
  <si>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</si>
  <si>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</si>
  <si>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</si>
  <si>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</si>
  <si>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</si>
  <si>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</si>
  <si>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</si>
  <si>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</si>
  <si>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</si>
  <si>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</si>
  <si>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</si>
  <si>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</si>
  <si>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</si>
  <si>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</si>
  <si>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</si>
  <si>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</si>
  <si>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</si>
  <si>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</si>
  <si>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</si>
  <si>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</si>
  <si>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</si>
  <si>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</si>
  <si>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</si>
  <si>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</si>
  <si>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</si>
  <si>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</si>
  <si>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</si>
  <si>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</si>
  <si>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</si>
  <si>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</si>
  <si>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</si>
  <si>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</si>
  <si>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</si>
  <si>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</si>
  <si>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</si>
  <si>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</si>
  <si>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</si>
  <si>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</si>
  <si>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</si>
  <si>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</si>
  <si>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</si>
  <si>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</si>
  <si>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</si>
  <si>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</si>
  <si>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</si>
  <si>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</si>
  <si>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</si>
  <si>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</si>
  <si>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</si>
  <si>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</si>
  <si>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</si>
  <si>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</si>
  <si>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</si>
  <si>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</si>
  <si>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</si>
  <si>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</si>
  <si>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</si>
  <si>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</si>
  <si>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</si>
  <si>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</si>
  <si>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</si>
  <si>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</si>
  <si>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</si>
  <si>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</si>
  <si>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</si>
  <si>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</si>
  <si>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</si>
  <si>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</si>
  <si>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</si>
  <si>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</si>
  <si>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</si>
  <si>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</si>
  <si>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</si>
  <si>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</si>
  <si>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</si>
  <si>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</si>
  <si>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</si>
  <si>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</si>
  <si>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</si>
  <si>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</si>
  <si>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</si>
  <si>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</si>
  <si>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</si>
  <si>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</si>
  <si>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</si>
  <si>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</si>
  <si>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</si>
  <si>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</si>
  <si>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</si>
  <si>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</si>
  <si>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</si>
  <si>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</si>
  <si>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</si>
  <si>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</si>
  <si>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</si>
  <si>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</si>
  <si>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</si>
  <si>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</si>
  <si>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</si>
  <si>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</si>
  <si>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</si>
  <si>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</si>
  <si>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</si>
  <si>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</si>
  <si>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</si>
  <si>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</si>
  <si>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</si>
  <si>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Kujawa &amp; Batteau, P.C.</t>
  </si>
  <si>
    <t>Jefferson</t>
  </si>
  <si>
    <t>Kevin Batteau</t>
  </si>
  <si>
    <t>McClellan CCSD 12</t>
  </si>
  <si>
    <t>309 S. Walnut St.</t>
  </si>
  <si>
    <t>9475 N. IL Highway 148</t>
  </si>
  <si>
    <t xml:space="preserve">Pinckneyville </t>
  </si>
  <si>
    <t>IL</t>
  </si>
  <si>
    <t>Mt. Vernon</t>
  </si>
  <si>
    <t>618-357-3000</t>
  </si>
  <si>
    <t>618-357-3654</t>
  </si>
  <si>
    <t>62864-6379</t>
  </si>
  <si>
    <t>kbatteau@kandb-cpa.com</t>
  </si>
  <si>
    <t>X</t>
  </si>
  <si>
    <t>ccds@mcclellanschool.net</t>
  </si>
  <si>
    <t>x</t>
  </si>
  <si>
    <t>618-244-8072</t>
  </si>
  <si>
    <t>618-201-0368</t>
  </si>
  <si>
    <t>terry_milt@yahoo.com</t>
  </si>
  <si>
    <t>Terry Milt</t>
  </si>
  <si>
    <t>General Obligation School Bonds, 2013</t>
  </si>
  <si>
    <t>General Obligation School Bonds, 2017</t>
  </si>
  <si>
    <t>Franklin-Jefferson Special Education</t>
  </si>
  <si>
    <t>N/A</t>
  </si>
  <si>
    <t>General Obligation School Bonds, 2019</t>
  </si>
  <si>
    <t>20-2540-300</t>
  </si>
  <si>
    <t>Grays's Lawn Service</t>
  </si>
  <si>
    <t xml:space="preserve">Support Services-Operations &amp; Maintenance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</si>
</sst>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251114</xdr:colOff>
          <xdr:row>2</xdr:row>
          <xdr:rowOff>34637</xdr:rowOff>
        </xdr:from>
        <xdr:to>
          <xdr:col>1</xdr:col>
          <xdr:colOff>1165514</xdr:colOff>
          <xdr:row>6</xdr:row>
          <xdr:rowOff>72737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K15" sqref="K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2" t="s">
        <v>405</v>
      </c>
      <c r="J1" s="1983"/>
      <c r="K1" s="1983"/>
      <c r="L1" s="1983"/>
      <c r="M1" s="1983"/>
      <c r="N1" s="1983"/>
      <c r="O1" s="1983"/>
      <c r="P1" s="1983"/>
      <c r="Q1" s="1983"/>
      <c r="R1" s="1983"/>
      <c r="S1" s="1983"/>
    </row>
    <row r="2" spans="1:28" ht="12" customHeight="1" x14ac:dyDescent="0.2">
      <c r="A2" s="47" t="s">
        <v>1993</v>
      </c>
      <c r="D2" s="48"/>
      <c r="I2" s="1984" t="s">
        <v>979</v>
      </c>
      <c r="J2" s="1983"/>
      <c r="K2" s="1983"/>
      <c r="L2" s="1983"/>
      <c r="M2" s="1983"/>
      <c r="N2" s="1983"/>
      <c r="O2" s="1983"/>
      <c r="P2" s="1983"/>
      <c r="Q2" s="1983"/>
      <c r="R2" s="1983"/>
      <c r="S2" s="1983"/>
    </row>
    <row r="3" spans="1:28" ht="12" customHeight="1" x14ac:dyDescent="0.2">
      <c r="A3" s="155" t="s">
        <v>1945</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2079</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2077</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13041012004</v>
      </c>
      <c r="B13" s="2018"/>
      <c r="C13" s="2018"/>
      <c r="D13" s="2018"/>
      <c r="E13" s="2018"/>
      <c r="F13" s="2018"/>
      <c r="G13" s="2018"/>
      <c r="H13" s="2019"/>
      <c r="I13" s="31"/>
      <c r="J13" s="30"/>
      <c r="K13" s="28"/>
      <c r="L13" s="30"/>
      <c r="M13" s="30"/>
      <c r="N13" s="30"/>
      <c r="O13" s="30"/>
      <c r="P13" s="30"/>
      <c r="Q13" s="30"/>
      <c r="R13" s="30"/>
      <c r="S13" s="30"/>
      <c r="T13" s="2022" t="s">
        <v>2064</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2067</v>
      </c>
      <c r="B17" s="1977"/>
      <c r="C17" s="1977"/>
      <c r="D17" s="1977"/>
      <c r="E17" s="1977"/>
      <c r="F17" s="1977"/>
      <c r="G17" s="1977"/>
      <c r="H17" s="2002"/>
      <c r="T17" s="2033" t="s">
        <v>2068</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2069</v>
      </c>
      <c r="B19" s="1962"/>
      <c r="C19" s="1962"/>
      <c r="D19" s="1962"/>
      <c r="E19" s="1962"/>
      <c r="F19" s="1962"/>
      <c r="G19" s="1962"/>
      <c r="H19" s="1942"/>
      <c r="I19" s="30"/>
      <c r="J19" s="99"/>
      <c r="K19" s="40"/>
      <c r="L19" s="38"/>
      <c r="M19" s="112" t="s">
        <v>315</v>
      </c>
      <c r="P19" s="27"/>
      <c r="Q19" s="27"/>
      <c r="R19" s="27"/>
      <c r="S19" s="31"/>
      <c r="T19" s="2016" t="s">
        <v>2070</v>
      </c>
      <c r="U19" s="1941"/>
      <c r="V19" s="1941"/>
      <c r="W19" s="1942"/>
      <c r="X19" s="2031" t="s">
        <v>2071</v>
      </c>
      <c r="Y19" s="2032"/>
      <c r="Z19" s="2029">
        <v>62274</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2072</v>
      </c>
      <c r="B21" s="1941"/>
      <c r="C21" s="1941"/>
      <c r="D21" s="1941"/>
      <c r="E21" s="1941"/>
      <c r="F21" s="1941"/>
      <c r="G21" s="1941"/>
      <c r="H21" s="1942"/>
      <c r="I21" s="1996" t="s">
        <v>678</v>
      </c>
      <c r="J21" s="1991"/>
      <c r="K21" s="1991"/>
      <c r="L21" s="1991"/>
      <c r="M21" s="1991"/>
      <c r="N21" s="1991"/>
      <c r="O21" s="1991"/>
      <c r="P21" s="1991"/>
      <c r="Q21" s="1991"/>
      <c r="R21" s="1991"/>
      <c r="S21" s="1997"/>
      <c r="T21" s="2040" t="s">
        <v>2073</v>
      </c>
      <c r="U21" s="2041"/>
      <c r="V21" s="2041"/>
      <c r="W21" s="2041"/>
      <c r="X21" s="2046" t="s">
        <v>2074</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2078</v>
      </c>
      <c r="B23" s="1994"/>
      <c r="C23" s="1994"/>
      <c r="D23" s="1994"/>
      <c r="E23" s="1994"/>
      <c r="F23" s="1994"/>
      <c r="G23" s="1994"/>
      <c r="H23" s="1995"/>
      <c r="T23" s="1976">
        <v>65.028419999999997</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t="s">
        <v>2075</v>
      </c>
      <c r="B25" s="1941"/>
      <c r="C25" s="1941"/>
      <c r="D25" s="1941"/>
      <c r="E25" s="1941"/>
      <c r="F25" s="1941"/>
      <c r="G25" s="1941"/>
      <c r="H25" s="1942"/>
      <c r="I25" s="113"/>
      <c r="J25" s="1965"/>
      <c r="K25" s="1965"/>
      <c r="L25" s="1965"/>
      <c r="M25" s="1965"/>
      <c r="N25" s="1965"/>
      <c r="O25" s="1965"/>
      <c r="P25" s="1965"/>
      <c r="Q25" s="1965"/>
      <c r="R25" s="1965"/>
      <c r="S25" s="1966"/>
      <c r="T25" s="2036" t="s">
        <v>2076</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2083</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2082</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2080</v>
      </c>
      <c r="B42" s="1960"/>
      <c r="C42" s="1961"/>
      <c r="D42" s="1959" t="s">
        <v>2081</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A4" sqref="A4:G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280701</v>
      </c>
      <c r="C4" s="1524"/>
      <c r="D4" s="1752">
        <f>B4-C4</f>
        <v>280701</v>
      </c>
      <c r="E4" s="1524">
        <v>285871</v>
      </c>
      <c r="F4" s="1752">
        <f>E4-C4</f>
        <v>285871</v>
      </c>
    </row>
    <row r="5" spans="1:6" ht="13.7" customHeight="1" x14ac:dyDescent="0.2">
      <c r="A5" s="715" t="s">
        <v>870</v>
      </c>
      <c r="B5" s="1750">
        <f>'Revenues 9-14'!D5</f>
        <v>39128</v>
      </c>
      <c r="C5" s="585"/>
      <c r="D5" s="1753">
        <f t="shared" ref="D5:D18" si="0">B5-C5</f>
        <v>39128</v>
      </c>
      <c r="E5" s="585">
        <v>40270</v>
      </c>
      <c r="F5" s="1753">
        <f>E5-C5</f>
        <v>40270</v>
      </c>
    </row>
    <row r="6" spans="1:6" ht="13.7" customHeight="1" x14ac:dyDescent="0.2">
      <c r="A6" s="715" t="s">
        <v>411</v>
      </c>
      <c r="B6" s="1750">
        <f>'Revenues 9-14'!E5</f>
        <v>30618</v>
      </c>
      <c r="C6" s="585"/>
      <c r="D6" s="1753">
        <f t="shared" si="0"/>
        <v>30618</v>
      </c>
      <c r="E6" s="585">
        <v>30585</v>
      </c>
      <c r="F6" s="1753">
        <f t="shared" ref="F6:F18" si="1">E6-C6</f>
        <v>30585</v>
      </c>
    </row>
    <row r="7" spans="1:6" ht="13.7" customHeight="1" x14ac:dyDescent="0.2">
      <c r="A7" s="715" t="s">
        <v>155</v>
      </c>
      <c r="B7" s="1750">
        <f>'Revenues 9-14'!F5</f>
        <v>5558</v>
      </c>
      <c r="C7" s="585"/>
      <c r="D7" s="1753">
        <f t="shared" si="0"/>
        <v>5558</v>
      </c>
      <c r="E7" s="585">
        <v>5676</v>
      </c>
      <c r="F7" s="1753">
        <f t="shared" si="1"/>
        <v>5676</v>
      </c>
    </row>
    <row r="8" spans="1:6" ht="13.7" customHeight="1" x14ac:dyDescent="0.2">
      <c r="A8" s="715" t="s">
        <v>1179</v>
      </c>
      <c r="B8" s="1750">
        <f>'Revenues 9-14'!G5</f>
        <v>5557</v>
      </c>
      <c r="C8" s="585"/>
      <c r="D8" s="1753">
        <f t="shared" si="0"/>
        <v>5557</v>
      </c>
      <c r="E8" s="585">
        <v>5676</v>
      </c>
      <c r="F8" s="1753">
        <f t="shared" si="1"/>
        <v>5676</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8373</v>
      </c>
      <c r="C10" s="585"/>
      <c r="D10" s="1753">
        <f t="shared" si="0"/>
        <v>8373</v>
      </c>
      <c r="E10" s="585">
        <v>8618</v>
      </c>
      <c r="F10" s="1753">
        <f t="shared" si="1"/>
        <v>8618</v>
      </c>
    </row>
    <row r="11" spans="1:6" x14ac:dyDescent="0.2">
      <c r="A11" s="715" t="s">
        <v>409</v>
      </c>
      <c r="B11" s="1750">
        <f>'Revenues 9-14'!J5</f>
        <v>11575</v>
      </c>
      <c r="C11" s="585"/>
      <c r="D11" s="1753">
        <f t="shared" si="0"/>
        <v>11575</v>
      </c>
      <c r="E11" s="585">
        <v>11912</v>
      </c>
      <c r="F11" s="1753">
        <f t="shared" si="1"/>
        <v>11912</v>
      </c>
    </row>
    <row r="12" spans="1:6" ht="13.7" customHeight="1" x14ac:dyDescent="0.2">
      <c r="A12" s="715" t="s">
        <v>157</v>
      </c>
      <c r="B12" s="1750">
        <f>'Revenues 9-14'!K5</f>
        <v>5558</v>
      </c>
      <c r="C12" s="585"/>
      <c r="D12" s="1753">
        <f t="shared" si="0"/>
        <v>5558</v>
      </c>
      <c r="E12" s="585">
        <v>5676</v>
      </c>
      <c r="F12" s="1753">
        <f t="shared" si="1"/>
        <v>5676</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1116</v>
      </c>
      <c r="C14" s="585"/>
      <c r="D14" s="1753">
        <f t="shared" si="0"/>
        <v>1116</v>
      </c>
      <c r="E14" s="585">
        <v>1138</v>
      </c>
      <c r="F14" s="1753">
        <f t="shared" si="1"/>
        <v>1138</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1105</v>
      </c>
      <c r="C16" s="585"/>
      <c r="D16" s="1753">
        <f t="shared" si="0"/>
        <v>1105</v>
      </c>
      <c r="E16" s="585">
        <v>1138</v>
      </c>
      <c r="F16" s="1753">
        <f t="shared" si="1"/>
        <v>1138</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389289</v>
      </c>
      <c r="C19" s="1751">
        <f>SUM(C4:C18)</f>
        <v>0</v>
      </c>
      <c r="D19" s="1751">
        <f>SUM(D4:D18)</f>
        <v>389289</v>
      </c>
      <c r="E19" s="1751">
        <f>SUM(E4:E18)</f>
        <v>396560</v>
      </c>
      <c r="F19" s="1751">
        <f>SUM(F4:F18)</f>
        <v>396560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statements"&amp;CPage 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E34" sqref="E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1956</v>
      </c>
      <c r="D2" s="723" t="s">
        <v>1957</v>
      </c>
      <c r="E2" s="723" t="s">
        <v>1958</v>
      </c>
      <c r="F2" s="1884" t="s">
        <v>1959</v>
      </c>
    </row>
    <row r="3" spans="1:7" ht="15.75" customHeight="1" x14ac:dyDescent="0.2">
      <c r="A3" s="2211" t="s">
        <v>1114</v>
      </c>
      <c r="B3" s="2212"/>
      <c r="C3" s="2205"/>
      <c r="D3" s="2206"/>
      <c r="E3" s="2206"/>
      <c r="F3" s="2207"/>
    </row>
    <row r="4" spans="1:7" ht="12.75" customHeight="1" thickBot="1" x14ac:dyDescent="0.25">
      <c r="A4" s="2199" t="s">
        <v>630</v>
      </c>
      <c r="B4" s="2200"/>
      <c r="C4" s="581">
        <v>0</v>
      </c>
      <c r="D4" s="581">
        <v>0</v>
      </c>
      <c r="E4" s="581">
        <v>0</v>
      </c>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2084</v>
      </c>
      <c r="B31" s="733">
        <v>41380</v>
      </c>
      <c r="C31" s="734">
        <v>500000</v>
      </c>
      <c r="D31" s="735">
        <v>1</v>
      </c>
      <c r="E31" s="734">
        <v>440000</v>
      </c>
      <c r="F31" s="734"/>
      <c r="G31" s="734"/>
      <c r="H31" s="734">
        <v>440000</v>
      </c>
      <c r="I31" s="1756">
        <f>((E31+F31)-H31)+G31</f>
        <v>0</v>
      </c>
      <c r="J31" s="734">
        <v>0</v>
      </c>
      <c r="K31" s="736"/>
    </row>
    <row r="32" spans="1:11" ht="12" customHeight="1" x14ac:dyDescent="0.2">
      <c r="A32" s="732" t="s">
        <v>2085</v>
      </c>
      <c r="B32" s="733">
        <v>42825</v>
      </c>
      <c r="C32" s="734">
        <v>445800</v>
      </c>
      <c r="D32" s="735">
        <v>1</v>
      </c>
      <c r="E32" s="734">
        <v>434700</v>
      </c>
      <c r="F32" s="734"/>
      <c r="G32" s="734"/>
      <c r="H32" s="734">
        <v>14900</v>
      </c>
      <c r="I32" s="1756">
        <f>((E32+F32)-H32)+G32</f>
        <v>419800</v>
      </c>
      <c r="J32" s="734">
        <v>419800</v>
      </c>
      <c r="K32" s="736"/>
    </row>
    <row r="33" spans="1:11" ht="12" customHeight="1" x14ac:dyDescent="0.2">
      <c r="A33" s="732" t="s">
        <v>2088</v>
      </c>
      <c r="B33" s="733">
        <v>43546</v>
      </c>
      <c r="C33" s="734">
        <v>174500</v>
      </c>
      <c r="D33" s="735">
        <v>3</v>
      </c>
      <c r="E33" s="734"/>
      <c r="F33" s="734">
        <v>174500</v>
      </c>
      <c r="G33" s="734"/>
      <c r="H33" s="734"/>
      <c r="I33" s="1756">
        <f t="shared" ref="I33:I48" si="1">((E33+F33)-H33)+G33</f>
        <v>174500</v>
      </c>
      <c r="J33" s="734">
        <v>166206</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1120300</v>
      </c>
      <c r="D49" s="745"/>
      <c r="E49" s="1756">
        <f t="shared" ref="E49:J49" si="2">SUM(E31:E48)</f>
        <v>874700</v>
      </c>
      <c r="F49" s="1756">
        <f t="shared" si="2"/>
        <v>174500</v>
      </c>
      <c r="G49" s="1756">
        <f t="shared" si="2"/>
        <v>0</v>
      </c>
      <c r="H49" s="1756">
        <f t="shared" si="2"/>
        <v>454900</v>
      </c>
      <c r="I49" s="1756">
        <f t="shared" si="2"/>
        <v>594300</v>
      </c>
      <c r="J49" s="1756">
        <f t="shared" si="2"/>
        <v>586006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&amp;L&amp;8"The notes are an integral part of these statements"&amp;CPage 24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4"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v>0</v>
      </c>
      <c r="H3" s="764">
        <v>0</v>
      </c>
      <c r="I3" s="764">
        <v>0</v>
      </c>
      <c r="J3" s="765">
        <v>0</v>
      </c>
      <c r="K3" s="765">
        <v>0</v>
      </c>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1116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1116</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1116</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1116</v>
      </c>
      <c r="I23" s="1758">
        <f>SUM(I14:I16,I21,I22)</f>
        <v>0</v>
      </c>
      <c r="J23" s="1758">
        <f>SUM(J14:J16,J21,J22)</f>
        <v>0</v>
      </c>
      <c r="K23" s="1758">
        <f>SUM(K14:K16,K21,K22)</f>
        <v>0</v>
      </c>
    </row>
    <row r="24" spans="1:11" ht="14.25" thickTop="1" thickBot="1" x14ac:dyDescent="0.25">
      <c r="A24" s="2247" t="s">
        <v>1965</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2079</v>
      </c>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statements"&amp;CPage 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A4"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v>0</v>
      </c>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20000</v>
      </c>
      <c r="D5" s="841"/>
      <c r="E5" s="841"/>
      <c r="F5" s="1760">
        <f>(C5+D5)-E5</f>
        <v>20000</v>
      </c>
      <c r="G5" s="837"/>
      <c r="H5" s="842"/>
      <c r="I5" s="842"/>
      <c r="J5" s="842"/>
      <c r="K5" s="793"/>
      <c r="L5" s="1769">
        <f>F5-K5</f>
        <v>20000</v>
      </c>
    </row>
    <row r="6" spans="1:14" ht="14.25" thickTop="1" thickBot="1" x14ac:dyDescent="0.25">
      <c r="A6" s="778" t="s">
        <v>1117</v>
      </c>
      <c r="B6" s="840">
        <v>222</v>
      </c>
      <c r="C6" s="765">
        <v>0</v>
      </c>
      <c r="D6" s="765"/>
      <c r="E6" s="765"/>
      <c r="F6" s="1760">
        <f>(C6+D6)-E6</f>
        <v>0</v>
      </c>
      <c r="G6" s="837">
        <v>50</v>
      </c>
      <c r="H6" s="765">
        <v>0</v>
      </c>
      <c r="I6" s="765">
        <v>0</v>
      </c>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386619</v>
      </c>
      <c r="D8" s="844"/>
      <c r="E8" s="844"/>
      <c r="F8" s="1760">
        <f>(C8+D8)-E8</f>
        <v>386619</v>
      </c>
      <c r="G8" s="843">
        <v>50</v>
      </c>
      <c r="H8" s="765">
        <v>309305</v>
      </c>
      <c r="I8" s="765">
        <v>7732</v>
      </c>
      <c r="J8" s="765"/>
      <c r="K8" s="1769">
        <f>(H8+I8)-J8</f>
        <v>317037</v>
      </c>
      <c r="L8" s="1769">
        <f>F8-K8</f>
        <v>69582</v>
      </c>
    </row>
    <row r="9" spans="1:14" ht="14.25" thickTop="1" thickBot="1" x14ac:dyDescent="0.25">
      <c r="A9" s="778" t="s">
        <v>1119</v>
      </c>
      <c r="B9" s="840">
        <v>232</v>
      </c>
      <c r="C9" s="765">
        <v>0</v>
      </c>
      <c r="D9" s="765"/>
      <c r="E9" s="765"/>
      <c r="F9" s="1760">
        <f>(C9+D9)-E9</f>
        <v>0</v>
      </c>
      <c r="G9" s="843">
        <v>20</v>
      </c>
      <c r="H9" s="765">
        <v>0</v>
      </c>
      <c r="I9" s="765">
        <v>0</v>
      </c>
      <c r="J9" s="765"/>
      <c r="K9" s="1769">
        <f>(H9+I9)-J9</f>
        <v>0</v>
      </c>
      <c r="L9" s="1769">
        <f>F9-K9</f>
        <v>0</v>
      </c>
    </row>
    <row r="10" spans="1:14" ht="24" thickTop="1" thickBot="1" x14ac:dyDescent="0.25">
      <c r="A10" s="845" t="s">
        <v>1120</v>
      </c>
      <c r="B10" s="840">
        <v>240</v>
      </c>
      <c r="C10" s="846">
        <v>52408</v>
      </c>
      <c r="D10" s="846">
        <v>6560</v>
      </c>
      <c r="E10" s="846"/>
      <c r="F10" s="1764">
        <f>(C10+D10)-E10</f>
        <v>58968</v>
      </c>
      <c r="G10" s="843">
        <v>20</v>
      </c>
      <c r="H10" s="847">
        <v>11026</v>
      </c>
      <c r="I10" s="847">
        <v>2565</v>
      </c>
      <c r="J10" s="847"/>
      <c r="K10" s="1769">
        <f>(H10+I10)-J10</f>
        <v>13591</v>
      </c>
      <c r="L10" s="1769">
        <f>F10-K10</f>
        <v>45377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234874</v>
      </c>
      <c r="D12" s="844"/>
      <c r="E12" s="844"/>
      <c r="F12" s="1760">
        <f>(C12+D12)-E12</f>
        <v>234874</v>
      </c>
      <c r="G12" s="843">
        <v>10</v>
      </c>
      <c r="H12" s="765">
        <v>233843</v>
      </c>
      <c r="I12" s="765">
        <v>688</v>
      </c>
      <c r="J12" s="765"/>
      <c r="K12" s="1769">
        <f>(H12+I12)-J12</f>
        <v>234531</v>
      </c>
      <c r="L12" s="1769">
        <f>F12-K12</f>
        <v>343</v>
      </c>
    </row>
    <row r="13" spans="1:14" ht="14.25" thickTop="1" thickBot="1" x14ac:dyDescent="0.25">
      <c r="A13" s="848" t="s">
        <v>1122</v>
      </c>
      <c r="B13" s="840">
        <v>252</v>
      </c>
      <c r="C13" s="844">
        <v>107989</v>
      </c>
      <c r="D13" s="844"/>
      <c r="E13" s="844"/>
      <c r="F13" s="1760">
        <f>(C13+D13)-E13</f>
        <v>107989</v>
      </c>
      <c r="G13" s="843">
        <v>5</v>
      </c>
      <c r="H13" s="765">
        <v>100128</v>
      </c>
      <c r="I13" s="765">
        <v>2516</v>
      </c>
      <c r="J13" s="765"/>
      <c r="K13" s="1769">
        <f>(H13+I13)-J13</f>
        <v>102644</v>
      </c>
      <c r="L13" s="1769">
        <f>F13-K13</f>
        <v>5345</v>
      </c>
    </row>
    <row r="14" spans="1:14" ht="14.25" thickTop="1" thickBot="1" x14ac:dyDescent="0.25">
      <c r="A14" s="848" t="s">
        <v>1123</v>
      </c>
      <c r="B14" s="840">
        <v>253</v>
      </c>
      <c r="C14" s="765">
        <v>0</v>
      </c>
      <c r="D14" s="765"/>
      <c r="E14" s="765"/>
      <c r="F14" s="1760">
        <f>(C14+D14)-E14</f>
        <v>0</v>
      </c>
      <c r="G14" s="843">
        <v>3</v>
      </c>
      <c r="H14" s="765">
        <v>0</v>
      </c>
      <c r="I14" s="765">
        <v>0</v>
      </c>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801890</v>
      </c>
      <c r="D16" s="1760">
        <f>SUM(D3,D5:D6,D8:D10,D12:D15)</f>
        <v>6560</v>
      </c>
      <c r="E16" s="1760">
        <f>SUM(E3,E5:E6,E8:E10,E12:E15)</f>
        <v>0</v>
      </c>
      <c r="F16" s="1760">
        <f>SUM(F3,F5:F6,F8:F10,F12:F15)</f>
        <v>808450</v>
      </c>
      <c r="G16" s="843"/>
      <c r="H16" s="1760">
        <f>SUM(H3,H6,H8:H10,H12:H14,)</f>
        <v>654302</v>
      </c>
      <c r="I16" s="1760">
        <f>SUM(I3,I6,I8:I10,I12:I14,)</f>
        <v>13501</v>
      </c>
      <c r="J16" s="1760">
        <f>SUM(J3,J6,J8:J10,J12:J14,)</f>
        <v>0</v>
      </c>
      <c r="K16" s="1760">
        <f>(H16+I16)-J16</f>
        <v>667803</v>
      </c>
      <c r="L16" s="1760">
        <f>F16-K16</f>
        <v>140647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13501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&amp;L&amp;8"The notes are an integral part of these statements"&amp;CPage 26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A160" colorId="8" zoomScale="110" zoomScaleNormal="110" workbookViewId="0">
      <selection activeCell="F73" sqref="F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626040</v>
      </c>
      <c r="G8" s="865"/>
    </row>
    <row r="9" spans="1:7" x14ac:dyDescent="0.2">
      <c r="A9" s="869" t="s">
        <v>460</v>
      </c>
      <c r="B9" s="870" t="s">
        <v>1877</v>
      </c>
      <c r="C9" s="871"/>
      <c r="D9" s="869" t="s">
        <v>501</v>
      </c>
      <c r="E9" s="868"/>
      <c r="F9" s="1909">
        <f>'Expenditures 15-22'!K151</f>
        <v>27567</v>
      </c>
      <c r="G9" s="872"/>
    </row>
    <row r="10" spans="1:7" x14ac:dyDescent="0.2">
      <c r="A10" s="869" t="s">
        <v>499</v>
      </c>
      <c r="B10" s="870" t="s">
        <v>1878</v>
      </c>
      <c r="C10" s="871"/>
      <c r="D10" s="869" t="s">
        <v>501</v>
      </c>
      <c r="E10" s="868"/>
      <c r="F10" s="1909">
        <f>'Expenditures 15-22'!K174</f>
        <v>482331</v>
      </c>
      <c r="G10" s="872"/>
    </row>
    <row r="11" spans="1:7" x14ac:dyDescent="0.2">
      <c r="A11" s="869" t="s">
        <v>461</v>
      </c>
      <c r="B11" s="870" t="s">
        <v>1879</v>
      </c>
      <c r="C11" s="871"/>
      <c r="D11" s="869" t="s">
        <v>501</v>
      </c>
      <c r="E11" s="868"/>
      <c r="F11" s="1909">
        <f>'Expenditures 15-22'!K210</f>
        <v>26334</v>
      </c>
      <c r="G11" s="872"/>
    </row>
    <row r="12" spans="1:7" x14ac:dyDescent="0.2">
      <c r="A12" s="869" t="s">
        <v>462</v>
      </c>
      <c r="B12" s="870" t="s">
        <v>1880</v>
      </c>
      <c r="C12" s="871"/>
      <c r="D12" s="869" t="s">
        <v>501</v>
      </c>
      <c r="E12" s="868"/>
      <c r="F12" s="1909">
        <f>'Expenditures 15-22'!K295</f>
        <v>361</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1162633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517</v>
      </c>
      <c r="G52" s="865"/>
    </row>
    <row r="53" spans="1:7" x14ac:dyDescent="0.2">
      <c r="A53" s="869" t="s">
        <v>459</v>
      </c>
      <c r="B53" s="869" t="s">
        <v>1475</v>
      </c>
      <c r="C53" s="889">
        <f>'Expenditures 15-22'!B102</f>
        <v>4000</v>
      </c>
      <c r="D53" s="888" t="str">
        <f>'Expenditures 15-22'!A102</f>
        <v>Total Payments to Other Govt Units</v>
      </c>
      <c r="E53" s="868"/>
      <c r="F53" s="1913">
        <f>'Expenditures 15-22'!K102</f>
        <v>22296</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6560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454900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484273</v>
      </c>
      <c r="G76" s="865"/>
    </row>
    <row r="77" spans="1:8" s="893" customFormat="1" ht="12" customHeight="1" thickTop="1" thickBot="1" x14ac:dyDescent="0.25">
      <c r="A77" s="1779"/>
      <c r="B77" s="1776"/>
      <c r="C77" s="1772"/>
      <c r="D77" s="1777" t="s">
        <v>1900</v>
      </c>
      <c r="E77" s="1774"/>
      <c r="F77" s="1780">
        <f>(F14-F76)</f>
        <v>678360</v>
      </c>
      <c r="G77" s="869"/>
    </row>
    <row r="78" spans="1:8" s="893" customFormat="1" ht="12" customHeight="1" thickTop="1" x14ac:dyDescent="0.2">
      <c r="A78" s="1781"/>
      <c r="B78" s="1776"/>
      <c r="C78" s="1772"/>
      <c r="D78" s="1777" t="s">
        <v>2062</v>
      </c>
      <c r="E78" s="1774"/>
      <c r="F78" s="898">
        <v>55.98</v>
      </c>
      <c r="G78" s="899"/>
      <c r="H78" s="869"/>
    </row>
    <row r="79" spans="1:8" s="893" customFormat="1" ht="12" customHeight="1" thickBot="1" x14ac:dyDescent="0.25">
      <c r="A79" s="1782"/>
      <c r="B79" s="1776"/>
      <c r="C79" s="1772"/>
      <c r="D79" s="1777" t="s">
        <v>1901</v>
      </c>
      <c r="E79" s="1774" t="s">
        <v>958</v>
      </c>
      <c r="F79" s="1783">
        <f>IF(F78&gt;0,F77/F78," Complete Line 78")</f>
        <v>12117.899249732049</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7144</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980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300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11686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20831</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833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41774</v>
      </c>
    </row>
    <row r="175" spans="1:7" ht="12" customHeight="1" x14ac:dyDescent="0.2">
      <c r="A175" s="1770"/>
      <c r="B175" s="1784"/>
      <c r="C175" s="1785"/>
      <c r="D175" s="1786" t="s">
        <v>2057</v>
      </c>
      <c r="E175" s="1787"/>
      <c r="F175" s="1789">
        <f>'PCTC-OEPP 27-28'!F77-F174</f>
        <v>636586</v>
      </c>
    </row>
    <row r="176" spans="1:7" ht="12" customHeight="1" x14ac:dyDescent="0.2">
      <c r="A176" s="1770"/>
      <c r="B176" s="1784"/>
      <c r="C176" s="1785"/>
      <c r="D176" s="1786" t="s">
        <v>1817</v>
      </c>
      <c r="E176" s="1787"/>
      <c r="F176" s="1789">
        <f>'Cap Outlay Deprec 26'!I18</f>
        <v>13501</v>
      </c>
    </row>
    <row r="177" spans="1:7" ht="12" customHeight="1" x14ac:dyDescent="0.2">
      <c r="A177" s="1770"/>
      <c r="B177" s="1784"/>
      <c r="C177" s="1785"/>
      <c r="D177" s="1786" t="s">
        <v>2058</v>
      </c>
      <c r="E177" s="1787"/>
      <c r="F177" s="1789">
        <f>F175+F176</f>
        <v>650087</v>
      </c>
    </row>
    <row r="178" spans="1:7" ht="12" customHeight="1" x14ac:dyDescent="0.2">
      <c r="A178" s="1770"/>
      <c r="B178" s="1790"/>
      <c r="C178" s="1785"/>
      <c r="D178" s="1786" t="str">
        <f>D78</f>
        <v>9 Month ADA from District Average Daily Attendance/Prior General State Aid Inquiry 2018-2019</v>
      </c>
      <c r="E178" s="1787"/>
      <c r="F178" s="1791">
        <f>'PCTC-OEPP 27-28'!F78</f>
        <v>55.98</v>
      </c>
      <c r="G178" s="930"/>
    </row>
    <row r="179" spans="1:7" ht="12" customHeight="1" thickBot="1" x14ac:dyDescent="0.25">
      <c r="A179" s="1770"/>
      <c r="B179" s="1790"/>
      <c r="C179" s="1785"/>
      <c r="D179" s="1786" t="s">
        <v>2059</v>
      </c>
      <c r="E179" s="1787" t="s">
        <v>1545</v>
      </c>
      <c r="F179" s="1792">
        <f>F177/F178</f>
        <v>11612.84387281172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statements"&amp;CPages 27-28</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topLeftCell="A7" zoomScaleNormal="100" workbookViewId="0">
      <selection activeCell="B18" sqref="B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2091</v>
      </c>
      <c r="B17" s="1937" t="s">
        <v>2089</v>
      </c>
      <c r="C17" s="1938" t="s">
        <v>2090</v>
      </c>
      <c r="D17" s="1844">
        <v>2375</v>
      </c>
      <c r="E17" s="1540">
        <f t="shared" ref="E17:E141" si="0">IF(D17&lt;=25000,D17,IF(D17&gt;25000,25000,0))</f>
        <v>2375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2375</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2375</v>
      </c>
      <c r="E141" s="1541">
        <f t="shared" si="0"/>
        <v>2375</v>
      </c>
      <c r="F141" s="1933">
        <f>SUM(F17:F140)</f>
        <v>2375</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65" firstPageNumber="30" fitToWidth="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29907</v>
      </c>
      <c r="F8" s="974"/>
      <c r="G8" s="975"/>
      <c r="H8" s="162"/>
      <c r="I8" s="162"/>
    </row>
    <row r="9" spans="1:9" s="668" customFormat="1" ht="12" customHeight="1" x14ac:dyDescent="0.2">
      <c r="A9" s="970" t="s">
        <v>130</v>
      </c>
      <c r="B9" s="971"/>
      <c r="C9" s="971"/>
      <c r="D9" s="972"/>
      <c r="E9" s="973">
        <v>5048</v>
      </c>
      <c r="F9" s="974"/>
      <c r="G9" s="975"/>
      <c r="H9" s="162"/>
      <c r="I9" s="162"/>
    </row>
    <row r="10" spans="1:9" s="668" customFormat="1" ht="12" customHeight="1" x14ac:dyDescent="0.2">
      <c r="A10" s="970" t="s">
        <v>1933</v>
      </c>
      <c r="B10" s="971"/>
      <c r="C10" s="976"/>
      <c r="D10" s="972"/>
      <c r="E10" s="973">
        <v>8105</v>
      </c>
      <c r="F10" s="974"/>
      <c r="G10" s="975"/>
      <c r="H10" s="162"/>
      <c r="I10" s="162"/>
    </row>
    <row r="11" spans="1:9" s="668" customFormat="1" ht="22.5" customHeight="1" x14ac:dyDescent="0.2">
      <c r="A11" s="2286" t="s">
        <v>1977</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391666</v>
      </c>
      <c r="F19" s="1799"/>
      <c r="G19" s="1801">
        <f>'Expenditures 15-22'!K33-SUM('Expenditures 15-22'!G33,'Expenditures 15-22'!I33)+'Expenditures 15-22'!D229</f>
        <v>391666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105441</v>
      </c>
      <c r="F23" s="1802"/>
      <c r="G23" s="1804">
        <f>'Expenditures 15-22'!K53-SUM('Expenditures 15-22'!G53,'Expenditures 15-22'!I53)+'Expenditures 15-22'!D257+'Expenditures 15-22'!K330-SUM('Expenditures 15-22'!G330,'Expenditures 15-22'!I330)</f>
        <v>105441</v>
      </c>
      <c r="H23" s="987"/>
      <c r="I23" s="162"/>
    </row>
    <row r="24" spans="1:9" s="668" customFormat="1" ht="12" customHeight="1" x14ac:dyDescent="0.2">
      <c r="A24" s="994" t="s">
        <v>566</v>
      </c>
      <c r="B24" s="995"/>
      <c r="C24" s="993">
        <v>2400</v>
      </c>
      <c r="D24" s="1802"/>
      <c r="E24" s="1804">
        <f>'Expenditures 15-22'!K57-SUM('Expenditures 15-22'!G57,'Expenditures 15-22'!I57)+'Expenditures 15-22'!D261</f>
        <v>12831</v>
      </c>
      <c r="F24" s="1802"/>
      <c r="G24" s="1805">
        <f>'Expenditures 15-22'!K57-SUM('Expenditures 15-22'!G57,'Expenditures 15-22'!I57)+'Expenditures 15-22'!D261</f>
        <v>12831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2491</v>
      </c>
      <c r="E27" s="1804">
        <f>E8</f>
        <v>29907</v>
      </c>
      <c r="F27" s="1804">
        <f>'Expenditures 15-22'!K60-SUM('Expenditures 15-22'!G60,'Expenditures 15-22'!I60)+'Expenditures 15-22'!D264-E8</f>
        <v>2491</v>
      </c>
      <c r="G27" s="1805">
        <f>E8</f>
        <v>29907</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21131</v>
      </c>
      <c r="F28" s="1806">
        <f>'Expenditures 15-22'!K61-SUM('Expenditures 15-22'!G61,'Expenditures 15-22'!I61)+'Expenditures 15-22'!K124-SUM('Expenditures 15-22'!G124,'Expenditures 15-22'!I124)+'Expenditures 15-22'!D266-E9</f>
        <v>16083</v>
      </c>
      <c r="G28" s="1805">
        <f>E9</f>
        <v>5048</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26334</v>
      </c>
      <c r="F29" s="1802"/>
      <c r="G29" s="1805">
        <f>'Expenditures 15-22'!K62-SUM('Expenditures 15-22'!G62,'Expenditures 15-22'!I62)+'Expenditures 15-22'!K125-SUM('Expenditures 15-22'!G125,'Expenditures 15-22'!I125)+'Expenditures 15-22'!K182-SUM('Expenditures 15-22'!G182,'Expenditures 15-22'!I182)+'Expenditures 15-22'!D267</f>
        <v>26334</v>
      </c>
      <c r="H29" s="985"/>
    </row>
    <row r="30" spans="1:9" ht="12" customHeight="1" x14ac:dyDescent="0.2">
      <c r="A30" s="994" t="s">
        <v>100</v>
      </c>
      <c r="B30" s="997"/>
      <c r="C30" s="993">
        <v>2560</v>
      </c>
      <c r="D30" s="1802"/>
      <c r="E30" s="1804">
        <f>'Expenditures 15-22'!K63-SUM('Expenditures 15-22'!G63,'Expenditures 15-22'!I63)+'Expenditures 15-22'!D268-E10</f>
        <v>20195</v>
      </c>
      <c r="F30" s="1802"/>
      <c r="G30" s="1804">
        <f>'Expenditures 15-22'!K63-SUM('Expenditures 15-22'!G63,'Expenditures 15-22'!I63)+'Expenditures 15-22'!D268-E10</f>
        <v>20195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517</v>
      </c>
      <c r="F39" s="1802"/>
      <c r="G39" s="1804">
        <f>'Expenditures 15-22'!K75-SUM('Expenditures 15-22'!G75,'Expenditures 15-22'!I75)+'Expenditures 15-22'!K130-SUM('Expenditures 15-22'!G130,'Expenditures 15-22'!I130)+'Expenditures 15-22'!K185-SUM('Expenditures 15-22'!G185,'Expenditures 15-22'!I185)+'Expenditures 15-22'!D280</f>
        <v>517</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2491</v>
      </c>
      <c r="E41" s="1806">
        <f>SUM(E19:E40)</f>
        <v>608022</v>
      </c>
      <c r="F41" s="1806">
        <f>SUM(F19:F39)</f>
        <v>18574</v>
      </c>
      <c r="G41" s="1806">
        <f>SUM(G19:G40)</f>
        <v>591939</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2491</v>
      </c>
      <c r="F43" s="1807" t="s">
        <v>473</v>
      </c>
      <c r="G43" s="1808">
        <f>F41</f>
        <v>18574</v>
      </c>
    </row>
    <row r="44" spans="1:7" ht="12" customHeight="1" x14ac:dyDescent="0.2">
      <c r="A44" s="987"/>
      <c r="B44" s="162"/>
      <c r="C44" s="1001"/>
      <c r="D44" s="1807" t="s">
        <v>474</v>
      </c>
      <c r="E44" s="1808">
        <f>E41</f>
        <v>608022</v>
      </c>
      <c r="F44" s="1807" t="s">
        <v>474</v>
      </c>
      <c r="G44" s="1808">
        <f>G41</f>
        <v>591939</v>
      </c>
    </row>
    <row r="45" spans="1:7" ht="12" customHeight="1" x14ac:dyDescent="0.2">
      <c r="A45" s="987"/>
      <c r="B45" s="162"/>
      <c r="C45" s="162"/>
      <c r="D45" s="1809" t="s">
        <v>1006</v>
      </c>
      <c r="E45" s="1810">
        <f>(E43/E44)</f>
        <v>4.096891230909408E-3</v>
      </c>
      <c r="F45" s="1809" t="s">
        <v>1006</v>
      </c>
      <c r="G45" s="1810">
        <f>(G43/G44)</f>
        <v>3.1378233230113239E-2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statements"&amp;CPage 30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selection activeCell="B16" sqref="B1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McClellan CCSD 12</v>
      </c>
      <c r="D6" s="2307"/>
      <c r="E6" s="2307"/>
      <c r="F6" s="1852"/>
    </row>
    <row r="7" spans="1:10" ht="11.25" customHeight="1" thickBot="1" x14ac:dyDescent="0.3">
      <c r="A7" s="1850"/>
      <c r="B7" s="1851"/>
      <c r="C7" s="2308">
        <f>COVER!A13</f>
        <v>13041012004</v>
      </c>
      <c r="D7" s="2308"/>
      <c r="E7" s="230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2079</v>
      </c>
      <c r="D26" s="1865" t="s">
        <v>2079</v>
      </c>
      <c r="E26" s="1868" t="s">
        <v>2079</v>
      </c>
      <c r="F26" s="1867" t="s">
        <v>2086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topLeftCell="A7"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McClellan CCSD 12</v>
      </c>
      <c r="J6" s="2317"/>
      <c r="Q6" s="1664"/>
    </row>
    <row r="7" spans="1:17" x14ac:dyDescent="0.2">
      <c r="A7" s="2318" t="s">
        <v>869</v>
      </c>
      <c r="B7" s="2319"/>
      <c r="C7" s="2319"/>
      <c r="D7" s="2319"/>
      <c r="E7" s="2320"/>
      <c r="F7" s="1017"/>
      <c r="G7" s="1009"/>
      <c r="H7" s="1016" t="s">
        <v>372</v>
      </c>
      <c r="I7" s="2321">
        <f>COVER!A13</f>
        <v>13041012004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74276</v>
      </c>
      <c r="F12" s="1039"/>
      <c r="G12" s="1811">
        <f t="shared" ref="G12:G18" si="0">SUM(E12:F12)</f>
        <v>74276</v>
      </c>
      <c r="H12" s="1040">
        <v>38000</v>
      </c>
      <c r="I12" s="1039"/>
      <c r="J12" s="1811">
        <f t="shared" ref="J12:J18" si="1">SUM(H12:I12)</f>
        <v>38000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74276</v>
      </c>
      <c r="F19" s="1813">
        <f t="shared" si="2"/>
        <v>0</v>
      </c>
      <c r="G19" s="1813">
        <f t="shared" si="2"/>
        <v>74276</v>
      </c>
      <c r="H19" s="1813">
        <f t="shared" si="2"/>
        <v>38000</v>
      </c>
      <c r="I19" s="1813">
        <f t="shared" si="2"/>
        <v>0</v>
      </c>
      <c r="J19" s="1813">
        <f t="shared" si="2"/>
        <v>38000</v>
      </c>
    </row>
    <row r="20" spans="1:10" ht="13.5" thickTop="1" x14ac:dyDescent="0.2">
      <c r="A20" s="1035">
        <v>9</v>
      </c>
      <c r="B20" s="2328" t="s">
        <v>1981</v>
      </c>
      <c r="C20" s="2328"/>
      <c r="D20" s="2329"/>
      <c r="E20" s="1046"/>
      <c r="F20" s="1046"/>
      <c r="G20" s="1046"/>
      <c r="H20" s="1046"/>
      <c r="I20" s="1046"/>
      <c r="J20" s="1814">
        <f>IF(AND(G19&gt;0,J19&gt;0),(((J19-G19)/G19)),"Enter Budget Data")</f>
        <v>-0.48839463622165974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oddFooter>&amp;L"The notes are an integral part of these statements"&amp;CPage 32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McClellan CCSD 12</v>
      </c>
    </row>
    <row r="65" spans="2:2" x14ac:dyDescent="0.2">
      <c r="B65" s="1070">
        <f>COVER!A13</f>
        <v>13041012004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statements"&amp;CPage 33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A4" sqref="A4:G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orientation="portrait" r:id="rId4"/>
  <headerFooter>
    <oddFooter>&amp;L"The notes are an integral part of these statements"&amp;CPage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G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statements"&amp;CPage 34</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statements"&amp;CPage 35</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247650</xdr:colOff>
                <xdr:row>2</xdr:row>
                <xdr:rowOff>38100</xdr:rowOff>
              </from>
              <to>
                <xdr:col>1</xdr:col>
                <xdr:colOff>1162050</xdr:colOff>
                <xdr:row>6</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617758.56000000006</v>
      </c>
      <c r="C8" s="1815">
        <f>'Acct Summary 7-8'!D8</f>
        <v>39554.5</v>
      </c>
      <c r="D8" s="1815">
        <f>'Acct Summary 7-8'!F8</f>
        <v>17291.55</v>
      </c>
      <c r="E8" s="1815">
        <f>'Acct Summary 7-8'!I8</f>
        <v>11153.99</v>
      </c>
      <c r="F8" s="1815">
        <f>SUM(B8:E8)</f>
        <v>685758.60000000009</v>
      </c>
    </row>
    <row r="9" spans="1:8" s="1079" customFormat="1" ht="14.25" customHeight="1" thickBot="1" x14ac:dyDescent="0.25">
      <c r="A9" s="1078" t="s">
        <v>1369</v>
      </c>
      <c r="B9" s="1816">
        <f>'Acct Summary 7-8'!C17</f>
        <v>626040</v>
      </c>
      <c r="C9" s="1816">
        <f>'Acct Summary 7-8'!D17</f>
        <v>27567</v>
      </c>
      <c r="D9" s="1816">
        <f>'Acct Summary 7-8'!F17</f>
        <v>26334</v>
      </c>
      <c r="E9" s="1815"/>
      <c r="F9" s="1815">
        <f>SUM(B9:E9)</f>
        <v>679941</v>
      </c>
    </row>
    <row r="10" spans="1:8" s="1079" customFormat="1" ht="14.25" thickTop="1" thickBot="1" x14ac:dyDescent="0.25">
      <c r="A10" s="1080" t="s">
        <v>1370</v>
      </c>
      <c r="B10" s="1817">
        <f>(B8-B9)</f>
        <v>-8281.4399999999441</v>
      </c>
      <c r="C10" s="1817">
        <f>(C8-C9)</f>
        <v>11987.5</v>
      </c>
      <c r="D10" s="1817">
        <f>(D8-D9)</f>
        <v>-9042.4500000000007</v>
      </c>
      <c r="E10" s="1816">
        <f>(E8-E9)</f>
        <v>11153.99</v>
      </c>
      <c r="F10" s="1818">
        <f>SUM(F8-F9)</f>
        <v>5817.6000000000931</v>
      </c>
    </row>
    <row r="11" spans="1:8" s="1079" customFormat="1" ht="14.25" thickTop="1" thickBot="1" x14ac:dyDescent="0.25">
      <c r="A11" s="1081" t="s">
        <v>1985</v>
      </c>
      <c r="B11" s="1819">
        <f>'Acct Summary 7-8'!C81</f>
        <v>140263.56000000006</v>
      </c>
      <c r="C11" s="1819">
        <f>'Acct Summary 7-8'!D81</f>
        <v>11416.5</v>
      </c>
      <c r="D11" s="1819">
        <f>'Acct Summary 7-8'!F81</f>
        <v>55446.55</v>
      </c>
      <c r="E11" s="1819">
        <f>'Acct Summary 7-8'!I81</f>
        <v>101765.98999999999</v>
      </c>
      <c r="F11" s="1820">
        <f>SUM(B11:E11)</f>
        <v>308892.60000000003</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orientation="landscape" useFirstPageNumber="1" r:id="rId1"/>
  <headerFooter alignWithMargins="0">
    <oddHeader xml:space="preserve">&amp;L&amp;8Page 36&amp;R&amp;8Page 36
</oddHeader>
    <oddFooter>&amp;L"The notes are an integral part of these statements"&amp;CPage 36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8" colorId="8" zoomScale="110" zoomScaleNormal="110" workbookViewId="0">
      <selection activeCell="A4" sqref="A4:G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ERROR!</v>
      </c>
    </row>
    <row r="58" spans="1:4" x14ac:dyDescent="0.2">
      <c r="A58" s="1100"/>
      <c r="B58" s="1110"/>
      <c r="C58" s="1118" t="s">
        <v>1348</v>
      </c>
      <c r="D58" s="1124" t="str">
        <f>IF((('Assets-Liab 5-6'!D38+'Assets-Liab 5-6'!D39) ='Acct Summary 7-8'!D81), "OK", "ERROR!" )</f>
        <v>ERROR!</v>
      </c>
    </row>
    <row r="59" spans="1:4" s="1116" customFormat="1" x14ac:dyDescent="0.2">
      <c r="A59" s="1100"/>
      <c r="B59" s="1110"/>
      <c r="C59" s="1118" t="s">
        <v>1349</v>
      </c>
      <c r="D59" s="1124" t="str">
        <f>IF((('Assets-Liab 5-6'!E38 + 'Assets-Liab 5-6'!E39) ='Acct Summary 7-8'!E81), "OK", "ERROR!" )</f>
        <v>ERROR!</v>
      </c>
    </row>
    <row r="60" spans="1:4" x14ac:dyDescent="0.2">
      <c r="A60" s="1100"/>
      <c r="B60" s="1110"/>
      <c r="C60" s="1118" t="s">
        <v>1350</v>
      </c>
      <c r="D60" s="1124" t="str">
        <f>IF((('Assets-Liab 5-6'!F38 + 'Assets-Liab 5-6'!F39) ='Acct Summary 7-8'!F81), "OK", "ERROR!" )</f>
        <v>ERROR!</v>
      </c>
    </row>
    <row r="61" spans="1:4" ht="12.75" customHeight="1" x14ac:dyDescent="0.2">
      <c r="A61" s="1100"/>
      <c r="B61" s="1110"/>
      <c r="C61" s="1118" t="s">
        <v>1363</v>
      </c>
      <c r="D61" s="1124" t="str">
        <f>IF((('Assets-Liab 5-6'!G38 + 'Assets-Liab 5-6'!G39) ='Acct Summary 7-8'!G81), "OK", "ERROR!" )</f>
        <v>ERROR!</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ERROR!</v>
      </c>
    </row>
    <row r="64" spans="1:4" x14ac:dyDescent="0.2">
      <c r="A64" s="1100"/>
      <c r="B64" s="1110"/>
      <c r="C64" s="1118" t="s">
        <v>1353</v>
      </c>
      <c r="D64" s="1124" t="str">
        <f>IF((('Assets-Liab 5-6'!J38 + 'Assets-Liab 5-6'!J39) ='Acct Summary 7-8'!J81), "OK", "ERROR!" )</f>
        <v>ERROR!</v>
      </c>
    </row>
    <row r="65" spans="1:4" x14ac:dyDescent="0.2">
      <c r="A65" s="1117"/>
      <c r="B65" s="1110"/>
      <c r="C65" s="1118" t="s">
        <v>1364</v>
      </c>
      <c r="D65" s="1124" t="str">
        <f>IF((('Assets-Liab 5-6'!K38 + 'Assets-Liab 5-6'!K39) ='Acct Summary 7-8'!K81), "OK", "ERROR!" )</f>
        <v>ERROR!</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13041012004</v>
      </c>
    </row>
    <row r="3" spans="1:2" x14ac:dyDescent="0.2">
      <c r="A3" t="s">
        <v>956</v>
      </c>
      <c r="B3" s="138" t="str">
        <f>COVER!A15</f>
        <v>Jefferson</v>
      </c>
    </row>
    <row r="4" spans="1:2" x14ac:dyDescent="0.2">
      <c r="A4" t="s">
        <v>1007</v>
      </c>
      <c r="B4" s="138" t="str">
        <f>COVER!A17</f>
        <v>McClellan CCSD 12</v>
      </c>
    </row>
    <row r="5" spans="1:2" x14ac:dyDescent="0.2">
      <c r="A5" t="s">
        <v>704</v>
      </c>
      <c r="B5" s="138" t="str">
        <f>COVER!A38</f>
        <v>Terry Milt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65.028419999999997</v>
      </c>
    </row>
    <row r="16" spans="1:2" x14ac:dyDescent="0.2">
      <c r="A16" t="s">
        <v>422</v>
      </c>
      <c r="B16" s="138" t="str">
        <f>COVER!T13</f>
        <v>Kujawa &amp; Batteau, P.C.</v>
      </c>
    </row>
    <row r="17" spans="1:2" x14ac:dyDescent="0.2">
      <c r="A17" t="s">
        <v>884</v>
      </c>
      <c r="B17" s="138" t="str">
        <f>COVER!T15</f>
        <v>Kevin Batteau</v>
      </c>
    </row>
    <row r="18" spans="1:2" x14ac:dyDescent="0.2">
      <c r="A18" t="s">
        <v>1150</v>
      </c>
      <c r="B18" s="138" t="str">
        <f>COVER!T17</f>
        <v>309 S. Walnut St.</v>
      </c>
    </row>
    <row r="19" spans="1:2" x14ac:dyDescent="0.2">
      <c r="A19" t="s">
        <v>886</v>
      </c>
      <c r="B19" s="138" t="str">
        <f>COVER!T25</f>
        <v>kbatteau@kandb-cpa.com</v>
      </c>
    </row>
    <row r="20" spans="1:2" x14ac:dyDescent="0.2">
      <c r="A20" t="s">
        <v>887</v>
      </c>
      <c r="B20" s="138" t="str">
        <f>COVER!T19</f>
        <v xml:space="preserve">Pinckneyville </v>
      </c>
    </row>
    <row r="21" spans="1:2" x14ac:dyDescent="0.2">
      <c r="A21" t="s">
        <v>479</v>
      </c>
      <c r="B21" s="138" t="str">
        <f>COVER!X19</f>
        <v>IL</v>
      </c>
    </row>
    <row r="22" spans="1:2" x14ac:dyDescent="0.2">
      <c r="A22" t="s">
        <v>888</v>
      </c>
      <c r="B22" s="138">
        <f>COVER!Z19</f>
        <v>62274</v>
      </c>
    </row>
    <row r="23" spans="1:2" x14ac:dyDescent="0.2">
      <c r="A23" t="s">
        <v>1152</v>
      </c>
      <c r="B23" s="138" t="str">
        <f>COVER!T21</f>
        <v>618-357-3000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140264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140264</v>
      </c>
      <c r="D92" s="2" t="str">
        <f t="shared" si="0"/>
        <v>Error?</v>
      </c>
    </row>
    <row r="93" spans="1:4" x14ac:dyDescent="0.2">
      <c r="A93" s="5">
        <v>32</v>
      </c>
      <c r="B93" s="138">
        <f>'Assets-Liab 5-6'!C41</f>
        <v>140264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11417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11417</v>
      </c>
      <c r="D123" s="2" t="str">
        <f t="shared" si="0"/>
        <v>Error?</v>
      </c>
    </row>
    <row r="124" spans="1:4" x14ac:dyDescent="0.2">
      <c r="A124" s="5">
        <v>63</v>
      </c>
      <c r="B124" s="138">
        <f>'Assets-Liab 5-6'!D41</f>
        <v>11417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8294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8294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55447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55447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38788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38788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386619</v>
      </c>
      <c r="D274" s="2" t="str">
        <f t="shared" si="3"/>
        <v>Error?</v>
      </c>
    </row>
    <row r="275" spans="1:4" x14ac:dyDescent="0.2">
      <c r="A275" s="5">
        <v>214</v>
      </c>
      <c r="B275" s="138">
        <f>'Assets-Liab 5-6'!M18</f>
        <v>58968</v>
      </c>
      <c r="D275" s="2" t="str">
        <f t="shared" si="3"/>
        <v>Error?</v>
      </c>
    </row>
    <row r="276" spans="1:4" x14ac:dyDescent="0.2">
      <c r="A276" s="5">
        <v>215</v>
      </c>
      <c r="B276" s="138">
        <f>'Assets-Liab 5-6'!M19</f>
        <v>342863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808450</v>
      </c>
      <c r="C279" s="2" t="s">
        <v>573</v>
      </c>
      <c r="D279" s="2" t="str">
        <f t="shared" si="3"/>
        <v>Error?</v>
      </c>
    </row>
    <row r="280" spans="1:4" x14ac:dyDescent="0.2">
      <c r="A280" s="5">
        <v>219</v>
      </c>
      <c r="B280" s="138">
        <f>'Assets-Liab 5-6'!M40</f>
        <v>808450</v>
      </c>
      <c r="D280" s="2" t="str">
        <f t="shared" si="3"/>
        <v>Error?</v>
      </c>
    </row>
    <row r="281" spans="1:4" x14ac:dyDescent="0.2">
      <c r="A281" s="5">
        <v>220</v>
      </c>
      <c r="B281" s="138">
        <f>'Assets-Liab 5-6'!M41</f>
        <v>808450</v>
      </c>
      <c r="C281" s="2" t="s">
        <v>573</v>
      </c>
      <c r="D281" s="2" t="str">
        <f t="shared" si="3"/>
        <v>Error?</v>
      </c>
    </row>
    <row r="282" spans="1:4" x14ac:dyDescent="0.2">
      <c r="A282" s="5">
        <v>221</v>
      </c>
      <c r="B282" s="138">
        <f>'Assets-Liab 5-6'!N21</f>
        <v>8294</v>
      </c>
      <c r="D282" s="2" t="str">
        <f t="shared" si="3"/>
        <v>Error?</v>
      </c>
    </row>
    <row r="283" spans="1:4" x14ac:dyDescent="0.2">
      <c r="A283" s="5">
        <v>222</v>
      </c>
      <c r="B283" s="138">
        <f>'Assets-Liab 5-6'!N22</f>
        <v>586006</v>
      </c>
      <c r="D283" s="2" t="str">
        <f t="shared" si="3"/>
        <v>Error?</v>
      </c>
    </row>
    <row r="284" spans="1:4" x14ac:dyDescent="0.2">
      <c r="A284" s="5">
        <v>223</v>
      </c>
      <c r="B284" s="138">
        <f>'Assets-Liab 5-6'!N23</f>
        <v>594300</v>
      </c>
      <c r="C284" s="2" t="s">
        <v>573</v>
      </c>
      <c r="D284" s="2" t="str">
        <f t="shared" si="3"/>
        <v>Error?</v>
      </c>
    </row>
    <row r="285" spans="1:4" x14ac:dyDescent="0.2">
      <c r="A285" s="5">
        <v>224</v>
      </c>
      <c r="B285" s="138">
        <f>'Assets-Liab 5-6'!N36</f>
        <v>594300</v>
      </c>
      <c r="D285" s="2" t="str">
        <f t="shared" si="3"/>
        <v>Error?</v>
      </c>
    </row>
    <row r="286" spans="1:4" x14ac:dyDescent="0.2">
      <c r="A286" s="10">
        <v>225</v>
      </c>
      <c r="D286" s="2" t="str">
        <f t="shared" si="3"/>
        <v>OK</v>
      </c>
    </row>
    <row r="287" spans="1:4" x14ac:dyDescent="0.2">
      <c r="A287" s="5">
        <v>226</v>
      </c>
      <c r="B287" s="138">
        <f>'Assets-Liab 5-6'!N37</f>
        <v>594300</v>
      </c>
      <c r="C287" s="2" t="s">
        <v>573</v>
      </c>
      <c r="D287" s="2" t="str">
        <f t="shared" si="3"/>
        <v>Error?</v>
      </c>
    </row>
    <row r="288" spans="1:4" x14ac:dyDescent="0.2">
      <c r="A288" s="5">
        <v>227</v>
      </c>
      <c r="B288" s="138">
        <f>'Assets-Liab 5-6'!N41</f>
        <v>594300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207776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264310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65000</v>
      </c>
      <c r="D733" s="2" t="str">
        <f t="shared" si="10"/>
        <v>Error?</v>
      </c>
    </row>
    <row r="734" spans="1:4" x14ac:dyDescent="0.2">
      <c r="A734" s="5">
        <v>673</v>
      </c>
      <c r="B734" s="138">
        <f>'Expenditures 15-22'!C53</f>
        <v>65000</v>
      </c>
      <c r="C734" s="2" t="s">
        <v>573</v>
      </c>
      <c r="D734" s="2" t="str">
        <f t="shared" si="10"/>
        <v>Error?</v>
      </c>
    </row>
    <row r="735" spans="1:4" x14ac:dyDescent="0.2">
      <c r="A735" s="5">
        <v>674</v>
      </c>
      <c r="B735" s="138">
        <f>'Expenditures 15-22'!C55</f>
        <v>11463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11463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29907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8105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38012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114475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378785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62496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67566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7605</v>
      </c>
      <c r="D791" s="2" t="str">
        <f t="shared" si="11"/>
        <v>Error?</v>
      </c>
    </row>
    <row r="792" spans="1:4" x14ac:dyDescent="0.2">
      <c r="A792" s="5">
        <v>731</v>
      </c>
      <c r="B792" s="138">
        <f>'Expenditures 15-22'!D53</f>
        <v>7605</v>
      </c>
      <c r="C792" s="2" t="s">
        <v>573</v>
      </c>
      <c r="D792" s="2" t="str">
        <f t="shared" si="11"/>
        <v>Error?</v>
      </c>
    </row>
    <row r="793" spans="1:4" x14ac:dyDescent="0.2">
      <c r="A793" s="5">
        <v>732</v>
      </c>
      <c r="B793" s="138">
        <f>'Expenditures 15-22'!D55</f>
        <v>1368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1604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10577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78143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39269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54813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24538</v>
      </c>
      <c r="D848" s="2" t="str">
        <f t="shared" si="12"/>
        <v>Error?</v>
      </c>
    </row>
    <row r="849" spans="1:4" x14ac:dyDescent="0.2">
      <c r="A849" s="5">
        <v>788</v>
      </c>
      <c r="B849" s="138">
        <f>'Expenditures 15-22'!E50</f>
        <v>1671</v>
      </c>
      <c r="D849" s="2" t="str">
        <f t="shared" si="12"/>
        <v>Error?</v>
      </c>
    </row>
    <row r="850" spans="1:4" x14ac:dyDescent="0.2">
      <c r="A850" s="5">
        <v>789</v>
      </c>
      <c r="B850" s="138">
        <f>'Expenditures 15-22'!E53</f>
        <v>26209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354</v>
      </c>
      <c r="D855" s="2" t="str">
        <f t="shared" si="12"/>
        <v>Error?</v>
      </c>
    </row>
    <row r="856" spans="1:4" x14ac:dyDescent="0.2">
      <c r="A856" s="5">
        <v>795</v>
      </c>
      <c r="B856" s="138">
        <f>'Expenditures 15-22'!E61</f>
        <v>124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26687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81500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4616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5648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5648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19855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20728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26376</v>
      </c>
      <c r="C929" s="2" t="s">
        <v>573</v>
      </c>
      <c r="D929" s="2" t="str">
        <f t="shared" si="13"/>
        <v>Error?</v>
      </c>
    </row>
    <row r="930" spans="1:4" x14ac:dyDescent="0.2">
      <c r="A930" s="5">
        <v>869</v>
      </c>
      <c r="B930" s="138">
        <f>'Expenditures 15-22'!F75</f>
        <v>517</v>
      </c>
      <c r="D930" s="2" t="str">
        <f t="shared" si="13"/>
        <v>Error?</v>
      </c>
    </row>
    <row r="931" spans="1:4" x14ac:dyDescent="0.2">
      <c r="A931" s="5">
        <v>870</v>
      </c>
      <c r="B931" s="138">
        <f>'Expenditures 15-22'!F114</f>
        <v>31509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979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979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22296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56103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314157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450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391305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31165</v>
      </c>
      <c r="C1120" s="2" t="s">
        <v>573</v>
      </c>
      <c r="D1120" s="2" t="str">
        <f t="shared" si="16"/>
        <v>Error?</v>
      </c>
    </row>
    <row r="1121" spans="1:4" x14ac:dyDescent="0.2">
      <c r="A1121" s="5">
        <v>1060</v>
      </c>
      <c r="B1121" s="138">
        <f>'Expenditures 15-22'!K50</f>
        <v>74276</v>
      </c>
      <c r="C1121" s="2" t="s">
        <v>573</v>
      </c>
      <c r="D1121" s="2" t="str">
        <f t="shared" si="16"/>
        <v>Error?</v>
      </c>
    </row>
    <row r="1122" spans="1:4" x14ac:dyDescent="0.2">
      <c r="A1122" s="5">
        <v>1061</v>
      </c>
      <c r="B1122" s="138">
        <f>'Expenditures 15-22'!K53</f>
        <v>105441</v>
      </c>
      <c r="C1122" s="2" t="s">
        <v>573</v>
      </c>
      <c r="D1122" s="2" t="str">
        <f t="shared" si="16"/>
        <v>Error?</v>
      </c>
    </row>
    <row r="1123" spans="1:4" x14ac:dyDescent="0.2">
      <c r="A1123" s="5">
        <v>1062</v>
      </c>
      <c r="B1123" s="138">
        <f>'Expenditures 15-22'!K55</f>
        <v>12831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12831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32398</v>
      </c>
      <c r="C1127" s="2" t="s">
        <v>573</v>
      </c>
      <c r="D1127" s="2" t="str">
        <f t="shared" si="16"/>
        <v>Error?</v>
      </c>
    </row>
    <row r="1128" spans="1:4" x14ac:dyDescent="0.2">
      <c r="A1128" s="5">
        <v>1067</v>
      </c>
      <c r="B1128" s="138">
        <f>'Expenditures 15-22'!K61</f>
        <v>124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28300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60822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179094</v>
      </c>
      <c r="C1143" s="2" t="s">
        <v>573</v>
      </c>
      <c r="D1143" s="2" t="str">
        <f t="shared" si="16"/>
        <v>Error?</v>
      </c>
    </row>
    <row r="1144" spans="1:4" x14ac:dyDescent="0.2">
      <c r="A1144" s="5">
        <v>1083</v>
      </c>
      <c r="B1144" s="138">
        <f>'Expenditures 15-22'!K75</f>
        <v>517</v>
      </c>
      <c r="C1144" s="2" t="s">
        <v>573</v>
      </c>
      <c r="D1144" s="2" t="str">
        <f t="shared" si="16"/>
        <v>Error?</v>
      </c>
    </row>
    <row r="1145" spans="1:4" x14ac:dyDescent="0.2">
      <c r="A1145" s="5">
        <v>1084</v>
      </c>
      <c r="B1145" s="138">
        <f>'Expenditures 15-22'!K102</f>
        <v>22296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626040</v>
      </c>
      <c r="C1152" s="2" t="s">
        <v>573</v>
      </c>
      <c r="D1152" s="2" t="str">
        <f t="shared" si="17"/>
        <v>Error?</v>
      </c>
    </row>
    <row r="1153" spans="1:4" x14ac:dyDescent="0.2">
      <c r="A1153" s="5">
        <v>1092</v>
      </c>
      <c r="B1153" s="138">
        <f>'Expenditures 15-22'!K115</f>
        <v>-8281.4399999999441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5048</v>
      </c>
      <c r="D1221" s="2" t="str">
        <f t="shared" si="18"/>
        <v>Error?</v>
      </c>
    </row>
    <row r="1222" spans="1:4" x14ac:dyDescent="0.2">
      <c r="A1222" s="10">
        <v>1161</v>
      </c>
      <c r="D1222" s="2" t="str">
        <f t="shared" si="18"/>
        <v>OK</v>
      </c>
    </row>
    <row r="1223" spans="1:4" x14ac:dyDescent="0.2">
      <c r="A1223" s="5">
        <v>1162</v>
      </c>
      <c r="B1223" s="138">
        <f>'Expenditures 15-22'!C127</f>
        <v>5048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5048</v>
      </c>
      <c r="C1225" s="2" t="s">
        <v>573</v>
      </c>
      <c r="D1225" s="2" t="str">
        <f t="shared" si="18"/>
        <v>Error?</v>
      </c>
    </row>
    <row r="1226" spans="1:4" x14ac:dyDescent="0.2">
      <c r="A1226" s="5">
        <v>1165</v>
      </c>
      <c r="B1226" s="138">
        <f>'Expenditures 15-22'!C151</f>
        <v>5048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202</v>
      </c>
      <c r="D1229" s="2" t="str">
        <f t="shared" si="18"/>
        <v>Error?</v>
      </c>
    </row>
    <row r="1230" spans="1:4" x14ac:dyDescent="0.2">
      <c r="A1230" s="10">
        <v>1169</v>
      </c>
      <c r="D1230" s="2" t="str">
        <f t="shared" si="18"/>
        <v>OK</v>
      </c>
    </row>
    <row r="1231" spans="1:4" x14ac:dyDescent="0.2">
      <c r="A1231" s="5">
        <v>1170</v>
      </c>
      <c r="B1231" s="138">
        <f>'Expenditures 15-22'!D127</f>
        <v>202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202</v>
      </c>
      <c r="C1233" s="2" t="s">
        <v>573</v>
      </c>
      <c r="D1233" s="2" t="str">
        <f t="shared" si="18"/>
        <v>Error?</v>
      </c>
    </row>
    <row r="1234" spans="1:4" x14ac:dyDescent="0.2">
      <c r="A1234" s="5">
        <v>1173</v>
      </c>
      <c r="B1234" s="138">
        <f>'Expenditures 15-22'!D151</f>
        <v>202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9051</v>
      </c>
      <c r="D1237" s="2" t="str">
        <f t="shared" si="18"/>
        <v>Error?</v>
      </c>
    </row>
    <row r="1238" spans="1:4" x14ac:dyDescent="0.2">
      <c r="A1238" s="10">
        <v>1177</v>
      </c>
      <c r="D1238" s="2" t="str">
        <f t="shared" si="18"/>
        <v>OK</v>
      </c>
    </row>
    <row r="1239" spans="1:4" x14ac:dyDescent="0.2">
      <c r="A1239" s="5">
        <v>1178</v>
      </c>
      <c r="B1239" s="138">
        <f>'Expenditures 15-22'!E127</f>
        <v>9051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9051</v>
      </c>
      <c r="C1241" s="2" t="s">
        <v>573</v>
      </c>
      <c r="D1241" s="2" t="str">
        <f t="shared" si="18"/>
        <v>Error?</v>
      </c>
    </row>
    <row r="1242" spans="1:4" x14ac:dyDescent="0.2">
      <c r="A1242" s="5">
        <v>1181</v>
      </c>
      <c r="B1242" s="138">
        <f>'Expenditures 15-22'!E151</f>
        <v>9051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6706</v>
      </c>
      <c r="D1245" s="2" t="str">
        <f t="shared" si="18"/>
        <v>Error?</v>
      </c>
    </row>
    <row r="1246" spans="1:4" x14ac:dyDescent="0.2">
      <c r="A1246" s="10">
        <v>1185</v>
      </c>
      <c r="D1246" s="2" t="str">
        <f t="shared" si="18"/>
        <v>OK</v>
      </c>
    </row>
    <row r="1247" spans="1:4" x14ac:dyDescent="0.2">
      <c r="A1247" s="5">
        <v>1186</v>
      </c>
      <c r="B1247" s="138">
        <f>'Expenditures 15-22'!F127</f>
        <v>6706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6706</v>
      </c>
      <c r="C1249" s="2" t="s">
        <v>573</v>
      </c>
      <c r="D1249" s="2" t="str">
        <f t="shared" si="18"/>
        <v>Error?</v>
      </c>
    </row>
    <row r="1250" spans="1:4" x14ac:dyDescent="0.2">
      <c r="A1250" s="5">
        <v>1189</v>
      </c>
      <c r="B1250" s="138">
        <f>'Expenditures 15-22'!F151</f>
        <v>6706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6560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6560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6560</v>
      </c>
      <c r="C1258" s="2" t="s">
        <v>573</v>
      </c>
      <c r="D1258" s="2" t="str">
        <f t="shared" si="18"/>
        <v>Error?</v>
      </c>
    </row>
    <row r="1259" spans="1:4" x14ac:dyDescent="0.2">
      <c r="A1259" s="5">
        <v>1198</v>
      </c>
      <c r="B1259" s="138">
        <f>'Expenditures 15-22'!G151</f>
        <v>6560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27567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27567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27567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27567</v>
      </c>
      <c r="C1288" s="2" t="s">
        <v>573</v>
      </c>
      <c r="D1288" s="2" t="str">
        <f t="shared" si="19"/>
        <v>Error?</v>
      </c>
    </row>
    <row r="1289" spans="1:4" x14ac:dyDescent="0.2">
      <c r="A1289" s="5">
        <v>1228</v>
      </c>
      <c r="B1289" s="138">
        <f>'Expenditures 15-22'!K152</f>
        <v>11987.5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454900</v>
      </c>
      <c r="D1315" s="2" t="str">
        <f t="shared" si="19"/>
        <v>Error?</v>
      </c>
    </row>
    <row r="1316" spans="1:4" x14ac:dyDescent="0.2">
      <c r="A1316" s="5">
        <v>1255</v>
      </c>
      <c r="B1316" s="138">
        <f>'Expenditures 15-22'!H171</f>
        <v>7088</v>
      </c>
      <c r="D1316" s="2" t="str">
        <f t="shared" si="19"/>
        <v>Error?</v>
      </c>
    </row>
    <row r="1317" spans="1:4" x14ac:dyDescent="0.2">
      <c r="A1317" s="5">
        <v>1256</v>
      </c>
      <c r="B1317" s="138">
        <f>'Expenditures 15-22'!H172</f>
        <v>482331</v>
      </c>
      <c r="C1317" s="2" t="s">
        <v>573</v>
      </c>
      <c r="D1317" s="2" t="str">
        <f t="shared" si="19"/>
        <v>Error?</v>
      </c>
    </row>
    <row r="1318" spans="1:4" x14ac:dyDescent="0.2">
      <c r="A1318" s="5">
        <v>1257</v>
      </c>
      <c r="B1318" s="138">
        <f>'Expenditures 15-22'!H174</f>
        <v>482331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20343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454900</v>
      </c>
      <c r="C1329" s="2" t="s">
        <v>573</v>
      </c>
      <c r="D1329" s="2" t="str">
        <f t="shared" si="19"/>
        <v>Error?</v>
      </c>
    </row>
    <row r="1330" spans="1:4" x14ac:dyDescent="0.2">
      <c r="A1330" s="5">
        <v>1269</v>
      </c>
      <c r="B1330" s="138">
        <f>'Expenditures 15-22'!K171</f>
        <v>7088</v>
      </c>
      <c r="C1330" s="2" t="s">
        <v>573</v>
      </c>
      <c r="D1330" s="2" t="str">
        <f t="shared" si="19"/>
        <v>Error?</v>
      </c>
    </row>
    <row r="1331" spans="1:4" x14ac:dyDescent="0.2">
      <c r="A1331" s="5">
        <v>1270</v>
      </c>
      <c r="B1331" s="138">
        <f>'Expenditures 15-22'!K172</f>
        <v>482331</v>
      </c>
      <c r="C1331" s="2" t="s">
        <v>573</v>
      </c>
      <c r="D1331" s="2" t="str">
        <f t="shared" si="19"/>
        <v>Error?</v>
      </c>
    </row>
    <row r="1332" spans="1:4" x14ac:dyDescent="0.2">
      <c r="A1332" s="5">
        <v>1271</v>
      </c>
      <c r="B1332" s="138">
        <f>'Expenditures 15-22'!K174</f>
        <v>482331</v>
      </c>
      <c r="C1332" s="2" t="s">
        <v>573</v>
      </c>
      <c r="D1332" s="2" t="str">
        <f t="shared" si="19"/>
        <v>Error?</v>
      </c>
    </row>
    <row r="1333" spans="1:4" x14ac:dyDescent="0.2">
      <c r="A1333" s="5">
        <v>1272</v>
      </c>
      <c r="B1333" s="138">
        <f>'Expenditures 15-22'!K175</f>
        <v>-451690.13</v>
      </c>
      <c r="C1333" s="2" t="s">
        <v>573</v>
      </c>
      <c r="D1333" s="2" t="str">
        <f t="shared" si="19"/>
        <v>Error?</v>
      </c>
    </row>
    <row r="1334" spans="1:4" x14ac:dyDescent="0.2">
      <c r="A1334" s="10">
        <v>1273</v>
      </c>
      <c r="D1334" s="2" t="str">
        <f t="shared" si="19"/>
        <v>OK</v>
      </c>
    </row>
    <row r="1335" spans="1:4" x14ac:dyDescent="0.2">
      <c r="A1335" s="5">
        <v>1274</v>
      </c>
      <c r="B1335" s="138">
        <f>'Expenditures 15-22'!C182</f>
        <v>10216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10216</v>
      </c>
      <c r="C1339" s="2" t="s">
        <v>573</v>
      </c>
      <c r="D1339" s="2" t="str">
        <f t="shared" si="19"/>
        <v>Error?</v>
      </c>
    </row>
    <row r="1340" spans="1:4" x14ac:dyDescent="0.2">
      <c r="A1340" s="5">
        <v>1279</v>
      </c>
      <c r="B1340" s="138">
        <f>'Expenditures 15-22'!C210</f>
        <v>10216</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12567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12567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12567</v>
      </c>
      <c r="C1353" s="2" t="s">
        <v>573</v>
      </c>
      <c r="D1353" s="2" t="str">
        <f t="shared" si="20"/>
        <v>Error?</v>
      </c>
    </row>
    <row r="1354" spans="1:4" x14ac:dyDescent="0.2">
      <c r="A1354" s="5">
        <v>1293</v>
      </c>
      <c r="B1354" s="138">
        <f>'Expenditures 15-22'!F182</f>
        <v>3551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3551</v>
      </c>
      <c r="C1358" s="2" t="s">
        <v>573</v>
      </c>
      <c r="D1358" s="2" t="str">
        <f t="shared" si="20"/>
        <v>Error?</v>
      </c>
    </row>
    <row r="1359" spans="1:4" x14ac:dyDescent="0.2">
      <c r="A1359" s="5">
        <v>1298</v>
      </c>
      <c r="B1359" s="138">
        <f>'Expenditures 15-22'!F210</f>
        <v>3551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26334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26334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26334</v>
      </c>
      <c r="C1388" s="2" t="s">
        <v>573</v>
      </c>
      <c r="D1388" s="2" t="str">
        <f t="shared" si="20"/>
        <v>Error?</v>
      </c>
    </row>
    <row r="1389" spans="1:4" x14ac:dyDescent="0.2">
      <c r="A1389" s="5">
        <v>1328</v>
      </c>
      <c r="B1389" s="138">
        <f>'Expenditures 15-22'!K211</f>
        <v>-9042.4500000000007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361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361</v>
      </c>
      <c r="C1517" s="2" t="s">
        <v>573</v>
      </c>
      <c r="D1517" s="2" t="str">
        <f t="shared" si="22"/>
        <v>Error?</v>
      </c>
    </row>
    <row r="1518" spans="1:4" x14ac:dyDescent="0.2">
      <c r="A1518" s="5">
        <v>1457</v>
      </c>
      <c r="B1518" s="138">
        <f>'Expenditures 15-22'!K296</f>
        <v>6342.69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95302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140263.56000000006</v>
      </c>
      <c r="C1630" s="2" t="s">
        <v>573</v>
      </c>
      <c r="D1630" s="2" t="str">
        <f t="shared" si="24"/>
        <v>Error?</v>
      </c>
    </row>
    <row r="1631" spans="1:4" x14ac:dyDescent="0.2">
      <c r="A1631" s="5">
        <v>1570</v>
      </c>
      <c r="B1631" s="138">
        <f>'Acct Summary 7-8'!D79</f>
        <v>19707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11416.5</v>
      </c>
      <c r="C1644" s="2" t="s">
        <v>573</v>
      </c>
      <c r="D1644" s="2" t="str">
        <f t="shared" si="24"/>
        <v>Error?</v>
      </c>
    </row>
    <row r="1645" spans="1:4" x14ac:dyDescent="0.2">
      <c r="A1645" s="5">
        <v>1584</v>
      </c>
      <c r="B1645" s="138">
        <f>'Acct Summary 7-8'!E79</f>
        <v>33069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8293.8699999999953</v>
      </c>
      <c r="C1658" s="2" t="s">
        <v>573</v>
      </c>
      <c r="D1658" s="2" t="str">
        <f t="shared" si="24"/>
        <v>Error?</v>
      </c>
    </row>
    <row r="1659" spans="1:4" x14ac:dyDescent="0.2">
      <c r="A1659" s="5">
        <v>1598</v>
      </c>
      <c r="B1659" s="138">
        <f>'Acct Summary 7-8'!F79</f>
        <v>65546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55446.55</v>
      </c>
      <c r="C1672" s="2" t="s">
        <v>573</v>
      </c>
      <c r="D1672" s="2" t="str">
        <f t="shared" si="25"/>
        <v>Error?</v>
      </c>
    </row>
    <row r="1673" spans="1:4" x14ac:dyDescent="0.2">
      <c r="A1673" s="5">
        <v>1612</v>
      </c>
      <c r="B1673" s="138">
        <f>'Acct Summary 7-8'!G79</f>
        <v>40795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38787.69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280701</v>
      </c>
      <c r="C1744" s="2" t="s">
        <v>573</v>
      </c>
      <c r="D1744" s="2" t="str">
        <f t="shared" si="26"/>
        <v>Error?</v>
      </c>
    </row>
    <row r="1745" spans="1:5" x14ac:dyDescent="0.2">
      <c r="A1745" s="5">
        <v>1684</v>
      </c>
      <c r="B1745" s="138">
        <f>'Tax Sched 23'!B5</f>
        <v>39128</v>
      </c>
      <c r="C1745" s="2" t="s">
        <v>573</v>
      </c>
      <c r="D1745" s="2" t="str">
        <f t="shared" si="26"/>
        <v>Error?</v>
      </c>
    </row>
    <row r="1746" spans="1:5" x14ac:dyDescent="0.2">
      <c r="A1746" s="5">
        <v>1685</v>
      </c>
      <c r="B1746" s="138">
        <f>'Tax Sched 23'!B6</f>
        <v>30618</v>
      </c>
      <c r="C1746" s="2" t="s">
        <v>573</v>
      </c>
      <c r="D1746" s="2" t="str">
        <f t="shared" si="26"/>
        <v>Error?</v>
      </c>
    </row>
    <row r="1747" spans="1:5" x14ac:dyDescent="0.2">
      <c r="A1747" s="5">
        <v>1686</v>
      </c>
      <c r="B1747" s="138">
        <f>'Tax Sched 23'!B7</f>
        <v>5558</v>
      </c>
      <c r="C1747" s="2" t="s">
        <v>573</v>
      </c>
      <c r="D1747" s="2" t="str">
        <f t="shared" si="26"/>
        <v>Error?</v>
      </c>
    </row>
    <row r="1748" spans="1:5" x14ac:dyDescent="0.2">
      <c r="A1748" s="5">
        <v>1687</v>
      </c>
      <c r="B1748" s="138">
        <f>'Tax Sched 23'!B8</f>
        <v>5557</v>
      </c>
      <c r="C1748" s="2" t="s">
        <v>573</v>
      </c>
      <c r="D1748" s="2" t="str">
        <f t="shared" si="26"/>
        <v>Error?</v>
      </c>
    </row>
    <row r="1749" spans="1:5" x14ac:dyDescent="0.2">
      <c r="A1749" s="5">
        <v>1688</v>
      </c>
      <c r="B1749" s="138">
        <f>'Tax Sched 23'!B10</f>
        <v>8373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11575</v>
      </c>
      <c r="C1752" s="2" t="s">
        <v>573</v>
      </c>
      <c r="D1752" s="2" t="str">
        <f t="shared" si="26"/>
        <v>Error?</v>
      </c>
    </row>
    <row r="1753" spans="1:5" x14ac:dyDescent="0.2">
      <c r="A1753" s="5">
        <v>1692</v>
      </c>
      <c r="B1753" s="138">
        <f>'Tax Sched 23'!B12</f>
        <v>5558</v>
      </c>
      <c r="C1753" s="2" t="s">
        <v>573</v>
      </c>
      <c r="D1753" s="2" t="str">
        <f t="shared" si="26"/>
        <v>Error?</v>
      </c>
    </row>
    <row r="1754" spans="1:5" x14ac:dyDescent="0.2">
      <c r="A1754" s="5">
        <v>1693</v>
      </c>
      <c r="B1754" s="138">
        <f>'Tax Sched 23'!B14</f>
        <v>1116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389289</v>
      </c>
      <c r="C1759" s="2" t="s">
        <v>573</v>
      </c>
      <c r="D1759" s="2" t="str">
        <f t="shared" si="26"/>
        <v>Error?</v>
      </c>
    </row>
    <row r="1760" spans="1:5" x14ac:dyDescent="0.2">
      <c r="A1760" s="5">
        <v>1699</v>
      </c>
      <c r="B1760" s="138">
        <f>'Tax Sched 23'!D4</f>
        <v>280701</v>
      </c>
      <c r="C1760" s="2" t="s">
        <v>573</v>
      </c>
      <c r="D1760" s="2" t="str">
        <f t="shared" si="26"/>
        <v>Error?</v>
      </c>
    </row>
    <row r="1761" spans="1:5" x14ac:dyDescent="0.2">
      <c r="A1761" s="5">
        <v>1700</v>
      </c>
      <c r="B1761" s="138">
        <f>'Tax Sched 23'!D5</f>
        <v>39128</v>
      </c>
      <c r="C1761" s="2" t="s">
        <v>573</v>
      </c>
      <c r="D1761" s="2" t="str">
        <f t="shared" si="26"/>
        <v>Error?</v>
      </c>
    </row>
    <row r="1762" spans="1:5" s="8" customFormat="1" x14ac:dyDescent="0.2">
      <c r="A1762" s="5">
        <v>1701</v>
      </c>
      <c r="B1762" s="138">
        <f>'Tax Sched 23'!D6</f>
        <v>30618</v>
      </c>
      <c r="C1762" s="2" t="s">
        <v>573</v>
      </c>
      <c r="D1762" s="2" t="str">
        <f t="shared" si="26"/>
        <v>Error?</v>
      </c>
      <c r="E1762" s="9"/>
    </row>
    <row r="1763" spans="1:5" x14ac:dyDescent="0.2">
      <c r="A1763" s="5">
        <v>1702</v>
      </c>
      <c r="B1763" s="138">
        <f>'Tax Sched 23'!D7</f>
        <v>5558</v>
      </c>
      <c r="C1763" s="2" t="s">
        <v>573</v>
      </c>
      <c r="D1763" s="2" t="str">
        <f t="shared" si="26"/>
        <v>Error?</v>
      </c>
    </row>
    <row r="1764" spans="1:5" x14ac:dyDescent="0.2">
      <c r="A1764" s="5">
        <v>1703</v>
      </c>
      <c r="B1764" s="138">
        <f>'Tax Sched 23'!D8</f>
        <v>5557</v>
      </c>
      <c r="C1764" s="2" t="s">
        <v>573</v>
      </c>
      <c r="D1764" s="2" t="str">
        <f t="shared" si="26"/>
        <v>Error?</v>
      </c>
    </row>
    <row r="1765" spans="1:5" x14ac:dyDescent="0.2">
      <c r="A1765" s="5">
        <v>1704</v>
      </c>
      <c r="B1765" s="138">
        <f>'Tax Sched 23'!D10</f>
        <v>8373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11575</v>
      </c>
      <c r="C1768" s="2" t="s">
        <v>573</v>
      </c>
      <c r="D1768" s="2" t="str">
        <f t="shared" si="26"/>
        <v>Error?</v>
      </c>
    </row>
    <row r="1769" spans="1:5" x14ac:dyDescent="0.2">
      <c r="A1769" s="5">
        <v>1708</v>
      </c>
      <c r="B1769" s="138">
        <f>'Tax Sched 23'!D12</f>
        <v>5558</v>
      </c>
      <c r="C1769" s="2" t="s">
        <v>573</v>
      </c>
      <c r="D1769" s="2" t="str">
        <f t="shared" si="26"/>
        <v>Error?</v>
      </c>
    </row>
    <row r="1770" spans="1:5" x14ac:dyDescent="0.2">
      <c r="A1770" s="5">
        <v>1709</v>
      </c>
      <c r="B1770" s="138">
        <f>'Tax Sched 23'!D14</f>
        <v>1116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389289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285871</v>
      </c>
      <c r="C1792" s="2" t="s">
        <v>573</v>
      </c>
      <c r="D1792" s="2" t="str">
        <f t="shared" si="27"/>
        <v>Error?</v>
      </c>
    </row>
    <row r="1793" spans="1:4" x14ac:dyDescent="0.2">
      <c r="A1793" s="5">
        <v>1732</v>
      </c>
      <c r="B1793" s="138">
        <f>'Tax Sched 23'!F5</f>
        <v>40270</v>
      </c>
      <c r="C1793" s="2" t="s">
        <v>573</v>
      </c>
      <c r="D1793" s="2" t="str">
        <f t="shared" si="27"/>
        <v>Error?</v>
      </c>
    </row>
    <row r="1794" spans="1:4" x14ac:dyDescent="0.2">
      <c r="A1794" s="5">
        <v>1733</v>
      </c>
      <c r="B1794" s="138">
        <f>'Tax Sched 23'!F6</f>
        <v>30585</v>
      </c>
      <c r="C1794" s="2" t="s">
        <v>573</v>
      </c>
      <c r="D1794" s="2" t="str">
        <f t="shared" si="27"/>
        <v>Error?</v>
      </c>
    </row>
    <row r="1795" spans="1:4" x14ac:dyDescent="0.2">
      <c r="A1795" s="5">
        <v>1734</v>
      </c>
      <c r="B1795" s="138">
        <f>'Tax Sched 23'!F7</f>
        <v>5676</v>
      </c>
      <c r="C1795" s="2" t="s">
        <v>573</v>
      </c>
      <c r="D1795" s="2" t="str">
        <f t="shared" si="27"/>
        <v>Error?</v>
      </c>
    </row>
    <row r="1796" spans="1:4" x14ac:dyDescent="0.2">
      <c r="A1796" s="5">
        <v>1735</v>
      </c>
      <c r="B1796" s="138">
        <f>'Tax Sched 23'!F8</f>
        <v>5676</v>
      </c>
      <c r="C1796" s="2" t="s">
        <v>573</v>
      </c>
      <c r="D1796" s="2" t="str">
        <f t="shared" si="27"/>
        <v>Error?</v>
      </c>
    </row>
    <row r="1797" spans="1:4" x14ac:dyDescent="0.2">
      <c r="A1797" s="5">
        <v>1736</v>
      </c>
      <c r="B1797" s="138">
        <f>'Tax Sched 23'!F10</f>
        <v>8618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11912</v>
      </c>
      <c r="C1800" s="2" t="s">
        <v>573</v>
      </c>
      <c r="D1800" s="2" t="str">
        <f t="shared" si="27"/>
        <v>Error?</v>
      </c>
    </row>
    <row r="1801" spans="1:4" x14ac:dyDescent="0.2">
      <c r="A1801" s="5">
        <v>1740</v>
      </c>
      <c r="B1801" s="138">
        <f>'Tax Sched 23'!F12</f>
        <v>5676</v>
      </c>
      <c r="C1801" s="2" t="s">
        <v>573</v>
      </c>
      <c r="D1801" s="2" t="str">
        <f t="shared" si="27"/>
        <v>Error?</v>
      </c>
    </row>
    <row r="1802" spans="1:4" x14ac:dyDescent="0.2">
      <c r="A1802" s="5">
        <v>1741</v>
      </c>
      <c r="B1802" s="138">
        <f>'Tax Sched 23'!F14</f>
        <v>1138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396560</v>
      </c>
      <c r="C1807" s="2" t="s">
        <v>573</v>
      </c>
      <c r="D1807" s="2" t="str">
        <f t="shared" si="27"/>
        <v>Error?</v>
      </c>
    </row>
    <row r="1808" spans="1:4" x14ac:dyDescent="0.2">
      <c r="A1808" s="5">
        <v>1747</v>
      </c>
      <c r="B1808" s="138">
        <f>'Tax Sched 23'!E4</f>
        <v>285871</v>
      </c>
      <c r="D1808" s="2" t="str">
        <f t="shared" si="27"/>
        <v>Error?</v>
      </c>
    </row>
    <row r="1809" spans="1:4" x14ac:dyDescent="0.2">
      <c r="A1809" s="5">
        <v>1748</v>
      </c>
      <c r="B1809" s="138">
        <f>'Tax Sched 23'!E5</f>
        <v>40270</v>
      </c>
      <c r="D1809" s="2" t="str">
        <f t="shared" si="27"/>
        <v>Error?</v>
      </c>
    </row>
    <row r="1810" spans="1:4" x14ac:dyDescent="0.2">
      <c r="A1810" s="5">
        <v>1749</v>
      </c>
      <c r="B1810" s="138">
        <f>'Tax Sched 23'!E6</f>
        <v>30585</v>
      </c>
      <c r="D1810" s="2" t="str">
        <f t="shared" si="27"/>
        <v>Error?</v>
      </c>
    </row>
    <row r="1811" spans="1:4" x14ac:dyDescent="0.2">
      <c r="A1811" s="5">
        <v>1750</v>
      </c>
      <c r="B1811" s="138">
        <f>'Tax Sched 23'!E7</f>
        <v>5676</v>
      </c>
      <c r="D1811" s="2" t="str">
        <f t="shared" si="27"/>
        <v>Error?</v>
      </c>
    </row>
    <row r="1812" spans="1:4" x14ac:dyDescent="0.2">
      <c r="A1812" s="5">
        <v>1751</v>
      </c>
      <c r="B1812" s="138">
        <f>'Tax Sched 23'!E8</f>
        <v>5676</v>
      </c>
      <c r="D1812" s="2" t="str">
        <f t="shared" si="27"/>
        <v>Error?</v>
      </c>
    </row>
    <row r="1813" spans="1:4" x14ac:dyDescent="0.2">
      <c r="A1813" s="5">
        <v>1752</v>
      </c>
      <c r="B1813" s="138">
        <f>'Tax Sched 23'!E10</f>
        <v>8618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11912</v>
      </c>
      <c r="D1816" s="2" t="str">
        <f t="shared" si="27"/>
        <v>Error?</v>
      </c>
    </row>
    <row r="1817" spans="1:4" x14ac:dyDescent="0.2">
      <c r="A1817" s="5">
        <v>1756</v>
      </c>
      <c r="B1817" s="138">
        <f>'Tax Sched 23'!E12</f>
        <v>5676</v>
      </c>
      <c r="D1817" s="2" t="str">
        <f t="shared" si="27"/>
        <v>Error?</v>
      </c>
    </row>
    <row r="1818" spans="1:4" x14ac:dyDescent="0.2">
      <c r="A1818" s="5">
        <v>1757</v>
      </c>
      <c r="B1818" s="138">
        <f>'Tax Sched 23'!E14</f>
        <v>1138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396560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874700</v>
      </c>
      <c r="C1939" s="2" t="s">
        <v>573</v>
      </c>
      <c r="D1939" s="2" t="str">
        <f t="shared" si="29"/>
        <v>Error?</v>
      </c>
    </row>
    <row r="1940" spans="1:5" x14ac:dyDescent="0.2">
      <c r="A1940" s="5">
        <v>1879</v>
      </c>
      <c r="B1940" s="138">
        <f>'Short-Term Long-Term Debt 24'!F49</f>
        <v>174500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386619</v>
      </c>
      <c r="D2009" s="2" t="str">
        <f t="shared" si="30"/>
        <v>Error?</v>
      </c>
    </row>
    <row r="2010" spans="1:4" x14ac:dyDescent="0.2">
      <c r="A2010" s="5">
        <v>1949</v>
      </c>
      <c r="B2010" s="138">
        <f>'Cap Outlay Deprec 26'!C10</f>
        <v>52408</v>
      </c>
      <c r="D2010" s="2" t="str">
        <f t="shared" si="30"/>
        <v>Error?</v>
      </c>
    </row>
    <row r="2011" spans="1:4" x14ac:dyDescent="0.2">
      <c r="A2011" s="5">
        <v>1950</v>
      </c>
      <c r="B2011" s="138">
        <f>'Cap Outlay Deprec 26'!C12</f>
        <v>234874</v>
      </c>
      <c r="D2011" s="2" t="str">
        <f t="shared" si="30"/>
        <v>Error?</v>
      </c>
    </row>
    <row r="2012" spans="1:4" x14ac:dyDescent="0.2">
      <c r="A2012" s="5">
        <v>1951</v>
      </c>
      <c r="B2012" s="138">
        <f>'Cap Outlay Deprec 26'!C13</f>
        <v>107989</v>
      </c>
      <c r="D2012" s="2" t="str">
        <f t="shared" si="30"/>
        <v>Error?</v>
      </c>
    </row>
    <row r="2013" spans="1:4" x14ac:dyDescent="0.2">
      <c r="A2013" s="5">
        <v>1952</v>
      </c>
      <c r="B2013" s="138">
        <f>'Cap Outlay Deprec 26'!C16</f>
        <v>801890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6560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6560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20000</v>
      </c>
      <c r="C2026" s="2" t="s">
        <v>573</v>
      </c>
      <c r="D2026" s="2" t="str">
        <f t="shared" si="30"/>
        <v>Error?</v>
      </c>
    </row>
    <row r="2027" spans="1:4" x14ac:dyDescent="0.2">
      <c r="A2027" s="5">
        <v>1966</v>
      </c>
      <c r="B2027" s="138">
        <f>'Cap Outlay Deprec 26'!F8</f>
        <v>386619</v>
      </c>
      <c r="C2027" s="2" t="s">
        <v>573</v>
      </c>
      <c r="D2027" s="2" t="str">
        <f t="shared" si="30"/>
        <v>Error?</v>
      </c>
    </row>
    <row r="2028" spans="1:4" x14ac:dyDescent="0.2">
      <c r="A2028" s="5">
        <v>1967</v>
      </c>
      <c r="B2028" s="138">
        <f>'Cap Outlay Deprec 26'!F10</f>
        <v>58968</v>
      </c>
      <c r="C2028" s="2" t="s">
        <v>573</v>
      </c>
      <c r="D2028" s="2" t="str">
        <f t="shared" si="30"/>
        <v>Error?</v>
      </c>
    </row>
    <row r="2029" spans="1:4" x14ac:dyDescent="0.2">
      <c r="A2029" s="5">
        <v>1968</v>
      </c>
      <c r="B2029" s="138">
        <f>'Cap Outlay Deprec 26'!F12</f>
        <v>234874</v>
      </c>
      <c r="C2029" s="2" t="s">
        <v>573</v>
      </c>
      <c r="D2029" s="2" t="str">
        <f t="shared" si="30"/>
        <v>Error?</v>
      </c>
    </row>
    <row r="2030" spans="1:4" x14ac:dyDescent="0.2">
      <c r="A2030" s="5">
        <v>1969</v>
      </c>
      <c r="B2030" s="138">
        <f>'Cap Outlay Deprec 26'!F13</f>
        <v>107989</v>
      </c>
      <c r="C2030" s="2" t="s">
        <v>573</v>
      </c>
      <c r="D2030" s="2" t="str">
        <f t="shared" si="30"/>
        <v>Error?</v>
      </c>
    </row>
    <row r="2031" spans="1:4" x14ac:dyDescent="0.2">
      <c r="A2031" s="5">
        <v>1970</v>
      </c>
      <c r="B2031" s="138">
        <f>'Cap Outlay Deprec 26'!F16</f>
        <v>808450</v>
      </c>
      <c r="C2031" s="2" t="s">
        <v>573</v>
      </c>
      <c r="D2031" s="2" t="str">
        <f t="shared" si="30"/>
        <v>Error?</v>
      </c>
    </row>
    <row r="2032" spans="1:4" x14ac:dyDescent="0.2">
      <c r="A2032" s="10">
        <v>1971</v>
      </c>
      <c r="D2032" s="2" t="str">
        <f t="shared" si="30"/>
        <v>OK</v>
      </c>
    </row>
    <row r="2033" spans="1:4" x14ac:dyDescent="0.2">
      <c r="A2033" s="5">
        <v>1972</v>
      </c>
      <c r="B2033" s="138">
        <f>'Cap Outlay Deprec 26'!H8</f>
        <v>309305</v>
      </c>
      <c r="D2033" s="2" t="str">
        <f t="shared" si="30"/>
        <v>Error?</v>
      </c>
    </row>
    <row r="2034" spans="1:4" x14ac:dyDescent="0.2">
      <c r="A2034" s="5">
        <v>1973</v>
      </c>
      <c r="B2034" s="138">
        <f>'Cap Outlay Deprec 26'!H10</f>
        <v>11026</v>
      </c>
      <c r="D2034" s="2" t="str">
        <f t="shared" si="30"/>
        <v>Error?</v>
      </c>
    </row>
    <row r="2035" spans="1:4" x14ac:dyDescent="0.2">
      <c r="A2035" s="5">
        <v>1974</v>
      </c>
      <c r="B2035" s="138">
        <f>'Cap Outlay Deprec 26'!H12</f>
        <v>233843</v>
      </c>
      <c r="D2035" s="2" t="str">
        <f t="shared" si="30"/>
        <v>Error?</v>
      </c>
    </row>
    <row r="2036" spans="1:4" x14ac:dyDescent="0.2">
      <c r="A2036" s="5">
        <v>1975</v>
      </c>
      <c r="B2036" s="138">
        <f>'Cap Outlay Deprec 26'!H13</f>
        <v>100128</v>
      </c>
      <c r="D2036" s="2" t="str">
        <f t="shared" si="30"/>
        <v>Error?</v>
      </c>
    </row>
    <row r="2037" spans="1:4" x14ac:dyDescent="0.2">
      <c r="A2037" s="5">
        <v>1976</v>
      </c>
      <c r="B2037" s="138">
        <f>'Cap Outlay Deprec 26'!H16</f>
        <v>654302</v>
      </c>
      <c r="C2037" s="2" t="s">
        <v>573</v>
      </c>
      <c r="D2037" s="2" t="str">
        <f t="shared" si="30"/>
        <v>Error?</v>
      </c>
    </row>
    <row r="2038" spans="1:4" x14ac:dyDescent="0.2">
      <c r="A2038" s="10">
        <v>1977</v>
      </c>
      <c r="D2038" s="2" t="str">
        <f t="shared" si="30"/>
        <v>OK</v>
      </c>
    </row>
    <row r="2039" spans="1:4" x14ac:dyDescent="0.2">
      <c r="A2039" s="5">
        <v>1978</v>
      </c>
      <c r="B2039" s="138">
        <f>'Cap Outlay Deprec 26'!I8</f>
        <v>7732</v>
      </c>
      <c r="D2039" s="2" t="str">
        <f t="shared" si="30"/>
        <v>Error?</v>
      </c>
    </row>
    <row r="2040" spans="1:4" x14ac:dyDescent="0.2">
      <c r="A2040" s="5">
        <v>1979</v>
      </c>
      <c r="B2040" s="138">
        <f>'Cap Outlay Deprec 26'!I10</f>
        <v>2565</v>
      </c>
      <c r="D2040" s="2" t="str">
        <f t="shared" si="30"/>
        <v>Error?</v>
      </c>
    </row>
    <row r="2041" spans="1:4" x14ac:dyDescent="0.2">
      <c r="A2041" s="5">
        <v>1980</v>
      </c>
      <c r="B2041" s="138">
        <f>'Cap Outlay Deprec 26'!I12</f>
        <v>688</v>
      </c>
      <c r="D2041" s="2" t="str">
        <f t="shared" si="30"/>
        <v>Error?</v>
      </c>
    </row>
    <row r="2042" spans="1:4" x14ac:dyDescent="0.2">
      <c r="A2042" s="5">
        <v>1981</v>
      </c>
      <c r="B2042" s="138">
        <f>'Cap Outlay Deprec 26'!I13</f>
        <v>2516</v>
      </c>
      <c r="D2042" s="2" t="str">
        <f t="shared" si="30"/>
        <v>Error?</v>
      </c>
    </row>
    <row r="2043" spans="1:4" x14ac:dyDescent="0.2">
      <c r="A2043" s="5">
        <v>1982</v>
      </c>
      <c r="B2043" s="138">
        <f>'Cap Outlay Deprec 26'!I16</f>
        <v>13501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317037</v>
      </c>
      <c r="C2051" s="2" t="s">
        <v>573</v>
      </c>
      <c r="D2051" s="2" t="str">
        <f t="shared" si="31"/>
        <v>Error?</v>
      </c>
    </row>
    <row r="2052" spans="1:4" x14ac:dyDescent="0.2">
      <c r="A2052" s="5">
        <v>1991</v>
      </c>
      <c r="B2052" s="138">
        <f>'Cap Outlay Deprec 26'!K10</f>
        <v>13591</v>
      </c>
      <c r="C2052" s="2" t="s">
        <v>573</v>
      </c>
      <c r="D2052" s="2" t="str">
        <f t="shared" si="31"/>
        <v>Error?</v>
      </c>
    </row>
    <row r="2053" spans="1:4" x14ac:dyDescent="0.2">
      <c r="A2053" s="5">
        <v>1992</v>
      </c>
      <c r="B2053" s="138">
        <f>'Cap Outlay Deprec 26'!K12</f>
        <v>234531</v>
      </c>
      <c r="C2053" s="2" t="s">
        <v>573</v>
      </c>
      <c r="D2053" s="2" t="str">
        <f t="shared" si="31"/>
        <v>Error?</v>
      </c>
    </row>
    <row r="2054" spans="1:4" x14ac:dyDescent="0.2">
      <c r="A2054" s="5">
        <v>1993</v>
      </c>
      <c r="B2054" s="138">
        <f>'Cap Outlay Deprec 26'!K13</f>
        <v>102644</v>
      </c>
      <c r="C2054" s="2" t="s">
        <v>573</v>
      </c>
      <c r="D2054" s="2" t="str">
        <f t="shared" si="31"/>
        <v>Error?</v>
      </c>
    </row>
    <row r="2055" spans="1:4" x14ac:dyDescent="0.2">
      <c r="A2055" s="5">
        <v>1994</v>
      </c>
      <c r="B2055" s="138">
        <f>'Cap Outlay Deprec 26'!K16</f>
        <v>667803</v>
      </c>
      <c r="C2055" s="2" t="s">
        <v>573</v>
      </c>
      <c r="D2055" s="2" t="str">
        <f t="shared" si="31"/>
        <v>Error?</v>
      </c>
    </row>
    <row r="2056" spans="1:4" x14ac:dyDescent="0.2">
      <c r="A2056" s="5">
        <v>1995</v>
      </c>
      <c r="B2056" s="138">
        <f>'Cap Outlay Deprec 26'!L5</f>
        <v>20000</v>
      </c>
      <c r="C2056" s="2" t="s">
        <v>573</v>
      </c>
      <c r="D2056" s="2" t="str">
        <f t="shared" si="31"/>
        <v>Error?</v>
      </c>
    </row>
    <row r="2057" spans="1:4" x14ac:dyDescent="0.2">
      <c r="A2057" s="5">
        <v>1996</v>
      </c>
      <c r="B2057" s="138">
        <f>'Cap Outlay Deprec 26'!L8</f>
        <v>69582</v>
      </c>
      <c r="C2057" s="2" t="s">
        <v>573</v>
      </c>
      <c r="D2057" s="2" t="str">
        <f t="shared" si="31"/>
        <v>Error?</v>
      </c>
    </row>
    <row r="2058" spans="1:4" x14ac:dyDescent="0.2">
      <c r="A2058" s="5">
        <v>1997</v>
      </c>
      <c r="B2058" s="138">
        <f>'Cap Outlay Deprec 26'!L10</f>
        <v>45377</v>
      </c>
      <c r="C2058" s="2" t="s">
        <v>573</v>
      </c>
      <c r="D2058" s="2" t="str">
        <f t="shared" si="31"/>
        <v>Error?</v>
      </c>
    </row>
    <row r="2059" spans="1:4" x14ac:dyDescent="0.2">
      <c r="A2059" s="5">
        <v>1998</v>
      </c>
      <c r="B2059" s="138">
        <f>'Cap Outlay Deprec 26'!L12</f>
        <v>343</v>
      </c>
      <c r="C2059" s="2" t="s">
        <v>573</v>
      </c>
      <c r="D2059" s="2" t="str">
        <f t="shared" si="31"/>
        <v>Error?</v>
      </c>
    </row>
    <row r="2060" spans="1:4" x14ac:dyDescent="0.2">
      <c r="A2060" s="5">
        <v>1999</v>
      </c>
      <c r="B2060" s="138">
        <f>'Cap Outlay Deprec 26'!L13</f>
        <v>5345</v>
      </c>
      <c r="C2060" s="2" t="s">
        <v>573</v>
      </c>
      <c r="D2060" s="2" t="str">
        <f t="shared" si="31"/>
        <v>Error?</v>
      </c>
    </row>
    <row r="2061" spans="1:4" x14ac:dyDescent="0.2">
      <c r="A2061" s="5">
        <v>2000</v>
      </c>
      <c r="B2061" s="138">
        <f>'Cap Outlay Deprec 26'!L16</f>
        <v>140647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22296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22296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55447</v>
      </c>
      <c r="D2475" s="2" t="str">
        <f t="shared" si="37"/>
        <v>Error?</v>
      </c>
    </row>
    <row r="2476" spans="1:4" x14ac:dyDescent="0.2">
      <c r="A2476" s="10">
        <v>2415</v>
      </c>
      <c r="D2476" s="2" t="str">
        <f t="shared" si="37"/>
        <v>OK</v>
      </c>
    </row>
    <row r="2477" spans="1:4" x14ac:dyDescent="0.2">
      <c r="A2477" s="5">
        <v>2416</v>
      </c>
      <c r="B2477" s="138">
        <f>'Assets-Liab 5-6'!G38</f>
        <v>38788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8294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333853.56</v>
      </c>
      <c r="C2551" s="2" t="s">
        <v>573</v>
      </c>
      <c r="D2551" s="2" t="str">
        <f t="shared" si="38"/>
        <v>Error?</v>
      </c>
    </row>
    <row r="2552" spans="1:4" x14ac:dyDescent="0.2">
      <c r="A2552" s="10">
        <v>2491</v>
      </c>
      <c r="D2552" s="2" t="str">
        <f t="shared" si="38"/>
        <v>OK</v>
      </c>
    </row>
    <row r="2553" spans="1:4" x14ac:dyDescent="0.2">
      <c r="A2553" s="5">
        <v>2492</v>
      </c>
      <c r="B2553" s="138">
        <f>'Acct Summary 7-8'!C6</f>
        <v>257981</v>
      </c>
      <c r="C2553" s="2" t="s">
        <v>573</v>
      </c>
      <c r="D2553" s="2" t="str">
        <f t="shared" si="38"/>
        <v>Error?</v>
      </c>
    </row>
    <row r="2554" spans="1:4" x14ac:dyDescent="0.2">
      <c r="A2554" s="5">
        <v>2493</v>
      </c>
      <c r="B2554" s="138">
        <f>'Acct Summary 7-8'!C7</f>
        <v>21664</v>
      </c>
      <c r="C2554" s="2" t="s">
        <v>573</v>
      </c>
      <c r="D2554" s="2" t="str">
        <f t="shared" si="38"/>
        <v>Error?</v>
      </c>
    </row>
    <row r="2555" spans="1:4" x14ac:dyDescent="0.2">
      <c r="A2555" s="5">
        <v>2494</v>
      </c>
      <c r="B2555" s="138">
        <f>'Acct Summary 7-8'!C8</f>
        <v>617758.56000000006</v>
      </c>
      <c r="C2555" s="2" t="s">
        <v>573</v>
      </c>
      <c r="D2555" s="2" t="str">
        <f t="shared" si="38"/>
        <v>Error?</v>
      </c>
    </row>
    <row r="2556" spans="1:4" x14ac:dyDescent="0.2">
      <c r="A2556" s="5">
        <v>2495</v>
      </c>
      <c r="B2556" s="138">
        <f>'Acct Summary 7-8'!C12</f>
        <v>391305</v>
      </c>
      <c r="C2556" s="2" t="s">
        <v>573</v>
      </c>
      <c r="D2556" s="2" t="str">
        <f t="shared" si="38"/>
        <v>Error?</v>
      </c>
    </row>
    <row r="2557" spans="1:4" x14ac:dyDescent="0.2">
      <c r="A2557" s="5">
        <v>2496</v>
      </c>
      <c r="B2557" s="138">
        <f>'Acct Summary 7-8'!C13</f>
        <v>179094</v>
      </c>
      <c r="C2557" s="2" t="s">
        <v>573</v>
      </c>
      <c r="D2557" s="2" t="str">
        <f t="shared" si="38"/>
        <v>Error?</v>
      </c>
    </row>
    <row r="2558" spans="1:4" x14ac:dyDescent="0.2">
      <c r="A2558" s="5">
        <v>2497</v>
      </c>
      <c r="B2558" s="138">
        <f>'Acct Summary 7-8'!C14</f>
        <v>517</v>
      </c>
      <c r="C2558" s="2" t="s">
        <v>573</v>
      </c>
      <c r="D2558" s="2" t="str">
        <f t="shared" si="38"/>
        <v>Error?</v>
      </c>
    </row>
    <row r="2559" spans="1:4" x14ac:dyDescent="0.2">
      <c r="A2559" s="5">
        <v>2498</v>
      </c>
      <c r="B2559" s="138">
        <f>'Acct Summary 7-8'!C15</f>
        <v>22296</v>
      </c>
      <c r="C2559" s="2" t="s">
        <v>573</v>
      </c>
      <c r="D2559" s="2" t="str">
        <f t="shared" ref="D2559:D2622" si="39">IF(ISBLANK(B2559),"OK",IF(A2559-B2559=0,"OK","Error?"))</f>
        <v>Error?</v>
      </c>
    </row>
    <row r="2560" spans="1:4" x14ac:dyDescent="0.2">
      <c r="A2560" s="5">
        <v>2499</v>
      </c>
      <c r="B2560" s="138">
        <f>'Acct Summary 7-8'!C16</f>
        <v>32828</v>
      </c>
      <c r="C2560" s="2" t="s">
        <v>573</v>
      </c>
      <c r="D2560" s="2" t="str">
        <f t="shared" si="39"/>
        <v>Error?</v>
      </c>
    </row>
    <row r="2561" spans="1:4" x14ac:dyDescent="0.2">
      <c r="A2561" s="5">
        <v>2500</v>
      </c>
      <c r="B2561" s="138">
        <f>'Acct Summary 7-8'!C17</f>
        <v>626040</v>
      </c>
      <c r="C2561" s="2" t="s">
        <v>573</v>
      </c>
      <c r="D2561" s="2" t="str">
        <f t="shared" si="39"/>
        <v>Error?</v>
      </c>
    </row>
    <row r="2562" spans="1:4" x14ac:dyDescent="0.2">
      <c r="A2562" s="5">
        <v>2501</v>
      </c>
      <c r="B2562" s="138">
        <f>'Acct Summary 7-8'!C20</f>
        <v>-8281.4399999999441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39554.5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39554.5</v>
      </c>
      <c r="C2568" s="2" t="s">
        <v>573</v>
      </c>
      <c r="D2568" s="2" t="str">
        <f t="shared" si="39"/>
        <v>Error?</v>
      </c>
    </row>
    <row r="2569" spans="1:4" x14ac:dyDescent="0.2">
      <c r="A2569" s="5">
        <v>2508</v>
      </c>
      <c r="B2569" s="138">
        <f>'Acct Summary 7-8'!D13</f>
        <v>27567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27567</v>
      </c>
      <c r="C2573" s="2" t="s">
        <v>573</v>
      </c>
      <c r="D2573" s="2" t="str">
        <f t="shared" si="39"/>
        <v>Error?</v>
      </c>
    </row>
    <row r="2574" spans="1:4" x14ac:dyDescent="0.2">
      <c r="A2574" s="5">
        <v>2513</v>
      </c>
      <c r="B2574" s="138">
        <f>'Acct Summary 7-8'!D20</f>
        <v>11987.5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5605.55</v>
      </c>
      <c r="C2591" s="2" t="s">
        <v>573</v>
      </c>
      <c r="D2591" s="2" t="str">
        <f t="shared" si="39"/>
        <v>Error?</v>
      </c>
    </row>
    <row r="2592" spans="1:4" x14ac:dyDescent="0.2">
      <c r="A2592" s="10">
        <v>2531</v>
      </c>
      <c r="D2592" s="2" t="str">
        <f t="shared" si="39"/>
        <v>OK</v>
      </c>
    </row>
    <row r="2593" spans="1:4" x14ac:dyDescent="0.2">
      <c r="A2593" s="5">
        <v>2532</v>
      </c>
      <c r="B2593" s="138">
        <f>'Acct Summary 7-8'!F6</f>
        <v>11686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17291.55</v>
      </c>
      <c r="C2595" s="2" t="s">
        <v>573</v>
      </c>
      <c r="D2595" s="2" t="str">
        <f t="shared" si="39"/>
        <v>Error?</v>
      </c>
    </row>
    <row r="2596" spans="1:4" x14ac:dyDescent="0.2">
      <c r="A2596" s="5">
        <v>2535</v>
      </c>
      <c r="B2596" s="138">
        <f>'Acct Summary 7-8'!F13</f>
        <v>26334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26334</v>
      </c>
      <c r="C2600" s="2" t="s">
        <v>573</v>
      </c>
      <c r="D2600" s="2" t="str">
        <f t="shared" si="39"/>
        <v>Error?</v>
      </c>
    </row>
    <row r="2601" spans="1:4" x14ac:dyDescent="0.2">
      <c r="A2601" s="5">
        <v>2540</v>
      </c>
      <c r="B2601" s="138">
        <f>'Acct Summary 7-8'!F20</f>
        <v>-9042.4500000000007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6703.69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6703.69</v>
      </c>
      <c r="C2606" s="2" t="s">
        <v>573</v>
      </c>
      <c r="D2606" s="2" t="str">
        <f t="shared" si="39"/>
        <v>Error?</v>
      </c>
    </row>
    <row r="2607" spans="1:4" x14ac:dyDescent="0.2">
      <c r="A2607" s="5">
        <v>2546</v>
      </c>
      <c r="B2607" s="138">
        <f>'Acct Summary 7-8'!G12</f>
        <v>361</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361</v>
      </c>
      <c r="C2612" s="2" t="s">
        <v>573</v>
      </c>
      <c r="D2612" s="2" t="str">
        <f t="shared" si="39"/>
        <v>Error?</v>
      </c>
    </row>
    <row r="2613" spans="1:4" x14ac:dyDescent="0.2">
      <c r="A2613" s="5">
        <v>2552</v>
      </c>
      <c r="B2613" s="138">
        <f>'Acct Summary 7-8'!G20</f>
        <v>6342.69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30640.87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30640.87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482331</v>
      </c>
      <c r="C2634" s="2" t="s">
        <v>573</v>
      </c>
      <c r="D2634" s="2" t="str">
        <f t="shared" si="40"/>
        <v>Error?</v>
      </c>
    </row>
    <row r="2635" spans="1:4" x14ac:dyDescent="0.2">
      <c r="A2635" s="5">
        <v>2574</v>
      </c>
      <c r="B2635" s="138">
        <f>'Acct Summary 7-8'!E17</f>
        <v>482331</v>
      </c>
      <c r="C2635" s="2" t="s">
        <v>573</v>
      </c>
      <c r="D2635" s="2" t="str">
        <f t="shared" si="40"/>
        <v>Error?</v>
      </c>
    </row>
    <row r="2636" spans="1:4" x14ac:dyDescent="0.2">
      <c r="A2636" s="5">
        <v>2575</v>
      </c>
      <c r="B2636" s="138">
        <f>'Acct Summary 7-8'!E20</f>
        <v>-451690.13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29907</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5048</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101766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7573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101766</v>
      </c>
      <c r="D2912" s="2" t="str">
        <f t="shared" si="44"/>
        <v>Error?</v>
      </c>
    </row>
    <row r="2913" spans="1:4" x14ac:dyDescent="0.2">
      <c r="A2913" s="5">
        <v>2852</v>
      </c>
      <c r="B2913" s="138">
        <f>'Assets-Liab 5-6'!I41</f>
        <v>101766</v>
      </c>
      <c r="C2913" s="2" t="s">
        <v>573</v>
      </c>
      <c r="D2913" s="2" t="str">
        <f t="shared" si="44"/>
        <v>Error?</v>
      </c>
    </row>
    <row r="2914" spans="1:4" x14ac:dyDescent="0.2">
      <c r="A2914" s="5">
        <v>2853</v>
      </c>
      <c r="B2914" s="138">
        <f>'Assets-Liab 5-6'!L33</f>
        <v>7573</v>
      </c>
      <c r="D2914" s="2" t="str">
        <f t="shared" si="44"/>
        <v>Error?</v>
      </c>
    </row>
    <row r="2915" spans="1:4" x14ac:dyDescent="0.2">
      <c r="A2915" s="10">
        <v>2854</v>
      </c>
      <c r="D2915" s="2" t="str">
        <f t="shared" si="44"/>
        <v>OK</v>
      </c>
    </row>
    <row r="2916" spans="1:4" x14ac:dyDescent="0.2">
      <c r="A2916" s="5">
        <v>2855</v>
      </c>
      <c r="B2916" s="138">
        <f>'Assets-Liab 5-6'!L34</f>
        <v>7573</v>
      </c>
      <c r="C2916" s="2" t="s">
        <v>573</v>
      </c>
      <c r="D2916" s="2" t="str">
        <f t="shared" si="44"/>
        <v>Error?</v>
      </c>
    </row>
    <row r="2917" spans="1:4" x14ac:dyDescent="0.2">
      <c r="A2917" s="5">
        <v>2856</v>
      </c>
      <c r="B2917" s="138">
        <f>'Assets-Liab 5-6'!L41</f>
        <v>7573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22296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22296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174500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11153.99</v>
      </c>
      <c r="C3225" s="2" t="s">
        <v>573</v>
      </c>
      <c r="D3225" s="2" t="str">
        <f t="shared" si="49"/>
        <v>Error?</v>
      </c>
    </row>
    <row r="3226" spans="1:4" x14ac:dyDescent="0.2">
      <c r="A3226" s="5">
        <v>3165</v>
      </c>
      <c r="B3226" s="138">
        <f>'Acct Summary 7-8'!I8</f>
        <v>11153.99</v>
      </c>
      <c r="C3226" s="2" t="s">
        <v>573</v>
      </c>
      <c r="D3226" s="2" t="str">
        <f t="shared" si="49"/>
        <v>Error?</v>
      </c>
    </row>
    <row r="3227" spans="1:4" x14ac:dyDescent="0.2">
      <c r="A3227" s="5">
        <v>3166</v>
      </c>
      <c r="B3227" s="138">
        <f>'Acct Summary 7-8'!I20</f>
        <v>11153.99</v>
      </c>
      <c r="C3227" s="2" t="s">
        <v>573</v>
      </c>
      <c r="D3227" s="2" t="str">
        <f t="shared" si="49"/>
        <v>Error?</v>
      </c>
    </row>
    <row r="3228" spans="1:4" x14ac:dyDescent="0.2">
      <c r="A3228" s="5">
        <v>3167</v>
      </c>
      <c r="B3228" s="138">
        <f>'Acct Summary 7-8'!C43</f>
        <v>53243</v>
      </c>
      <c r="D3228" s="2" t="str">
        <f t="shared" si="49"/>
        <v>Error?</v>
      </c>
    </row>
    <row r="3229" spans="1:4" x14ac:dyDescent="0.2">
      <c r="A3229" s="5">
        <v>3168</v>
      </c>
      <c r="B3229" s="138">
        <f>'Acct Summary 7-8'!C44</f>
        <v>53243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53243</v>
      </c>
      <c r="C3232" s="2" t="s">
        <v>573</v>
      </c>
      <c r="D3232" s="2" t="str">
        <f t="shared" si="49"/>
        <v>Error?</v>
      </c>
    </row>
    <row r="3233" spans="1:4" x14ac:dyDescent="0.2">
      <c r="A3233" s="5">
        <v>3172</v>
      </c>
      <c r="B3233" s="138">
        <f>'Acct Summary 7-8'!C78</f>
        <v>44961.560000000056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20278</v>
      </c>
      <c r="D3236" s="2" t="str">
        <f t="shared" si="49"/>
        <v>Error?</v>
      </c>
    </row>
    <row r="3237" spans="1:4" x14ac:dyDescent="0.2">
      <c r="A3237" s="5">
        <v>3176</v>
      </c>
      <c r="B3237" s="138">
        <f>'Acct Summary 7-8'!D76</f>
        <v>20278</v>
      </c>
      <c r="C3237" s="2" t="s">
        <v>573</v>
      </c>
      <c r="D3237" s="2" t="str">
        <f t="shared" si="49"/>
        <v>Error?</v>
      </c>
    </row>
    <row r="3238" spans="1:4" x14ac:dyDescent="0.2">
      <c r="A3238" s="5">
        <v>3177</v>
      </c>
      <c r="B3238" s="138">
        <f>'Acct Summary 7-8'!D77</f>
        <v>-20278</v>
      </c>
      <c r="C3238" s="2" t="s">
        <v>573</v>
      </c>
      <c r="D3238" s="2" t="str">
        <f t="shared" si="49"/>
        <v>Error?</v>
      </c>
    </row>
    <row r="3239" spans="1:4" x14ac:dyDescent="0.2">
      <c r="A3239" s="5">
        <v>3178</v>
      </c>
      <c r="B3239" s="138">
        <f>'Acct Summary 7-8'!D78</f>
        <v>-8290.5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1057</v>
      </c>
      <c r="D3253" s="2" t="str">
        <f t="shared" si="49"/>
        <v>Error?</v>
      </c>
    </row>
    <row r="3254" spans="1:4" x14ac:dyDescent="0.2">
      <c r="A3254" s="5">
        <v>3193</v>
      </c>
      <c r="B3254" s="138">
        <f>'Acct Summary 7-8'!F76</f>
        <v>1057</v>
      </c>
      <c r="C3254" s="2" t="s">
        <v>573</v>
      </c>
      <c r="D3254" s="2" t="str">
        <f t="shared" si="49"/>
        <v>Error?</v>
      </c>
    </row>
    <row r="3255" spans="1:4" x14ac:dyDescent="0.2">
      <c r="A3255" s="5">
        <v>3194</v>
      </c>
      <c r="B3255" s="138">
        <f>'Acct Summary 7-8'!F77</f>
        <v>-1057</v>
      </c>
      <c r="C3255" s="2" t="s">
        <v>573</v>
      </c>
      <c r="D3255" s="2" t="str">
        <f t="shared" si="49"/>
        <v>Error?</v>
      </c>
    </row>
    <row r="3256" spans="1:4" x14ac:dyDescent="0.2">
      <c r="A3256" s="5">
        <v>3195</v>
      </c>
      <c r="B3256" s="138">
        <f>'Acct Summary 7-8'!F78</f>
        <v>-10099.450000000001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8350</v>
      </c>
      <c r="C3260" s="2" t="s">
        <v>573</v>
      </c>
      <c r="D3260" s="2" t="str">
        <f t="shared" si="49"/>
        <v>Error?</v>
      </c>
    </row>
    <row r="3261" spans="1:4" x14ac:dyDescent="0.2">
      <c r="A3261" s="5">
        <v>3200</v>
      </c>
      <c r="B3261" s="138">
        <f>'Acct Summary 7-8'!G77</f>
        <v>-8350</v>
      </c>
      <c r="C3261" s="2" t="s">
        <v>573</v>
      </c>
      <c r="D3261" s="2" t="str">
        <f t="shared" si="49"/>
        <v>Error?</v>
      </c>
    </row>
    <row r="3262" spans="1:4" x14ac:dyDescent="0.2">
      <c r="A3262" s="5">
        <v>3201</v>
      </c>
      <c r="B3262" s="138">
        <f>'Acct Summary 7-8'!G78</f>
        <v>-2007.3100000000004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434500</v>
      </c>
      <c r="C3274" s="2" t="s">
        <v>573</v>
      </c>
      <c r="D3274" s="2" t="str">
        <f t="shared" si="50"/>
        <v>Error?</v>
      </c>
    </row>
    <row r="3275" spans="1:4" x14ac:dyDescent="0.2">
      <c r="A3275" s="5">
        <v>3214</v>
      </c>
      <c r="B3275" s="138">
        <f>'Acct Summary 7-8'!E75</f>
        <v>7585</v>
      </c>
      <c r="D3275" s="2" t="str">
        <f t="shared" si="50"/>
        <v>Error?</v>
      </c>
    </row>
    <row r="3276" spans="1:4" x14ac:dyDescent="0.2">
      <c r="A3276" s="5">
        <v>3215</v>
      </c>
      <c r="B3276" s="138">
        <f>'Acct Summary 7-8'!E76</f>
        <v>7585</v>
      </c>
      <c r="C3276" s="2" t="s">
        <v>573</v>
      </c>
      <c r="D3276" s="2" t="str">
        <f t="shared" si="50"/>
        <v>Error?</v>
      </c>
    </row>
    <row r="3277" spans="1:4" x14ac:dyDescent="0.2">
      <c r="A3277" s="5">
        <v>3216</v>
      </c>
      <c r="B3277" s="138">
        <f>'Acct Summary 7-8'!E77</f>
        <v>426915</v>
      </c>
      <c r="C3277" s="2" t="s">
        <v>573</v>
      </c>
      <c r="D3277" s="2" t="str">
        <f t="shared" si="50"/>
        <v>Error?</v>
      </c>
    </row>
    <row r="3278" spans="1:4" x14ac:dyDescent="0.2">
      <c r="A3278" s="5">
        <v>3217</v>
      </c>
      <c r="B3278" s="138">
        <f>'Acct Summary 7-8'!E78</f>
        <v>-24775.130000000005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266161</v>
      </c>
      <c r="C3318" s="2" t="s">
        <v>573</v>
      </c>
      <c r="D3318" s="2" t="str">
        <f t="shared" si="50"/>
        <v>Error?</v>
      </c>
    </row>
    <row r="3319" spans="1:4" x14ac:dyDescent="0.2">
      <c r="A3319" s="5">
        <v>3258</v>
      </c>
      <c r="B3319" s="138">
        <f>'Acct Summary 7-8'!I77</f>
        <v>-266161</v>
      </c>
      <c r="C3319" s="2" t="s">
        <v>573</v>
      </c>
      <c r="D3319" s="2" t="str">
        <f t="shared" si="50"/>
        <v>Error?</v>
      </c>
    </row>
    <row r="3320" spans="1:4" x14ac:dyDescent="0.2">
      <c r="A3320" s="5">
        <v>3259</v>
      </c>
      <c r="B3320" s="138">
        <f>'Acct Summary 7-8'!I78</f>
        <v>-255007.01</v>
      </c>
      <c r="C3320" s="2" t="s">
        <v>573</v>
      </c>
      <c r="D3320" s="2" t="str">
        <f t="shared" si="50"/>
        <v>Error?</v>
      </c>
    </row>
    <row r="3321" spans="1:4" x14ac:dyDescent="0.2">
      <c r="A3321" s="5">
        <v>3260</v>
      </c>
      <c r="B3321" s="138">
        <f>'Acct Summary 7-8'!I79</f>
        <v>356773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101765.98999999999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56084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15544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76698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361</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361</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4260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140264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11417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8294</v>
      </c>
      <c r="D3417" s="2" t="str">
        <f t="shared" si="52"/>
        <v>Error?</v>
      </c>
    </row>
    <row r="3418" spans="1:4" x14ac:dyDescent="0.2">
      <c r="A3418" s="10">
        <v>3357</v>
      </c>
      <c r="D3418" s="2" t="str">
        <f t="shared" si="52"/>
        <v>OK</v>
      </c>
    </row>
    <row r="3419" spans="1:4" x14ac:dyDescent="0.2">
      <c r="A3419" s="5">
        <v>3358</v>
      </c>
      <c r="B3419" s="138">
        <f>'Assets-Liab 5-6'!F4</f>
        <v>55447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38788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101766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7573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1105</v>
      </c>
      <c r="C3446" s="2" t="s">
        <v>573</v>
      </c>
      <c r="D3446" s="2" t="str">
        <f t="shared" si="52"/>
        <v>Error?</v>
      </c>
    </row>
    <row r="3447" spans="1:4" x14ac:dyDescent="0.2">
      <c r="A3447" s="5">
        <v>3386</v>
      </c>
      <c r="B3447" s="138">
        <f>'Tax Sched 23'!D16</f>
        <v>1105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1138</v>
      </c>
      <c r="C3449" s="2" t="s">
        <v>573</v>
      </c>
      <c r="D3449" s="2" t="str">
        <f t="shared" si="52"/>
        <v>Error?</v>
      </c>
    </row>
    <row r="3450" spans="1:4" x14ac:dyDescent="0.2">
      <c r="A3450" s="5">
        <v>3389</v>
      </c>
      <c r="B3450" s="138">
        <f>'Tax Sched 23'!E16</f>
        <v>1138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794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794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794</v>
      </c>
      <c r="C3568" s="2" t="s">
        <v>573</v>
      </c>
      <c r="D3568" s="2" t="str">
        <f t="shared" si="54"/>
        <v>Error?</v>
      </c>
    </row>
    <row r="3569" spans="1:4" x14ac:dyDescent="0.2">
      <c r="A3569" s="5">
        <v>3508</v>
      </c>
      <c r="B3569" s="138">
        <f>'Acct Summary 7-8'!K4</f>
        <v>5579.23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5579.23</v>
      </c>
      <c r="C3571" s="2" t="s">
        <v>573</v>
      </c>
      <c r="D3571" s="2" t="str">
        <f t="shared" si="54"/>
        <v>Error?</v>
      </c>
    </row>
    <row r="3572" spans="1:4" x14ac:dyDescent="0.2">
      <c r="A3572" s="5">
        <v>3511</v>
      </c>
      <c r="B3572" s="138">
        <f>'Acct Summary 7-8'!K13</f>
        <v>3671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3671</v>
      </c>
      <c r="C3575" s="2" t="s">
        <v>573</v>
      </c>
      <c r="D3575" s="2" t="str">
        <f t="shared" si="54"/>
        <v>Error?</v>
      </c>
    </row>
    <row r="3576" spans="1:4" x14ac:dyDescent="0.2">
      <c r="A3576" s="5">
        <v>3515</v>
      </c>
      <c r="B3576" s="138">
        <f>'Acct Summary 7-8'!K20</f>
        <v>1908.2299999999996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3104</v>
      </c>
      <c r="D3585" s="2" t="str">
        <f t="shared" si="55"/>
        <v>Error?</v>
      </c>
    </row>
    <row r="3586" spans="1:4" x14ac:dyDescent="0.2">
      <c r="A3586" s="5">
        <v>3525</v>
      </c>
      <c r="B3586" s="138">
        <f>'Acct Summary 7-8'!K76</f>
        <v>3104</v>
      </c>
      <c r="C3586" s="2" t="s">
        <v>573</v>
      </c>
      <c r="D3586" s="2" t="str">
        <f t="shared" si="55"/>
        <v>Error?</v>
      </c>
    </row>
    <row r="3587" spans="1:4" x14ac:dyDescent="0.2">
      <c r="A3587" s="5">
        <v>3526</v>
      </c>
      <c r="B3587" s="138">
        <f>'Acct Summary 7-8'!K77</f>
        <v>-3104</v>
      </c>
      <c r="C3587" s="2" t="s">
        <v>573</v>
      </c>
      <c r="D3587" s="2" t="str">
        <f t="shared" si="55"/>
        <v>Error?</v>
      </c>
    </row>
    <row r="3588" spans="1:4" x14ac:dyDescent="0.2">
      <c r="A3588" s="5">
        <v>3527</v>
      </c>
      <c r="B3588" s="138">
        <f>'Acct Summary 7-8'!K78</f>
        <v>-1195.7700000000004</v>
      </c>
      <c r="C3588" s="2" t="s">
        <v>573</v>
      </c>
      <c r="D3588" s="2" t="str">
        <f t="shared" si="55"/>
        <v>Error?</v>
      </c>
    </row>
    <row r="3589" spans="1:4" x14ac:dyDescent="0.2">
      <c r="A3589" s="5">
        <v>3528</v>
      </c>
      <c r="B3589" s="138">
        <f>'Acct Summary 7-8'!K79</f>
        <v>1990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794.22999999999956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3586</v>
      </c>
      <c r="D3632" s="2" t="str">
        <f t="shared" si="55"/>
        <v>Error?</v>
      </c>
    </row>
    <row r="3633" spans="1:4" x14ac:dyDescent="0.2">
      <c r="A3633" s="5">
        <v>3572</v>
      </c>
      <c r="B3633" s="138">
        <f>'Expenditures 15-22'!E350</f>
        <v>3586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3586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85</v>
      </c>
      <c r="D3639" s="2" t="str">
        <f t="shared" si="55"/>
        <v>Error?</v>
      </c>
    </row>
    <row r="3640" spans="1:4" x14ac:dyDescent="0.2">
      <c r="A3640" s="5">
        <v>3579</v>
      </c>
      <c r="B3640" s="138">
        <f>'Expenditures 15-22'!F350</f>
        <v>85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85</v>
      </c>
      <c r="C3642" s="2" t="s">
        <v>573</v>
      </c>
      <c r="D3642" s="2" t="str">
        <f t="shared" si="55"/>
        <v>Error?</v>
      </c>
    </row>
    <row r="3643" spans="1:4" x14ac:dyDescent="0.2">
      <c r="A3643" s="5">
        <v>3582</v>
      </c>
      <c r="B3643" s="138">
        <f>'Expenditures 15-22'!F367</f>
        <v>85</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3671</v>
      </c>
      <c r="C3669" s="2" t="s">
        <v>573</v>
      </c>
      <c r="D3669" s="2" t="str">
        <f t="shared" si="56"/>
        <v>Error?</v>
      </c>
    </row>
    <row r="3670" spans="1:4" x14ac:dyDescent="0.2">
      <c r="A3670" s="5">
        <v>3609</v>
      </c>
      <c r="B3670" s="138">
        <f>'Expenditures 15-22'!K350</f>
        <v>3671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3671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3671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1908.2299999999996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8105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34927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652685.56000000006</v>
      </c>
      <c r="C4122" s="2" t="s">
        <v>573</v>
      </c>
      <c r="D4122" s="2" t="str">
        <f t="shared" si="63"/>
        <v>Error?</v>
      </c>
    </row>
    <row r="4123" spans="1:4" x14ac:dyDescent="0.2">
      <c r="A4123" s="5">
        <v>4062</v>
      </c>
      <c r="B4123" s="138">
        <f>'Acct Summary 7-8'!D10</f>
        <v>39554.5</v>
      </c>
      <c r="C4123" s="2" t="s">
        <v>573</v>
      </c>
      <c r="D4123" s="2" t="str">
        <f t="shared" si="63"/>
        <v>Error?</v>
      </c>
    </row>
    <row r="4124" spans="1:4" x14ac:dyDescent="0.2">
      <c r="A4124" s="5">
        <v>4063</v>
      </c>
      <c r="B4124" s="138">
        <f>'Acct Summary 7-8'!E10</f>
        <v>30640.87</v>
      </c>
      <c r="C4124" s="2" t="s">
        <v>573</v>
      </c>
      <c r="D4124" s="2" t="str">
        <f t="shared" si="63"/>
        <v>Error?</v>
      </c>
    </row>
    <row r="4125" spans="1:4" x14ac:dyDescent="0.2">
      <c r="A4125" s="5">
        <v>4064</v>
      </c>
      <c r="B4125" s="138">
        <f>'Acct Summary 7-8'!F10</f>
        <v>17291.55</v>
      </c>
      <c r="C4125" s="2" t="s">
        <v>573</v>
      </c>
      <c r="D4125" s="2" t="str">
        <f t="shared" si="63"/>
        <v>Error?</v>
      </c>
    </row>
    <row r="4126" spans="1:4" x14ac:dyDescent="0.2">
      <c r="A4126" s="5">
        <v>4065</v>
      </c>
      <c r="B4126" s="138">
        <f>'Acct Summary 7-8'!G10</f>
        <v>6703.69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11153.99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5579.23</v>
      </c>
      <c r="C4130" s="2" t="s">
        <v>573</v>
      </c>
      <c r="D4130" s="2" t="str">
        <f t="shared" si="63"/>
        <v>Error?</v>
      </c>
    </row>
    <row r="4131" spans="1:4" x14ac:dyDescent="0.2">
      <c r="A4131" s="5">
        <v>4070</v>
      </c>
      <c r="B4131" s="138">
        <f>'Acct Summary 7-8'!C18</f>
        <v>34927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660967</v>
      </c>
      <c r="C4136" s="2" t="s">
        <v>573</v>
      </c>
      <c r="D4136" s="2" t="str">
        <f t="shared" si="63"/>
        <v>Error?</v>
      </c>
    </row>
    <row r="4137" spans="1:4" x14ac:dyDescent="0.2">
      <c r="A4137" s="5">
        <v>4076</v>
      </c>
      <c r="B4137" s="138">
        <f>'Acct Summary 7-8'!D19</f>
        <v>27567</v>
      </c>
      <c r="C4137" s="2" t="s">
        <v>573</v>
      </c>
      <c r="D4137" s="2" t="str">
        <f t="shared" si="63"/>
        <v>Error?</v>
      </c>
    </row>
    <row r="4138" spans="1:4" x14ac:dyDescent="0.2">
      <c r="A4138" s="5">
        <v>4077</v>
      </c>
      <c r="B4138" s="138">
        <f>'Acct Summary 7-8'!E19</f>
        <v>482331</v>
      </c>
      <c r="C4138" s="2" t="s">
        <v>573</v>
      </c>
      <c r="D4138" s="2" t="str">
        <f t="shared" si="63"/>
        <v>Error?</v>
      </c>
    </row>
    <row r="4139" spans="1:4" x14ac:dyDescent="0.2">
      <c r="A4139" s="5">
        <v>4078</v>
      </c>
      <c r="B4139" s="138">
        <f>'Acct Summary 7-8'!F19</f>
        <v>26334</v>
      </c>
      <c r="C4139" s="2" t="s">
        <v>573</v>
      </c>
      <c r="D4139" s="2" t="str">
        <f t="shared" si="63"/>
        <v>Error?</v>
      </c>
    </row>
    <row r="4140" spans="1:4" x14ac:dyDescent="0.2">
      <c r="A4140" s="5">
        <v>4079</v>
      </c>
      <c r="B4140" s="138">
        <f>'Acct Summary 7-8'!G19</f>
        <v>361</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3671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594300</v>
      </c>
      <c r="C4171" s="2" t="s">
        <v>573</v>
      </c>
      <c r="D4171" s="2" t="str">
        <f t="shared" si="64"/>
        <v>Error?</v>
      </c>
    </row>
    <row r="4172" spans="1:4" x14ac:dyDescent="0.2">
      <c r="A4172" s="5">
        <v>4111</v>
      </c>
      <c r="B4172" s="138">
        <f>'Short-Term Long-Term Debt 24'!J49</f>
        <v>586006</v>
      </c>
      <c r="C4172" s="2" t="s">
        <v>573</v>
      </c>
      <c r="D4172" s="2" t="str">
        <f t="shared" si="64"/>
        <v>Error?</v>
      </c>
    </row>
    <row r="4173" spans="1:4" x14ac:dyDescent="0.2">
      <c r="A4173" s="5">
        <v>4112</v>
      </c>
      <c r="B4173" s="138">
        <f>'Short-Term Long-Term Debt 24'!H49</f>
        <v>454900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1524.62</v>
      </c>
      <c r="C4265" s="2" t="s">
        <v>573</v>
      </c>
      <c r="D4265" s="2" t="str">
        <f t="shared" si="65"/>
        <v>Error?</v>
      </c>
      <c r="E4265" s="128"/>
    </row>
    <row r="4266" spans="1:5" x14ac:dyDescent="0.2">
      <c r="A4266" s="12">
        <v>4205</v>
      </c>
      <c r="B4266" s="138">
        <f>('FP Info 3'!F10)*100000</f>
        <v>214.77</v>
      </c>
      <c r="C4266" s="2" t="s">
        <v>573</v>
      </c>
      <c r="D4266" s="2" t="str">
        <f t="shared" si="65"/>
        <v>Error?</v>
      </c>
      <c r="E4266" s="128"/>
    </row>
    <row r="4267" spans="1:5" x14ac:dyDescent="0.2">
      <c r="A4267" s="12">
        <v>4206</v>
      </c>
      <c r="B4267" s="138">
        <f>('FP Info 3'!H10)*100000</f>
        <v>302.70000000000005</v>
      </c>
      <c r="C4267" s="2" t="s">
        <v>573</v>
      </c>
      <c r="D4267" s="2" t="str">
        <f t="shared" si="65"/>
        <v>Error?</v>
      </c>
      <c r="E4267" s="128"/>
    </row>
    <row r="4268" spans="1:5" x14ac:dyDescent="0.2">
      <c r="A4268" s="12">
        <v>4207</v>
      </c>
      <c r="B4268" s="138">
        <f>('FP Info 3'!J10)*100000</f>
        <v>2042</v>
      </c>
      <c r="C4268" s="2" t="s">
        <v>573</v>
      </c>
      <c r="D4268" s="2" t="str">
        <f t="shared" si="65"/>
        <v>Error?</v>
      </c>
    </row>
    <row r="4269" spans="1:5" x14ac:dyDescent="0.2">
      <c r="A4269" s="12">
        <v>4208</v>
      </c>
      <c r="B4269" s="138">
        <f>'FP Info 3'!J16</f>
        <v>308892.60000000003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459.6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18773104</v>
      </c>
      <c r="D4995" s="2" t="str">
        <f t="shared" si="77"/>
        <v>Error?</v>
      </c>
    </row>
    <row r="4996" spans="1:4" x14ac:dyDescent="0.2">
      <c r="A4996" s="12">
        <v>4935</v>
      </c>
      <c r="B4996" s="138">
        <f>'FP Info 3'!H31</f>
        <v>1295344.1760000002</v>
      </c>
      <c r="D4996" s="2" t="str">
        <f t="shared" si="77"/>
        <v>Error?</v>
      </c>
    </row>
    <row r="4997" spans="1:4" x14ac:dyDescent="0.2">
      <c r="A4997" s="12">
        <v>4936</v>
      </c>
      <c r="B4997" s="138">
        <f>'FP Info 3'!H37</f>
        <v>594300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280701</v>
      </c>
      <c r="D5061" s="2" t="str">
        <f t="shared" si="78"/>
        <v>Error?</v>
      </c>
    </row>
    <row r="5062" spans="1:4" x14ac:dyDescent="0.2">
      <c r="A5062" s="10">
        <v>5001</v>
      </c>
      <c r="D5062" s="2" t="str">
        <f t="shared" si="78"/>
        <v>OK</v>
      </c>
    </row>
    <row r="5063" spans="1:4" x14ac:dyDescent="0.2">
      <c r="A5063" s="5">
        <v>5002</v>
      </c>
      <c r="B5063" s="138">
        <f>'Revenues 9-14'!C7</f>
        <v>1116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281817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15931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15931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73.56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73.56</v>
      </c>
      <c r="C5090" s="2" t="s">
        <v>573</v>
      </c>
      <c r="D5090" s="2" t="str">
        <f t="shared" si="78"/>
        <v>Error?</v>
      </c>
    </row>
    <row r="5091" spans="1:4" x14ac:dyDescent="0.2">
      <c r="A5091" s="5">
        <v>5030</v>
      </c>
      <c r="B5091" s="138">
        <f>'Revenues 9-14'!C70</f>
        <v>84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1346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7144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980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980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27908</v>
      </c>
      <c r="C5120" s="2" t="s">
        <v>573</v>
      </c>
      <c r="D5120" s="2" t="str">
        <f t="shared" si="79"/>
        <v>Error?</v>
      </c>
    </row>
    <row r="5121" spans="1:4" x14ac:dyDescent="0.2">
      <c r="A5121" s="5">
        <v>5060</v>
      </c>
      <c r="B5121" s="138">
        <f>'Revenues 9-14'!C109</f>
        <v>333853.56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4260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4260</v>
      </c>
      <c r="C5125" s="2" t="s">
        <v>573</v>
      </c>
      <c r="D5125" s="2" t="str">
        <f t="shared" si="79"/>
        <v>Error?</v>
      </c>
    </row>
    <row r="5126" spans="1:4" x14ac:dyDescent="0.2">
      <c r="A5126" s="5">
        <v>5065</v>
      </c>
      <c r="B5126" s="138">
        <f>'Revenues 9-14'!C117</f>
        <v>257681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257681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300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257981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14432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6399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20831</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21664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21664</v>
      </c>
      <c r="C5326" s="2" t="s">
        <v>573</v>
      </c>
      <c r="D5326" s="2" t="str">
        <f t="shared" si="82"/>
        <v>Error?</v>
      </c>
    </row>
    <row r="5327" spans="1:5" x14ac:dyDescent="0.2">
      <c r="A5327" s="5">
        <v>5266</v>
      </c>
      <c r="B5327" s="138">
        <f>'Revenues 9-14'!C268</f>
        <v>617758.56000000006</v>
      </c>
      <c r="C5327" s="2" t="s">
        <v>573</v>
      </c>
      <c r="D5327" s="2" t="str">
        <f t="shared" si="82"/>
        <v>Error?</v>
      </c>
    </row>
    <row r="5328" spans="1:5" x14ac:dyDescent="0.2">
      <c r="A5328" s="5">
        <v>5267</v>
      </c>
      <c r="B5328" s="138">
        <f>'Revenues 9-14'!D5</f>
        <v>39128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39128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426.5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426.5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39554.5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39554.5</v>
      </c>
      <c r="C5508" s="2" t="s">
        <v>573</v>
      </c>
      <c r="D5508" s="2" t="str">
        <f t="shared" si="85"/>
        <v>Error?</v>
      </c>
    </row>
    <row r="5509" spans="1:4" x14ac:dyDescent="0.2">
      <c r="A5509" s="5">
        <v>5448</v>
      </c>
      <c r="B5509" s="138">
        <f>'Revenues 9-14'!E5</f>
        <v>30618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30618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22.87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22.87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30640.87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30640.87</v>
      </c>
      <c r="C5552" s="2" t="s">
        <v>573</v>
      </c>
      <c r="D5552" s="2" t="str">
        <f t="shared" si="85"/>
        <v>Error?</v>
      </c>
    </row>
    <row r="5553" spans="1:4" x14ac:dyDescent="0.2">
      <c r="A5553" s="5">
        <v>5492</v>
      </c>
      <c r="B5553" s="138">
        <f>'Revenues 9-14'!F5</f>
        <v>5558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5558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47.55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5605.55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10740</v>
      </c>
      <c r="D5615" s="2" t="str">
        <f t="shared" si="86"/>
        <v>Error?</v>
      </c>
    </row>
    <row r="5616" spans="1:4" x14ac:dyDescent="0.2">
      <c r="A5616" s="10">
        <v>5555</v>
      </c>
      <c r="D5616" s="2" t="str">
        <f t="shared" si="86"/>
        <v>OK</v>
      </c>
    </row>
    <row r="5617" spans="1:5" x14ac:dyDescent="0.2">
      <c r="A5617" s="5">
        <v>5556</v>
      </c>
      <c r="B5617" s="138">
        <f>'Revenues 9-14'!F153</f>
        <v>946</v>
      </c>
      <c r="D5617" s="2" t="str">
        <f t="shared" si="86"/>
        <v>Error?</v>
      </c>
    </row>
    <row r="5618" spans="1:5" x14ac:dyDescent="0.2">
      <c r="A5618" s="5">
        <v>5557</v>
      </c>
      <c r="B5618" s="138">
        <f>'Revenues 9-14'!F155</f>
        <v>11686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11686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11686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17291.55</v>
      </c>
      <c r="C5720" s="2" t="s">
        <v>573</v>
      </c>
      <c r="D5720" s="2" t="str">
        <f t="shared" si="88"/>
        <v>Error?</v>
      </c>
    </row>
    <row r="5721" spans="1:4" x14ac:dyDescent="0.2">
      <c r="A5721" s="5">
        <v>5660</v>
      </c>
      <c r="B5721" s="138">
        <f>'Revenues 9-14'!G5</f>
        <v>5557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1105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6662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41.69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6703.69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8373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8373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2780.99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2780.99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11153.99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5558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5558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21.23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5579.23</v>
      </c>
      <c r="C6023" s="2" t="s">
        <v>573</v>
      </c>
      <c r="D6023" s="2" t="str">
        <f t="shared" si="93"/>
        <v>Error?</v>
      </c>
    </row>
    <row r="6024" spans="1:5" x14ac:dyDescent="0.2">
      <c r="A6024" s="5">
        <v>5963</v>
      </c>
      <c r="B6024" s="138">
        <f>'Revenues 9-14'!G109</f>
        <v>6703.69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11153.99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5579.23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5714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15541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15541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15541</v>
      </c>
      <c r="D6216" s="2" t="str">
        <f t="shared" si="96"/>
        <v>Error?</v>
      </c>
      <c r="E6216" s="2" t="s">
        <v>190</v>
      </c>
    </row>
    <row r="6217" spans="1:5" x14ac:dyDescent="0.2">
      <c r="A6217">
        <v>6156</v>
      </c>
      <c r="B6217" s="138">
        <f>'Assets-Liab 5-6'!J4</f>
        <v>15541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11707.11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11707.11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11707.11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11707.11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8350</v>
      </c>
      <c r="D6258" s="2" t="str">
        <f t="shared" si="96"/>
        <v>Error?</v>
      </c>
      <c r="E6258" s="2" t="s">
        <v>190</v>
      </c>
    </row>
    <row r="6259" spans="1:5" x14ac:dyDescent="0.2">
      <c r="A6259">
        <v>6198</v>
      </c>
      <c r="B6259" s="138">
        <f>'Acct Summary 7-8'!I75</f>
        <v>6161</v>
      </c>
      <c r="D6259" s="2" t="str">
        <f t="shared" si="96"/>
        <v>Error?</v>
      </c>
      <c r="E6259" s="2" t="s">
        <v>190</v>
      </c>
    </row>
    <row r="6260" spans="1:5" x14ac:dyDescent="0.2">
      <c r="A6260">
        <v>6199</v>
      </c>
      <c r="B6260" s="138">
        <f>'Acct Summary 7-8'!J75</f>
        <v>7013</v>
      </c>
      <c r="D6260" s="2" t="str">
        <f t="shared" si="96"/>
        <v>Error?</v>
      </c>
      <c r="E6260" s="2" t="s">
        <v>190</v>
      </c>
    </row>
    <row r="6261" spans="1:5" x14ac:dyDescent="0.2">
      <c r="A6261">
        <v>6200</v>
      </c>
      <c r="B6261" s="138">
        <f>'Acct Summary 7-8'!J76</f>
        <v>7013</v>
      </c>
      <c r="D6261" s="2" t="str">
        <f t="shared" si="96"/>
        <v>Error?</v>
      </c>
      <c r="E6261" s="2" t="s">
        <v>190</v>
      </c>
    </row>
    <row r="6262" spans="1:5" x14ac:dyDescent="0.2">
      <c r="A6262">
        <v>6201</v>
      </c>
      <c r="B6262" s="138">
        <f>'Acct Summary 7-8'!J77</f>
        <v>-7013</v>
      </c>
      <c r="D6262" s="2" t="str">
        <f t="shared" si="96"/>
        <v>Error?</v>
      </c>
      <c r="E6262" s="2" t="s">
        <v>190</v>
      </c>
    </row>
    <row r="6263" spans="1:5" x14ac:dyDescent="0.2">
      <c r="A6263">
        <v>6202</v>
      </c>
      <c r="B6263" s="138">
        <f>'Acct Summary 7-8'!J78</f>
        <v>4694.1100000000006</v>
      </c>
      <c r="D6263" s="2" t="str">
        <f t="shared" si="96"/>
        <v>Error?</v>
      </c>
      <c r="E6263" s="2" t="s">
        <v>190</v>
      </c>
    </row>
    <row r="6264" spans="1:5" x14ac:dyDescent="0.2">
      <c r="A6264">
        <v>6203</v>
      </c>
      <c r="B6264" s="138">
        <f>'Acct Summary 7-8'!J79</f>
        <v>10847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15541.11</v>
      </c>
      <c r="D6266" s="2" t="str">
        <f t="shared" si="96"/>
        <v>Error?</v>
      </c>
      <c r="E6266" s="2" t="s">
        <v>190</v>
      </c>
    </row>
    <row r="6267" spans="1:5" x14ac:dyDescent="0.2">
      <c r="A6267">
        <v>6206</v>
      </c>
      <c r="B6267" s="138">
        <f>'Acct Summary 7-8'!C82</f>
        <v>44961.560000000056</v>
      </c>
      <c r="D6267" s="2" t="str">
        <f t="shared" si="96"/>
        <v>Error?</v>
      </c>
      <c r="E6267" s="2" t="s">
        <v>190</v>
      </c>
    </row>
    <row r="6268" spans="1:5" x14ac:dyDescent="0.2">
      <c r="A6268">
        <v>6207</v>
      </c>
      <c r="B6268" s="138">
        <f>'Acct Summary 7-8'!D82</f>
        <v>-8290.5</v>
      </c>
      <c r="D6268" s="2" t="str">
        <f t="shared" si="96"/>
        <v>Error?</v>
      </c>
      <c r="E6268" s="2" t="s">
        <v>190</v>
      </c>
    </row>
    <row r="6269" spans="1:5" x14ac:dyDescent="0.2">
      <c r="A6269">
        <v>6208</v>
      </c>
      <c r="B6269" s="138">
        <f>'Acct Summary 7-8'!E82</f>
        <v>-24775.130000000005</v>
      </c>
      <c r="D6269" s="2" t="str">
        <f t="shared" si="96"/>
        <v>Error?</v>
      </c>
      <c r="E6269" s="2" t="s">
        <v>190</v>
      </c>
    </row>
    <row r="6270" spans="1:5" x14ac:dyDescent="0.2">
      <c r="A6270">
        <v>6209</v>
      </c>
      <c r="B6270" s="138">
        <f>'Acct Summary 7-8'!F82</f>
        <v>-10099.449999999997</v>
      </c>
      <c r="D6270" s="2" t="str">
        <f t="shared" si="96"/>
        <v>Error?</v>
      </c>
      <c r="E6270" s="2" t="s">
        <v>190</v>
      </c>
    </row>
    <row r="6271" spans="1:5" x14ac:dyDescent="0.2">
      <c r="A6271">
        <v>6210</v>
      </c>
      <c r="B6271" s="138">
        <f>'Acct Summary 7-8'!G82</f>
        <v>-2007.3099999999977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-255007.01</v>
      </c>
      <c r="D6273" s="2" t="str">
        <f t="shared" si="97"/>
        <v>Error?</v>
      </c>
      <c r="E6273" s="2" t="s">
        <v>190</v>
      </c>
    </row>
    <row r="6274" spans="1:5" x14ac:dyDescent="0.2">
      <c r="A6274">
        <v>6213</v>
      </c>
      <c r="B6274" s="138">
        <f>'Acct Summary 7-8'!J82</f>
        <v>4694.1100000000006</v>
      </c>
      <c r="D6274" s="2" t="str">
        <f t="shared" si="97"/>
        <v>Error?</v>
      </c>
      <c r="E6274" s="2" t="s">
        <v>190</v>
      </c>
    </row>
    <row r="6275" spans="1:5" x14ac:dyDescent="0.2">
      <c r="A6275">
        <v>6214</v>
      </c>
      <c r="B6275" s="138">
        <f>'Acct Summary 7-8'!K82</f>
        <v>-1195.7700000000004</v>
      </c>
      <c r="D6275" s="2" t="str">
        <f t="shared" si="97"/>
        <v>Error?</v>
      </c>
      <c r="E6275" s="2" t="s">
        <v>190</v>
      </c>
    </row>
    <row r="6276" spans="1:5" x14ac:dyDescent="0.2">
      <c r="A6276">
        <v>6215</v>
      </c>
      <c r="B6276" s="138">
        <f>'Acct Summary 7-8'!C83</f>
        <v>0.32055054071064532</v>
      </c>
      <c r="D6276" s="2" t="str">
        <f t="shared" si="97"/>
        <v>Error?</v>
      </c>
      <c r="E6276" s="2" t="s">
        <v>190</v>
      </c>
    </row>
    <row r="6277" spans="1:5" x14ac:dyDescent="0.2">
      <c r="A6277">
        <v>6216</v>
      </c>
      <c r="B6277" s="138">
        <f>'Acct Summary 7-8'!D83</f>
        <v>-0.72618578373406906</v>
      </c>
      <c r="D6277" s="2" t="str">
        <f t="shared" si="97"/>
        <v>Error?</v>
      </c>
      <c r="E6277" s="2" t="s">
        <v>190</v>
      </c>
    </row>
    <row r="6278" spans="1:5" x14ac:dyDescent="0.2">
      <c r="A6278">
        <v>6217</v>
      </c>
      <c r="B6278" s="138">
        <f>'Acct Summary 7-8'!E83</f>
        <v>-2.9871616024847287</v>
      </c>
      <c r="D6278" s="2" t="str">
        <f t="shared" si="97"/>
        <v>Error?</v>
      </c>
      <c r="E6278" s="2" t="s">
        <v>190</v>
      </c>
    </row>
    <row r="6279" spans="1:5" x14ac:dyDescent="0.2">
      <c r="A6279">
        <v>6218</v>
      </c>
      <c r="B6279" s="138">
        <f>'Acct Summary 7-8'!F83</f>
        <v>-0.18214749159325505</v>
      </c>
      <c r="D6279" s="2" t="str">
        <f t="shared" si="97"/>
        <v>Error?</v>
      </c>
      <c r="E6279" s="2" t="s">
        <v>190</v>
      </c>
    </row>
    <row r="6280" spans="1:5" x14ac:dyDescent="0.2">
      <c r="A6280">
        <v>6219</v>
      </c>
      <c r="B6280" s="138">
        <f>'Acct Summary 7-8'!G83</f>
        <v>-5.1751212820356086E-2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-2.505817611561584</v>
      </c>
      <c r="D6282" s="2" t="str">
        <f t="shared" si="97"/>
        <v>Error?</v>
      </c>
      <c r="E6282" s="2" t="s">
        <v>190</v>
      </c>
    </row>
    <row r="6283" spans="1:5" x14ac:dyDescent="0.2">
      <c r="A6283">
        <v>6222</v>
      </c>
      <c r="B6283" s="138">
        <f>'Acct Summary 7-8'!J83</f>
        <v>0.30204470594442739</v>
      </c>
      <c r="D6283" s="2" t="str">
        <f t="shared" si="97"/>
        <v>Error?</v>
      </c>
      <c r="E6283" s="2" t="s">
        <v>190</v>
      </c>
    </row>
    <row r="6284" spans="1:5" x14ac:dyDescent="0.2">
      <c r="A6284">
        <v>6223</v>
      </c>
      <c r="B6284" s="138">
        <f>'Acct Summary 7-8'!K83</f>
        <v>-1.5055714339674919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11575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11575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132.11000000000001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132.11000000000001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27908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11707.11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32828</v>
      </c>
      <c r="D7016" s="2" t="str">
        <f t="shared" si="108"/>
        <v>Error?</v>
      </c>
    </row>
    <row r="7017" spans="1:4" x14ac:dyDescent="0.2">
      <c r="A7017">
        <v>6956</v>
      </c>
      <c r="B7017" s="138">
        <f>'Expenditures 15-22'!K111</f>
        <v>32828</v>
      </c>
      <c r="D7017" s="2" t="str">
        <f t="shared" si="108"/>
        <v>Error?</v>
      </c>
    </row>
    <row r="7018" spans="1:4" x14ac:dyDescent="0.2">
      <c r="A7018">
        <v>6957</v>
      </c>
      <c r="B7018" s="138">
        <f>'Expenditures 15-22'!H112</f>
        <v>32828</v>
      </c>
      <c r="D7018" s="2" t="str">
        <f t="shared" si="108"/>
        <v>Error?</v>
      </c>
    </row>
    <row r="7019" spans="1:4" x14ac:dyDescent="0.2">
      <c r="A7019">
        <v>6958</v>
      </c>
      <c r="B7019" s="138">
        <f>'Expenditures 15-22'!K112</f>
        <v>32828</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11707.11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11707.11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13501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1116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260000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2375</v>
      </c>
      <c r="D7797" s="2" t="str">
        <f t="shared" si="127"/>
        <v>Error?</v>
      </c>
      <c r="E7797" s="4" t="s">
        <v>1904</v>
      </c>
    </row>
    <row r="7798" spans="1:5" x14ac:dyDescent="0.2">
      <c r="A7798">
        <v>7737</v>
      </c>
      <c r="B7798" s="138">
        <f>'Contracts Paid in CY 29'!F141</f>
        <v>2375</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McClellan CCSD 12</v>
      </c>
      <c r="B7" s="2384"/>
      <c r="C7" s="2384"/>
      <c r="D7" s="2421"/>
      <c r="E7" s="2422">
        <f>COVER!A13</f>
        <v>13041012004</v>
      </c>
      <c r="F7" s="2423"/>
      <c r="G7" s="2390">
        <f>COVER!T23</f>
        <v>65.028419999999997</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Kujawa &amp; Batteau, P.C.</v>
      </c>
      <c r="H9" s="2397"/>
      <c r="I9" s="2397"/>
      <c r="J9" s="2397"/>
      <c r="K9" s="2397"/>
      <c r="L9" s="2398"/>
    </row>
    <row r="10" spans="1:29" ht="13.5" customHeight="1" x14ac:dyDescent="0.2">
      <c r="A10" s="2380" t="str">
        <f>COVER!A38</f>
        <v>Terry Milt</v>
      </c>
      <c r="B10" s="2381"/>
      <c r="C10" s="2381"/>
      <c r="D10" s="2381"/>
      <c r="E10" s="2381"/>
      <c r="F10" s="2382"/>
      <c r="G10" s="2396" t="str">
        <f>COVER!T17</f>
        <v>309 S. Walnut St.</v>
      </c>
      <c r="H10" s="2409"/>
      <c r="I10" s="2409"/>
      <c r="J10" s="2409"/>
      <c r="K10" s="2409"/>
      <c r="L10" s="2410"/>
    </row>
    <row r="11" spans="1:29" ht="13.5" customHeight="1" x14ac:dyDescent="0.2">
      <c r="A11" s="1184" t="s">
        <v>1519</v>
      </c>
      <c r="B11" s="1185"/>
      <c r="C11" s="1186"/>
      <c r="D11" s="1191"/>
      <c r="E11" s="1186"/>
      <c r="F11" s="1190"/>
      <c r="G11" s="2396" t="str">
        <f>COVER!T19</f>
        <v xml:space="preserve">Pinckneyville </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kbatteau@kandb-cpa.com</v>
      </c>
      <c r="J13" s="2418"/>
      <c r="K13" s="2418"/>
      <c r="L13" s="2419"/>
    </row>
    <row r="14" spans="1:29" ht="13.5" customHeight="1" x14ac:dyDescent="0.2">
      <c r="A14" s="2396" t="str">
        <f>COVER!A19</f>
        <v>9475 N. IL Highway 148</v>
      </c>
      <c r="B14" s="2409"/>
      <c r="C14" s="2409"/>
      <c r="D14" s="2409"/>
      <c r="E14" s="2409"/>
      <c r="F14" s="2410"/>
      <c r="G14" s="1195" t="s">
        <v>1185</v>
      </c>
      <c r="H14" s="1193"/>
      <c r="I14" s="1193"/>
      <c r="J14" s="1193"/>
      <c r="K14" s="1193"/>
      <c r="L14" s="1194"/>
    </row>
    <row r="15" spans="1:29" ht="13.5" customHeight="1" x14ac:dyDescent="0.2">
      <c r="A15" s="2396" t="str">
        <f>COVER!A21</f>
        <v>Mt. Vernon</v>
      </c>
      <c r="B15" s="2409"/>
      <c r="C15" s="2409"/>
      <c r="D15" s="2409"/>
      <c r="E15" s="2409"/>
      <c r="F15" s="2410"/>
      <c r="G15" s="2406" t="str">
        <f>COVER!T15</f>
        <v>Kevin Batteau</v>
      </c>
      <c r="H15" s="2407"/>
      <c r="I15" s="2407"/>
      <c r="J15" s="2407"/>
      <c r="K15" s="2407"/>
      <c r="L15" s="2408"/>
    </row>
    <row r="16" spans="1:29" ht="12.2" customHeight="1" x14ac:dyDescent="0.2">
      <c r="A16" s="2386" t="str">
        <f>COVER!A25</f>
        <v>62864-6379</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618-357-3000</v>
      </c>
      <c r="H18" s="2384"/>
      <c r="I18" s="2384"/>
      <c r="J18" s="2384"/>
      <c r="K18" s="2383" t="str">
        <f>COVER!X21</f>
        <v>618-357-3654</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statements"&amp;CPage 37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151" sqref="D15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McClellan CCSD 12</v>
      </c>
      <c r="B1" s="2420"/>
      <c r="C1" s="2420"/>
      <c r="D1" s="2420"/>
    </row>
    <row r="2" spans="1:11" s="1212" customFormat="1" ht="12.75" x14ac:dyDescent="0.2">
      <c r="A2" s="2425">
        <f>'Single Audit Cover'!E7</f>
        <v>13041012004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fitToWidth="0" orientation="portrait" useFirstPageNumber="1" r:id="rId5"/>
  <headerFooter alignWithMargins="0">
    <oddHeader>&amp;L&amp;8Page 38&amp;R&amp;8Page 38</oddHeader>
    <oddFooter>&amp;L"The notes are an integral part of these statements"&amp;CPage 38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9" sqref="A29:B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McClellan CCSD 12</v>
      </c>
      <c r="B1" s="2428"/>
      <c r="C1" s="2428"/>
      <c r="D1" s="2428"/>
      <c r="E1" s="2428"/>
    </row>
    <row r="2" spans="1:5" x14ac:dyDescent="0.2">
      <c r="A2" s="2429">
        <f>'Single Audit Cover'!E7</f>
        <v>13041012004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21664</v>
      </c>
    </row>
    <row r="11" spans="1:5" ht="18" customHeight="1" x14ac:dyDescent="0.2">
      <c r="A11" s="1258" t="s">
        <v>1240</v>
      </c>
      <c r="B11" s="1259"/>
      <c r="C11" s="1259"/>
    </row>
    <row r="12" spans="1:5" x14ac:dyDescent="0.2">
      <c r="A12" s="1258" t="s">
        <v>1239</v>
      </c>
      <c r="B12" s="1259" t="s">
        <v>1238</v>
      </c>
      <c r="C12" s="1259"/>
      <c r="D12" s="1261">
        <f>SUM('Revenues 9-14'!C112:D112,'Revenues 9-14'!F112:G112)</f>
        <v>4260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25924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t="s">
        <v>2087</v>
      </c>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25924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25924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statements"&amp;CPage 39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McClellan CCSD 12</v>
      </c>
      <c r="C1" s="2432"/>
      <c r="D1" s="2432"/>
      <c r="E1" s="2432"/>
      <c r="F1" s="2432"/>
      <c r="G1" s="2432"/>
      <c r="H1" s="2432"/>
      <c r="I1" s="2432"/>
      <c r="J1" s="2432"/>
      <c r="K1" s="2432"/>
      <c r="L1" s="2432"/>
      <c r="M1" s="2432"/>
    </row>
    <row r="2" spans="2:14" ht="15" x14ac:dyDescent="0.2">
      <c r="B2" s="2433">
        <f>'Single Audit Cover'!E7</f>
        <v>13041012004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2087</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oddFooter>&amp;L"The notes are an integral part of these statements"&amp;CPage 40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21" sqref="B2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McClellan CCSD 12</v>
      </c>
      <c r="B1" s="2437"/>
      <c r="C1" s="2437"/>
      <c r="D1" s="2437"/>
      <c r="E1" s="2437"/>
      <c r="F1" s="2437"/>
    </row>
    <row r="2" spans="1:7" ht="13.5" customHeight="1" x14ac:dyDescent="0.2">
      <c r="A2" s="2433">
        <f>'Single Audit Cover'!E7</f>
        <v>13041012004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t="s">
        <v>2087</v>
      </c>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L31" sqref="L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2064</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fitToWidth="0" orientation="portrait" useFirstPageNumber="1" r:id="rId1"/>
  <headerFooter differentOddEven="1" alignWithMargins="0">
    <oddHeader>&amp;L&amp;8Page &amp;P&amp;C &amp;R&amp;8Page &amp;P</oddHeader>
    <oddFooter>&amp;L&amp;8"The notes are an integral part of these statements"&amp;CPage 2</oddFooter>
    <evenFooter>&amp;L"The notes are an integral part of these statements"&amp;CPage 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C39" sqref="C39:F3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McClellan CCSD 12</v>
      </c>
      <c r="C1" s="2453"/>
      <c r="D1" s="2453"/>
      <c r="E1" s="2453"/>
      <c r="F1" s="2453"/>
      <c r="G1" s="2453"/>
      <c r="H1" s="2453"/>
      <c r="I1" s="2453"/>
      <c r="J1" s="1406"/>
    </row>
    <row r="2" spans="2:10" s="317" customFormat="1" ht="12.75" customHeight="1" x14ac:dyDescent="0.2">
      <c r="B2" s="2454">
        <f>'Single Audit Cover'!E7</f>
        <v>13041012004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2087</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1841</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&amp;L"The notes are an integral part of these statements"&amp;CPage 42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McClellan CCSD 12</v>
      </c>
      <c r="C1" s="2452"/>
      <c r="D1" s="2452"/>
      <c r="E1" s="2452"/>
      <c r="F1" s="2452"/>
      <c r="G1" s="2452"/>
      <c r="H1" s="2452"/>
      <c r="I1" s="2452"/>
      <c r="J1" s="2452"/>
      <c r="K1" s="2452"/>
      <c r="L1" s="1371"/>
      <c r="M1" s="1371"/>
    </row>
    <row r="2" spans="1:13" ht="12" customHeight="1" x14ac:dyDescent="0.2">
      <c r="B2" s="2454">
        <f>'Single Audit Cover'!E7</f>
        <v>13041012004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2087</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statements"&amp;CPage 43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McClellan CCSD 12</v>
      </c>
      <c r="C1" s="2479"/>
      <c r="D1" s="2479"/>
      <c r="E1" s="2479"/>
      <c r="F1" s="2479"/>
      <c r="G1" s="2479"/>
      <c r="H1" s="2479"/>
      <c r="I1" s="2479"/>
      <c r="J1" s="2479"/>
      <c r="K1" s="2479"/>
      <c r="L1" s="1449"/>
    </row>
    <row r="2" spans="1:12" ht="12.75" customHeight="1" x14ac:dyDescent="0.2">
      <c r="B2" s="2480">
        <f>'Single Audit Cover'!E7</f>
        <v>13041012004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t="s">
        <v>2087</v>
      </c>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statements"&amp;CPage 44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McClellan CCSD 12</v>
      </c>
      <c r="C1" s="2452"/>
      <c r="D1" s="2452"/>
      <c r="E1" s="1469"/>
    </row>
    <row r="2" spans="2:5" s="1279" customFormat="1" ht="12.75" customHeight="1" x14ac:dyDescent="0.2">
      <c r="B2" s="2454">
        <f>'Single Audit Cover'!E7</f>
        <v>13041012004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2087</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statements"&amp;CPage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4" colorId="8" zoomScale="110" zoomScaleNormal="110" workbookViewId="0">
      <selection activeCell="R34" sqref="R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18773104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1.52462E-2</v>
      </c>
      <c r="E10" s="356" t="s">
        <v>1005</v>
      </c>
      <c r="F10" s="355">
        <v>2.1477000000000002E-3</v>
      </c>
      <c r="G10" s="356" t="s">
        <v>1005</v>
      </c>
      <c r="H10" s="355">
        <v>3.0270000000000002E-3</v>
      </c>
      <c r="I10" s="356" t="s">
        <v>1006</v>
      </c>
      <c r="J10" s="1732">
        <f>ROUND(D10+F10+H10,5)</f>
        <v>2.0420000000000001E-2</v>
      </c>
      <c r="K10" s="222"/>
      <c r="L10" s="355">
        <v>4.5960000000000003E-3</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685758.60000000009</v>
      </c>
      <c r="E16" s="356"/>
      <c r="F16" s="1733">
        <f>SUM('Acct Summary 7-8'!C17,'Acct Summary 7-8'!D17,'Acct Summary 7-8'!F17)</f>
        <v>679941</v>
      </c>
      <c r="G16" s="356"/>
      <c r="H16" s="1733">
        <f>SUM(D16-F16)</f>
        <v>5817.6000000000931</v>
      </c>
      <c r="I16" s="222"/>
      <c r="J16" s="1733">
        <f>SUM('Acct Summary 7-8'!C81,'Acct Summary 7-8'!D81,'Acct Summary 7-8'!F81,'Acct Summary 7-8'!I81)</f>
        <v>308892.60000000003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586</v>
      </c>
      <c r="D31" s="237" t="s">
        <v>1072</v>
      </c>
      <c r="E31" s="222"/>
      <c r="F31" s="222"/>
      <c r="G31" s="363"/>
      <c r="H31" s="1735">
        <f>IF(B31="X",(J7*0.069),IF(B32="X",(J7*0.138),"Enter x in a.or b."))</f>
        <v>1295344.1760000002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594300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8" firstPageNumber="3" orientation="portrait" useFirstPageNumber="1" r:id="rId1"/>
  <headerFooter alignWithMargins="0">
    <oddHeader>&amp;L&amp;8Page &amp;P&amp;C &amp;R&amp;8Page &amp;P</oddHeader>
    <oddFooter>&amp;L&amp;8"The notes are an integral part of these statements"&amp;CPage 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7" zoomScale="110" zoomScaleNormal="110" workbookViewId="0">
      <selection activeCell="S20" sqref="S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McClellan CCSD 12</v>
      </c>
      <c r="E7" s="391"/>
      <c r="G7" s="252"/>
      <c r="H7" s="387"/>
      <c r="I7" s="387"/>
      <c r="J7" s="387"/>
      <c r="K7" s="387"/>
      <c r="L7" s="329"/>
      <c r="M7" s="329"/>
      <c r="N7" s="329"/>
      <c r="O7" s="329"/>
      <c r="P7" s="329"/>
    </row>
    <row r="8" spans="1:18" ht="12.75" x14ac:dyDescent="0.2">
      <c r="A8" s="329"/>
      <c r="B8" s="329"/>
      <c r="C8" s="389" t="s">
        <v>1125</v>
      </c>
      <c r="D8" s="392">
        <f>COVER!A13</f>
        <v>13041012004</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308892.60000000003</v>
      </c>
      <c r="I12" s="404"/>
      <c r="J12" s="404"/>
      <c r="K12" s="405">
        <f>TRUNC((H12/H13*100000),5)/100000</f>
        <v>0.45043926529999995</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685758.60000000009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679941</v>
      </c>
      <c r="I17" s="404"/>
      <c r="J17" s="416"/>
      <c r="K17" s="405">
        <f>TRUNC((H17/H18*100000),5)/100000</f>
        <v>0.99151654820000001</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685758.60000000009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308894</v>
      </c>
      <c r="I24" s="422"/>
      <c r="J24" s="422"/>
      <c r="K24" s="423">
        <f>TRUNC(((H24/H25*100000)/100000),2)</f>
        <v>163.54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1888.7249999999999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325844.76613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594300</v>
      </c>
      <c r="I32" s="420"/>
      <c r="J32" s="420"/>
      <c r="K32" s="423">
        <f>TRUNC(100-((((H32/H33*100))*100)/100),2)</f>
        <v>54.12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1295344.1760000002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6" firstPageNumber="4" orientation="landscape" useFirstPageNumber="1" r:id="rId3"/>
  <headerFooter alignWithMargins="0">
    <oddHeader>&amp;L&amp;8Page &amp;P&amp;C &amp;R&amp;8Page &amp;P</oddHeader>
    <oddFooter>&amp;L&amp;8"The notes are an integral part of these statements"&amp;CPage 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3" colorId="8" zoomScale="110" zoomScaleNormal="110" workbookViewId="0">
      <selection activeCell="C7" sqref="C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140264</v>
      </c>
      <c r="D4" s="466">
        <v>11417</v>
      </c>
      <c r="E4" s="466">
        <v>8294</v>
      </c>
      <c r="F4" s="466">
        <v>55447</v>
      </c>
      <c r="G4" s="466">
        <v>38788</v>
      </c>
      <c r="H4" s="466">
        <v>0</v>
      </c>
      <c r="I4" s="466">
        <v>101766</v>
      </c>
      <c r="J4" s="467">
        <v>15541</v>
      </c>
      <c r="K4" s="466">
        <v>794</v>
      </c>
      <c r="L4" s="466">
        <v>7573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140264</v>
      </c>
      <c r="D13" s="1737">
        <f t="shared" ref="D13:L13" si="0">SUM(D4:D12)</f>
        <v>11417</v>
      </c>
      <c r="E13" s="1737">
        <f t="shared" si="0"/>
        <v>8294</v>
      </c>
      <c r="F13" s="1737">
        <f t="shared" si="0"/>
        <v>55447</v>
      </c>
      <c r="G13" s="1737">
        <f t="shared" si="0"/>
        <v>38788</v>
      </c>
      <c r="H13" s="1737">
        <f t="shared" si="0"/>
        <v>0</v>
      </c>
      <c r="I13" s="1737">
        <f t="shared" si="0"/>
        <v>101766</v>
      </c>
      <c r="J13" s="1737">
        <f t="shared" si="0"/>
        <v>15541</v>
      </c>
      <c r="K13" s="1737">
        <f t="shared" si="0"/>
        <v>794</v>
      </c>
      <c r="L13" s="1737">
        <f t="shared" si="0"/>
        <v>7573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20000</v>
      </c>
      <c r="N16" s="484"/>
    </row>
    <row r="17" spans="1:14" s="485" customFormat="1" ht="12.75" customHeight="1" x14ac:dyDescent="0.2">
      <c r="A17" s="482" t="s">
        <v>1403</v>
      </c>
      <c r="B17" s="483">
        <v>230</v>
      </c>
      <c r="C17" s="477"/>
      <c r="D17" s="477"/>
      <c r="E17" s="477"/>
      <c r="F17" s="477"/>
      <c r="G17" s="477"/>
      <c r="H17" s="477"/>
      <c r="I17" s="477"/>
      <c r="J17" s="477"/>
      <c r="K17" s="477"/>
      <c r="L17" s="477"/>
      <c r="M17" s="467">
        <v>386619</v>
      </c>
      <c r="N17" s="484"/>
    </row>
    <row r="18" spans="1:14" s="485" customFormat="1" ht="12.75" customHeight="1" x14ac:dyDescent="0.2">
      <c r="A18" s="482" t="s">
        <v>1404</v>
      </c>
      <c r="B18" s="483">
        <v>240</v>
      </c>
      <c r="C18" s="477"/>
      <c r="D18" s="477"/>
      <c r="E18" s="477"/>
      <c r="F18" s="477"/>
      <c r="G18" s="477"/>
      <c r="H18" s="477"/>
      <c r="I18" s="477"/>
      <c r="J18" s="477"/>
      <c r="K18" s="477"/>
      <c r="L18" s="477"/>
      <c r="M18" s="467">
        <v>58968</v>
      </c>
      <c r="N18" s="484"/>
    </row>
    <row r="19" spans="1:14" s="485" customFormat="1" ht="12.75" customHeight="1" x14ac:dyDescent="0.2">
      <c r="A19" s="482" t="s">
        <v>1405</v>
      </c>
      <c r="B19" s="483">
        <v>250</v>
      </c>
      <c r="C19" s="477"/>
      <c r="D19" s="477"/>
      <c r="E19" s="477"/>
      <c r="F19" s="477"/>
      <c r="G19" s="477"/>
      <c r="H19" s="477"/>
      <c r="I19" s="477"/>
      <c r="J19" s="477"/>
      <c r="K19" s="477"/>
      <c r="L19" s="477"/>
      <c r="M19" s="467">
        <v>342863</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8294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586006</v>
      </c>
    </row>
    <row r="23" spans="1:14" ht="13.5" customHeight="1" thickBot="1" x14ac:dyDescent="0.25">
      <c r="A23" s="1736" t="s">
        <v>643</v>
      </c>
      <c r="B23" s="1741"/>
      <c r="C23" s="468"/>
      <c r="D23" s="468"/>
      <c r="E23" s="468"/>
      <c r="F23" s="468"/>
      <c r="G23" s="468"/>
      <c r="H23" s="468"/>
      <c r="I23" s="468"/>
      <c r="J23" s="468"/>
      <c r="K23" s="468"/>
      <c r="L23" s="468"/>
      <c r="M23" s="1688">
        <f>SUM(M15:M22)</f>
        <v>808450</v>
      </c>
      <c r="N23" s="1688">
        <f>SUM(N21:N22)</f>
        <v>594300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7573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7573</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594300</v>
      </c>
    </row>
    <row r="37" spans="1:14" ht="13.5" thickBot="1" x14ac:dyDescent="0.25">
      <c r="A37" s="1736" t="s">
        <v>653</v>
      </c>
      <c r="B37" s="1741"/>
      <c r="C37" s="477"/>
      <c r="D37" s="477"/>
      <c r="E37" s="477"/>
      <c r="F37" s="477"/>
      <c r="G37" s="477"/>
      <c r="H37" s="477"/>
      <c r="I37" s="477"/>
      <c r="J37" s="477"/>
      <c r="K37" s="477"/>
      <c r="L37" s="480"/>
      <c r="M37" s="468"/>
      <c r="N37" s="1688">
        <f>SUM(N36:N36)</f>
        <v>594300</v>
      </c>
    </row>
    <row r="38" spans="1:14" s="329" customFormat="1" ht="13.5" customHeight="1" thickTop="1" x14ac:dyDescent="0.2">
      <c r="A38" s="496" t="s">
        <v>420</v>
      </c>
      <c r="B38" s="483">
        <v>714</v>
      </c>
      <c r="C38" s="466"/>
      <c r="D38" s="466"/>
      <c r="E38" s="466">
        <v>8294</v>
      </c>
      <c r="F38" s="466">
        <v>55447</v>
      </c>
      <c r="G38" s="466">
        <v>38788</v>
      </c>
      <c r="H38" s="466">
        <v>0</v>
      </c>
      <c r="I38" s="466"/>
      <c r="J38" s="467">
        <v>15541</v>
      </c>
      <c r="K38" s="466">
        <v>794</v>
      </c>
      <c r="L38" s="481"/>
      <c r="M38" s="497"/>
      <c r="N38" s="497"/>
    </row>
    <row r="39" spans="1:14" s="329" customFormat="1" ht="13.5" customHeight="1" x14ac:dyDescent="0.2">
      <c r="A39" s="496" t="s">
        <v>342</v>
      </c>
      <c r="B39" s="483">
        <v>730</v>
      </c>
      <c r="C39" s="466">
        <v>140264</v>
      </c>
      <c r="D39" s="466">
        <v>11417</v>
      </c>
      <c r="E39" s="466"/>
      <c r="F39" s="466"/>
      <c r="G39" s="466"/>
      <c r="H39" s="466"/>
      <c r="I39" s="466">
        <v>101766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808450</v>
      </c>
      <c r="N40" s="497"/>
    </row>
    <row r="41" spans="1:14" ht="13.5" customHeight="1" thickBot="1" x14ac:dyDescent="0.25">
      <c r="A41" s="1736" t="s">
        <v>655</v>
      </c>
      <c r="B41" s="1706"/>
      <c r="C41" s="1688">
        <f>(SUM(C34,C37,C38,C39))</f>
        <v>140264</v>
      </c>
      <c r="D41" s="1688">
        <f t="shared" ref="D41:L41" si="2">SUM(D34,D37,D38:D39)</f>
        <v>11417</v>
      </c>
      <c r="E41" s="1688">
        <f t="shared" si="2"/>
        <v>8294</v>
      </c>
      <c r="F41" s="1688">
        <f t="shared" si="2"/>
        <v>55447</v>
      </c>
      <c r="G41" s="1688">
        <f t="shared" si="2"/>
        <v>38788</v>
      </c>
      <c r="H41" s="1688">
        <f t="shared" si="2"/>
        <v>0</v>
      </c>
      <c r="I41" s="1688">
        <f t="shared" si="2"/>
        <v>101766</v>
      </c>
      <c r="J41" s="1688">
        <f t="shared" si="2"/>
        <v>15541</v>
      </c>
      <c r="K41" s="1688">
        <f t="shared" si="2"/>
        <v>794</v>
      </c>
      <c r="L41" s="1688">
        <f t="shared" si="2"/>
        <v>7573</v>
      </c>
      <c r="M41" s="1688">
        <f>SUM(M40)</f>
        <v>808450</v>
      </c>
      <c r="N41" s="1688">
        <f>SUM(N37)</f>
        <v>594300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are an integral part of these statements"&amp;C5-6</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64" colorId="8" zoomScale="110" zoomScaleNormal="110" zoomScaleSheetLayoutView="100" workbookViewId="0">
      <selection activeCell="C43" sqref="C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333853.56</v>
      </c>
      <c r="D4" s="1742">
        <f>'Revenues 9-14'!D109</f>
        <v>39554.5</v>
      </c>
      <c r="E4" s="1742">
        <f>'Revenues 9-14'!E109</f>
        <v>30640.87</v>
      </c>
      <c r="F4" s="1742">
        <f>'Revenues 9-14'!F109</f>
        <v>5605.55</v>
      </c>
      <c r="G4" s="1742">
        <f>'Revenues 9-14'!G109</f>
        <v>6703.69</v>
      </c>
      <c r="H4" s="1742">
        <f>'Revenues 9-14'!H109</f>
        <v>0</v>
      </c>
      <c r="I4" s="1742">
        <f>'Revenues 9-14'!I109</f>
        <v>11153.99</v>
      </c>
      <c r="J4" s="1742">
        <f>'Revenues 9-14'!J109</f>
        <v>11707.11</v>
      </c>
      <c r="K4" s="1742">
        <f>'Revenues 9-14'!K109</f>
        <v>5579.23</v>
      </c>
      <c r="L4" s="347"/>
    </row>
    <row r="5" spans="1:13" ht="15.75" customHeight="1" x14ac:dyDescent="0.2">
      <c r="A5" s="1576" t="s">
        <v>1500</v>
      </c>
      <c r="B5" s="1577">
        <v>2000</v>
      </c>
      <c r="C5" s="1743">
        <f>'Revenues 9-14'!C114</f>
        <v>4260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257981</v>
      </c>
      <c r="D6" s="1743">
        <f>'Revenues 9-14'!D170</f>
        <v>0</v>
      </c>
      <c r="E6" s="1743">
        <f>'Revenues 9-14'!E170</f>
        <v>0</v>
      </c>
      <c r="F6" s="1743">
        <f>'Revenues 9-14'!F170</f>
        <v>11686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21664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617758.56000000006</v>
      </c>
      <c r="D8" s="1688">
        <f t="shared" ref="D8:K8" si="0">SUM(D4:D7)</f>
        <v>39554.5</v>
      </c>
      <c r="E8" s="1688">
        <f t="shared" si="0"/>
        <v>30640.87</v>
      </c>
      <c r="F8" s="1688">
        <f t="shared" si="0"/>
        <v>17291.55</v>
      </c>
      <c r="G8" s="1688">
        <f t="shared" si="0"/>
        <v>6703.69</v>
      </c>
      <c r="H8" s="1688">
        <f t="shared" si="0"/>
        <v>0</v>
      </c>
      <c r="I8" s="1688">
        <f t="shared" si="0"/>
        <v>11153.99</v>
      </c>
      <c r="J8" s="1688">
        <f t="shared" si="0"/>
        <v>11707.11</v>
      </c>
      <c r="K8" s="1688">
        <f t="shared" si="0"/>
        <v>5579.23</v>
      </c>
      <c r="L8" s="347"/>
    </row>
    <row r="9" spans="1:13" ht="15.75" thickTop="1" x14ac:dyDescent="0.2">
      <c r="A9" s="514" t="s">
        <v>1653</v>
      </c>
      <c r="B9" s="515">
        <v>3998</v>
      </c>
      <c r="C9" s="481">
        <v>34927</v>
      </c>
      <c r="D9" s="516"/>
      <c r="E9" s="481"/>
      <c r="F9" s="481"/>
      <c r="G9" s="517"/>
      <c r="H9" s="481"/>
      <c r="I9" s="509" t="s">
        <v>1169</v>
      </c>
      <c r="J9" s="478"/>
      <c r="K9" s="481"/>
      <c r="L9" s="347"/>
    </row>
    <row r="10" spans="1:13" s="519" customFormat="1" ht="13.5" thickBot="1" x14ac:dyDescent="0.25">
      <c r="A10" s="1736" t="s">
        <v>1173</v>
      </c>
      <c r="B10" s="1709"/>
      <c r="C10" s="1688">
        <f>SUM(C8:C9)</f>
        <v>652685.56000000006</v>
      </c>
      <c r="D10" s="1688">
        <f t="shared" ref="D10:K10" si="1">SUM(D8:D9)</f>
        <v>39554.5</v>
      </c>
      <c r="E10" s="1688">
        <f t="shared" si="1"/>
        <v>30640.87</v>
      </c>
      <c r="F10" s="1688">
        <f t="shared" si="1"/>
        <v>17291.55</v>
      </c>
      <c r="G10" s="1688">
        <f t="shared" si="1"/>
        <v>6703.69</v>
      </c>
      <c r="H10" s="1688">
        <f t="shared" si="1"/>
        <v>0</v>
      </c>
      <c r="I10" s="1688">
        <f t="shared" si="1"/>
        <v>11153.99</v>
      </c>
      <c r="J10" s="1688">
        <f t="shared" si="1"/>
        <v>11707.11</v>
      </c>
      <c r="K10" s="1688">
        <f t="shared" si="1"/>
        <v>5579.23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391305</v>
      </c>
      <c r="D12" s="520" t="s">
        <v>1169</v>
      </c>
      <c r="E12" s="468" t="s">
        <v>1169</v>
      </c>
      <c r="F12" s="468" t="s">
        <v>1169</v>
      </c>
      <c r="G12" s="1742">
        <f>'Expenditures 15-22'!K229</f>
        <v>361</v>
      </c>
      <c r="H12" s="521"/>
      <c r="I12" s="468" t="s">
        <v>1169</v>
      </c>
      <c r="J12" s="468" t="s">
        <v>1169</v>
      </c>
      <c r="K12" s="521" t="s">
        <v>1169</v>
      </c>
      <c r="L12" s="347"/>
    </row>
    <row r="13" spans="1:13" ht="15.75" customHeight="1" x14ac:dyDescent="0.2">
      <c r="A13" s="1576" t="s">
        <v>457</v>
      </c>
      <c r="B13" s="1578">
        <v>2000</v>
      </c>
      <c r="C13" s="1743">
        <f>'Expenditures 15-22'!K74</f>
        <v>179094</v>
      </c>
      <c r="D13" s="1743">
        <f>'Expenditures 15-22'!K129</f>
        <v>27567</v>
      </c>
      <c r="E13" s="469" t="s">
        <v>1169</v>
      </c>
      <c r="F13" s="1743">
        <f>'Expenditures 15-22'!K184</f>
        <v>26334</v>
      </c>
      <c r="G13" s="1743">
        <f>'Expenditures 15-22'!K279</f>
        <v>0</v>
      </c>
      <c r="H13" s="1743">
        <f>'Expenditures 15-22'!K303</f>
        <v>0</v>
      </c>
      <c r="I13" s="468" t="s">
        <v>1169</v>
      </c>
      <c r="J13" s="1743">
        <f>'Expenditures 15-22'!K330</f>
        <v>0</v>
      </c>
      <c r="K13" s="1747">
        <f>'Expenditures 15-22'!K352</f>
        <v>3671</v>
      </c>
      <c r="L13" s="347"/>
    </row>
    <row r="14" spans="1:13" ht="15.75" customHeight="1" x14ac:dyDescent="0.2">
      <c r="A14" s="1576" t="s">
        <v>449</v>
      </c>
      <c r="B14" s="1578">
        <v>3000</v>
      </c>
      <c r="C14" s="1743">
        <f>'Expenditures 15-22'!K75</f>
        <v>517</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22296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32828</v>
      </c>
      <c r="D16" s="1743">
        <f>'Expenditures 15-22'!K149</f>
        <v>0</v>
      </c>
      <c r="E16" s="1743">
        <f>'Expenditures 15-22'!K172</f>
        <v>482331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626040</v>
      </c>
      <c r="D17" s="1688">
        <f t="shared" si="2"/>
        <v>27567</v>
      </c>
      <c r="E17" s="1688">
        <f t="shared" si="2"/>
        <v>482331</v>
      </c>
      <c r="F17" s="1688">
        <f t="shared" si="2"/>
        <v>26334</v>
      </c>
      <c r="G17" s="1688">
        <f t="shared" si="2"/>
        <v>361</v>
      </c>
      <c r="H17" s="1688">
        <f t="shared" si="2"/>
        <v>0</v>
      </c>
      <c r="I17" s="468"/>
      <c r="J17" s="1688">
        <f>SUM(J12:J16)</f>
        <v>0</v>
      </c>
      <c r="K17" s="1688">
        <f>SUM(K12:K16)</f>
        <v>3671</v>
      </c>
      <c r="L17" s="347"/>
    </row>
    <row r="18" spans="1:12" ht="15" customHeight="1" thickTop="1" x14ac:dyDescent="0.2">
      <c r="A18" s="1744" t="s">
        <v>1654</v>
      </c>
      <c r="B18" s="1745">
        <v>4180</v>
      </c>
      <c r="C18" s="1742">
        <f t="shared" ref="C18:H18" si="3">C9</f>
        <v>34927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660967</v>
      </c>
      <c r="D19" s="1688">
        <f t="shared" si="4"/>
        <v>27567</v>
      </c>
      <c r="E19" s="1688">
        <f t="shared" si="4"/>
        <v>482331</v>
      </c>
      <c r="F19" s="1688">
        <f t="shared" si="4"/>
        <v>26334</v>
      </c>
      <c r="G19" s="1688">
        <f t="shared" si="4"/>
        <v>361</v>
      </c>
      <c r="H19" s="1688">
        <f t="shared" si="4"/>
        <v>0</v>
      </c>
      <c r="I19" s="468"/>
      <c r="J19" s="1688">
        <f>SUM(J17:J18)</f>
        <v>0</v>
      </c>
      <c r="K19" s="1688">
        <f>SUM(K17:K18)</f>
        <v>3671</v>
      </c>
      <c r="L19" s="347"/>
    </row>
    <row r="20" spans="1:12" ht="16.5" thickTop="1" thickBot="1" x14ac:dyDescent="0.25">
      <c r="A20" s="2125" t="s">
        <v>1655</v>
      </c>
      <c r="B20" s="2126"/>
      <c r="C20" s="1746">
        <f>C8-C17</f>
        <v>-8281.4399999999441</v>
      </c>
      <c r="D20" s="1746">
        <f t="shared" ref="D20:K20" si="5">D8-D17</f>
        <v>11987.5</v>
      </c>
      <c r="E20" s="1746">
        <f t="shared" si="5"/>
        <v>-451690.13</v>
      </c>
      <c r="F20" s="1746">
        <f t="shared" si="5"/>
        <v>-9042.4500000000007</v>
      </c>
      <c r="G20" s="1746">
        <f t="shared" si="5"/>
        <v>6342.69</v>
      </c>
      <c r="H20" s="1746">
        <f t="shared" si="5"/>
        <v>0</v>
      </c>
      <c r="I20" s="1746">
        <f t="shared" si="5"/>
        <v>11153.99</v>
      </c>
      <c r="J20" s="1746">
        <f t="shared" si="5"/>
        <v>11707.11</v>
      </c>
      <c r="K20" s="1746">
        <f t="shared" si="5"/>
        <v>1908.2299999999996</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0</v>
      </c>
      <c r="D25" s="467"/>
      <c r="E25" s="467">
        <v>260000</v>
      </c>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v>174500</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53243</v>
      </c>
      <c r="D43" s="467"/>
      <c r="E43" s="467"/>
      <c r="F43" s="467"/>
      <c r="G43" s="467"/>
      <c r="H43" s="467"/>
      <c r="I43" s="467"/>
      <c r="J43" s="467"/>
      <c r="K43" s="467"/>
      <c r="L43" s="524"/>
    </row>
    <row r="44" spans="1:12" s="485" customFormat="1" ht="13.5" customHeight="1" thickBot="1" x14ac:dyDescent="0.25">
      <c r="A44" s="2139" t="s">
        <v>374</v>
      </c>
      <c r="B44" s="2140"/>
      <c r="C44" s="1703">
        <f>SUM(C24:C43)</f>
        <v>53243</v>
      </c>
      <c r="D44" s="1703">
        <f t="shared" ref="D44:K44" si="6">SUM(D24:D43)</f>
        <v>0</v>
      </c>
      <c r="E44" s="1703">
        <f t="shared" si="6"/>
        <v>434500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260000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20278</v>
      </c>
      <c r="E75" s="530">
        <v>7585</v>
      </c>
      <c r="F75" s="532">
        <v>1057</v>
      </c>
      <c r="G75" s="532">
        <v>8350</v>
      </c>
      <c r="H75" s="532"/>
      <c r="I75" s="530">
        <v>6161</v>
      </c>
      <c r="J75" s="530">
        <v>7013</v>
      </c>
      <c r="K75" s="532">
        <v>3104</v>
      </c>
      <c r="L75" s="524"/>
    </row>
    <row r="76" spans="1:12" s="485" customFormat="1" ht="14.25" thickTop="1" thickBot="1" x14ac:dyDescent="0.25">
      <c r="A76" s="2115" t="s">
        <v>440</v>
      </c>
      <c r="B76" s="2116"/>
      <c r="C76" s="1703">
        <f t="shared" ref="C76:K76" si="7">SUM(C47:C75)</f>
        <v>0</v>
      </c>
      <c r="D76" s="1703">
        <f t="shared" si="7"/>
        <v>20278</v>
      </c>
      <c r="E76" s="1703">
        <f t="shared" si="7"/>
        <v>7585</v>
      </c>
      <c r="F76" s="1703">
        <f t="shared" si="7"/>
        <v>1057</v>
      </c>
      <c r="G76" s="1703">
        <f t="shared" si="7"/>
        <v>8350</v>
      </c>
      <c r="H76" s="1703">
        <f t="shared" si="7"/>
        <v>0</v>
      </c>
      <c r="I76" s="1703">
        <f t="shared" si="7"/>
        <v>266161</v>
      </c>
      <c r="J76" s="1703">
        <f t="shared" si="7"/>
        <v>7013</v>
      </c>
      <c r="K76" s="1703">
        <f t="shared" si="7"/>
        <v>3104</v>
      </c>
      <c r="L76" s="524"/>
    </row>
    <row r="77" spans="1:12" ht="14.25" thickTop="1" thickBot="1" x14ac:dyDescent="0.25">
      <c r="A77" s="2117" t="s">
        <v>1177</v>
      </c>
      <c r="B77" s="2118"/>
      <c r="C77" s="1703">
        <f t="shared" ref="C77:K77" si="8">C44-C76</f>
        <v>53243</v>
      </c>
      <c r="D77" s="1703">
        <f t="shared" si="8"/>
        <v>-20278</v>
      </c>
      <c r="E77" s="1703">
        <f t="shared" si="8"/>
        <v>426915</v>
      </c>
      <c r="F77" s="1703">
        <f t="shared" si="8"/>
        <v>-1057</v>
      </c>
      <c r="G77" s="1703">
        <f t="shared" si="8"/>
        <v>-8350</v>
      </c>
      <c r="H77" s="1703">
        <f t="shared" si="8"/>
        <v>0</v>
      </c>
      <c r="I77" s="1703">
        <f t="shared" si="8"/>
        <v>-266161</v>
      </c>
      <c r="J77" s="1703">
        <f t="shared" si="8"/>
        <v>-7013</v>
      </c>
      <c r="K77" s="1703">
        <f t="shared" si="8"/>
        <v>-3104</v>
      </c>
      <c r="L77" s="347"/>
    </row>
    <row r="78" spans="1:12" ht="21.75" customHeight="1" thickTop="1" thickBot="1" x14ac:dyDescent="0.25">
      <c r="A78" s="2121" t="s">
        <v>597</v>
      </c>
      <c r="B78" s="2122"/>
      <c r="C78" s="1702">
        <f t="shared" ref="C78:K78" si="9">C20+C77</f>
        <v>44961.560000000056</v>
      </c>
      <c r="D78" s="1702">
        <f t="shared" si="9"/>
        <v>-8290.5</v>
      </c>
      <c r="E78" s="1702">
        <f t="shared" si="9"/>
        <v>-24775.130000000005</v>
      </c>
      <c r="F78" s="1702">
        <f t="shared" si="9"/>
        <v>-10099.450000000001</v>
      </c>
      <c r="G78" s="1702">
        <f t="shared" si="9"/>
        <v>-2007.3100000000004</v>
      </c>
      <c r="H78" s="1702">
        <f t="shared" si="9"/>
        <v>0</v>
      </c>
      <c r="I78" s="1702">
        <f t="shared" si="9"/>
        <v>-255007.01</v>
      </c>
      <c r="J78" s="1702">
        <f t="shared" si="9"/>
        <v>4694.1100000000006</v>
      </c>
      <c r="K78" s="1702">
        <f t="shared" si="9"/>
        <v>-1195.7700000000004</v>
      </c>
      <c r="L78" s="533"/>
    </row>
    <row r="79" spans="1:12" ht="13.5" thickTop="1" x14ac:dyDescent="0.2">
      <c r="A79" s="1494" t="s">
        <v>1949</v>
      </c>
      <c r="B79" s="534"/>
      <c r="C79" s="478">
        <v>95302</v>
      </c>
      <c r="D79" s="535">
        <v>19707</v>
      </c>
      <c r="E79" s="535">
        <v>33069</v>
      </c>
      <c r="F79" s="535">
        <v>65546</v>
      </c>
      <c r="G79" s="535">
        <v>40795</v>
      </c>
      <c r="H79" s="535">
        <v>0</v>
      </c>
      <c r="I79" s="535">
        <v>356773</v>
      </c>
      <c r="J79" s="535">
        <v>10847</v>
      </c>
      <c r="K79" s="535">
        <v>1990</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140263.56000000006</v>
      </c>
      <c r="D81" s="1688">
        <f>SUM(D78:D80)</f>
        <v>11416.5</v>
      </c>
      <c r="E81" s="1688">
        <f t="shared" ref="E81:K81" si="10">SUM(E78:E80)</f>
        <v>8293.8699999999953</v>
      </c>
      <c r="F81" s="1688">
        <f t="shared" si="10"/>
        <v>55446.55</v>
      </c>
      <c r="G81" s="1688">
        <f t="shared" si="10"/>
        <v>38787.69</v>
      </c>
      <c r="H81" s="1688">
        <f t="shared" si="10"/>
        <v>0</v>
      </c>
      <c r="I81" s="1688">
        <f t="shared" si="10"/>
        <v>101765.98999999999</v>
      </c>
      <c r="J81" s="1688">
        <f t="shared" si="10"/>
        <v>15541.11</v>
      </c>
      <c r="K81" s="1688">
        <f t="shared" si="10"/>
        <v>794.22999999999956</v>
      </c>
      <c r="L81" s="347"/>
    </row>
    <row r="82" spans="1:12" ht="0.75" customHeight="1" thickTop="1" thickBot="1" x14ac:dyDescent="0.25">
      <c r="A82" s="536" t="s">
        <v>343</v>
      </c>
      <c r="B82" s="537"/>
      <c r="C82" s="538">
        <f>(C81-C79)</f>
        <v>44961.560000000056</v>
      </c>
      <c r="D82" s="538">
        <f t="shared" ref="D82:K82" si="11">(D81-D79)</f>
        <v>-8290.5</v>
      </c>
      <c r="E82" s="538">
        <f t="shared" si="11"/>
        <v>-24775.130000000005</v>
      </c>
      <c r="F82" s="538">
        <f t="shared" si="11"/>
        <v>-10099.449999999997</v>
      </c>
      <c r="G82" s="538">
        <f t="shared" si="11"/>
        <v>-2007.3099999999977</v>
      </c>
      <c r="H82" s="538">
        <f t="shared" si="11"/>
        <v>0</v>
      </c>
      <c r="I82" s="538">
        <f t="shared" si="11"/>
        <v>-255007.01</v>
      </c>
      <c r="J82" s="538">
        <f t="shared" si="11"/>
        <v>4694.1100000000006</v>
      </c>
      <c r="K82" s="538">
        <f t="shared" si="11"/>
        <v>-1195.7700000000004</v>
      </c>
    </row>
    <row r="83" spans="1:12" ht="14.25" hidden="1" thickTop="1" thickBot="1" x14ac:dyDescent="0.25">
      <c r="A83" s="539" t="s">
        <v>344</v>
      </c>
      <c r="B83" s="464"/>
      <c r="C83" s="540">
        <f>C82/C81</f>
        <v>0.32055054071064532</v>
      </c>
      <c r="D83" s="540">
        <f t="shared" ref="D83:K83" si="12">D82/D81</f>
        <v>-0.72618578373406906</v>
      </c>
      <c r="E83" s="540">
        <f t="shared" si="12"/>
        <v>-2.9871616024847287</v>
      </c>
      <c r="F83" s="540">
        <f t="shared" si="12"/>
        <v>-0.18214749159325505</v>
      </c>
      <c r="G83" s="540">
        <f t="shared" si="12"/>
        <v>-5.1751212820356086E-2</v>
      </c>
      <c r="H83" s="540" t="e">
        <f t="shared" si="12"/>
        <v>#DIV/0!</v>
      </c>
      <c r="I83" s="540">
        <f t="shared" si="12"/>
        <v>-2.505817611561584</v>
      </c>
      <c r="J83" s="540">
        <f t="shared" si="12"/>
        <v>0.30204470594442739</v>
      </c>
      <c r="K83" s="540">
        <f t="shared" si="12"/>
        <v>-1.5055714339674919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are an integral part of these statements"&amp;CPages 7-8</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280701</v>
      </c>
      <c r="D5" s="481">
        <v>39128</v>
      </c>
      <c r="E5" s="466">
        <v>30618</v>
      </c>
      <c r="F5" s="548">
        <v>5558</v>
      </c>
      <c r="G5" s="466">
        <v>5557</v>
      </c>
      <c r="H5" s="466"/>
      <c r="I5" s="466">
        <v>8373</v>
      </c>
      <c r="J5" s="467">
        <v>11575</v>
      </c>
      <c r="K5" s="466">
        <v>5558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1116</v>
      </c>
      <c r="D7" s="466"/>
      <c r="E7" s="468"/>
      <c r="F7" s="467"/>
      <c r="G7" s="467"/>
      <c r="H7" s="467"/>
      <c r="I7" s="468"/>
      <c r="J7" s="468"/>
      <c r="K7" s="468"/>
    </row>
    <row r="8" spans="1:12" x14ac:dyDescent="0.2">
      <c r="A8" s="463" t="s">
        <v>413</v>
      </c>
      <c r="B8" s="470">
        <v>1150</v>
      </c>
      <c r="C8" s="475"/>
      <c r="D8" s="475"/>
      <c r="E8" s="477"/>
      <c r="F8" s="477"/>
      <c r="G8" s="481">
        <v>1105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281817</v>
      </c>
      <c r="D12" s="1707">
        <f t="shared" si="0"/>
        <v>39128</v>
      </c>
      <c r="E12" s="1707">
        <f t="shared" si="0"/>
        <v>30618</v>
      </c>
      <c r="F12" s="1707">
        <f t="shared" si="0"/>
        <v>5558</v>
      </c>
      <c r="G12" s="1707">
        <f t="shared" si="0"/>
        <v>6662</v>
      </c>
      <c r="H12" s="1707">
        <f t="shared" si="0"/>
        <v>0</v>
      </c>
      <c r="I12" s="1707">
        <f t="shared" si="0"/>
        <v>8373</v>
      </c>
      <c r="J12" s="1707">
        <f t="shared" si="0"/>
        <v>11575</v>
      </c>
      <c r="K12" s="1688">
        <f t="shared" si="0"/>
        <v>5558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15931</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15931</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73.56</v>
      </c>
      <c r="D65" s="466">
        <v>426.5</v>
      </c>
      <c r="E65" s="466">
        <v>22.87</v>
      </c>
      <c r="F65" s="467">
        <v>47.55</v>
      </c>
      <c r="G65" s="466">
        <v>41.69</v>
      </c>
      <c r="H65" s="466"/>
      <c r="I65" s="466">
        <v>2780.99</v>
      </c>
      <c r="J65" s="467">
        <v>132.11000000000001</v>
      </c>
      <c r="K65" s="466">
        <v>21.23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73.56</v>
      </c>
      <c r="D67" s="1688">
        <f t="shared" ref="D67:K67" si="2">SUM(D65:D66)</f>
        <v>426.5</v>
      </c>
      <c r="E67" s="1688">
        <f t="shared" si="2"/>
        <v>22.87</v>
      </c>
      <c r="F67" s="1688">
        <f t="shared" si="2"/>
        <v>47.55</v>
      </c>
      <c r="G67" s="1688">
        <f t="shared" si="2"/>
        <v>41.69</v>
      </c>
      <c r="H67" s="1688">
        <f t="shared" si="2"/>
        <v>0</v>
      </c>
      <c r="I67" s="1688">
        <f t="shared" si="2"/>
        <v>2780.99</v>
      </c>
      <c r="J67" s="1688">
        <f t="shared" si="2"/>
        <v>132.11000000000001</v>
      </c>
      <c r="K67" s="1688">
        <f t="shared" si="2"/>
        <v>21.23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5714</v>
      </c>
      <c r="D69" s="468"/>
      <c r="E69" s="468"/>
      <c r="F69" s="468"/>
      <c r="G69" s="468"/>
      <c r="H69" s="468"/>
      <c r="I69" s="468"/>
      <c r="J69" s="468"/>
      <c r="K69" s="468"/>
    </row>
    <row r="70" spans="1:11" ht="12.75" customHeight="1" x14ac:dyDescent="0.2">
      <c r="A70" s="463" t="s">
        <v>997</v>
      </c>
      <c r="B70" s="470">
        <v>1612</v>
      </c>
      <c r="C70" s="551">
        <v>84</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1346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7144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980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980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27908</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27908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333853.56</v>
      </c>
      <c r="D109" s="1715">
        <f t="shared" si="4"/>
        <v>39554.5</v>
      </c>
      <c r="E109" s="1715">
        <f t="shared" si="4"/>
        <v>30640.87</v>
      </c>
      <c r="F109" s="1715">
        <f t="shared" si="4"/>
        <v>5605.55</v>
      </c>
      <c r="G109" s="1715">
        <f t="shared" si="4"/>
        <v>6703.69</v>
      </c>
      <c r="H109" s="1715">
        <f t="shared" si="4"/>
        <v>0</v>
      </c>
      <c r="I109" s="1715">
        <f t="shared" si="4"/>
        <v>11153.99</v>
      </c>
      <c r="J109" s="1715">
        <f t="shared" si="4"/>
        <v>11707.11</v>
      </c>
      <c r="K109" s="1702">
        <f t="shared" si="4"/>
        <v>5579.23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4260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4260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257681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257681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300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10740</v>
      </c>
      <c r="G152" s="467"/>
      <c r="H152" s="468"/>
      <c r="I152" s="468"/>
      <c r="J152" s="468"/>
      <c r="K152" s="468"/>
    </row>
    <row r="153" spans="1:11" ht="12.75" customHeight="1" x14ac:dyDescent="0.2">
      <c r="A153" s="463" t="s">
        <v>1057</v>
      </c>
      <c r="B153" s="562">
        <v>3510</v>
      </c>
      <c r="C153" s="551"/>
      <c r="D153" s="466"/>
      <c r="E153" s="561"/>
      <c r="F153" s="466">
        <v>946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11686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300</v>
      </c>
      <c r="D169" s="1722">
        <f t="shared" si="6"/>
        <v>0</v>
      </c>
      <c r="E169" s="1722">
        <f t="shared" si="6"/>
        <v>0</v>
      </c>
      <c r="F169" s="1722">
        <f t="shared" si="6"/>
        <v>11686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257981</v>
      </c>
      <c r="D170" s="1715">
        <f t="shared" si="7"/>
        <v>0</v>
      </c>
      <c r="E170" s="1715">
        <f t="shared" si="7"/>
        <v>0</v>
      </c>
      <c r="F170" s="1715">
        <f t="shared" si="7"/>
        <v>11686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14432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6399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20831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21664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21664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617758.56000000006</v>
      </c>
      <c r="D268" s="1715">
        <f t="shared" si="12"/>
        <v>39554.5</v>
      </c>
      <c r="E268" s="1715">
        <f t="shared" si="12"/>
        <v>30640.87</v>
      </c>
      <c r="F268" s="1715">
        <f t="shared" si="12"/>
        <v>17291.55</v>
      </c>
      <c r="G268" s="1715">
        <f t="shared" si="12"/>
        <v>6703.69</v>
      </c>
      <c r="H268" s="1715">
        <f t="shared" si="12"/>
        <v>0</v>
      </c>
      <c r="I268" s="1715">
        <f t="shared" si="12"/>
        <v>11153.99</v>
      </c>
      <c r="J268" s="1715">
        <f t="shared" si="12"/>
        <v>11707.11</v>
      </c>
      <c r="K268" s="1702">
        <f t="shared" si="12"/>
        <v>5579.23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fitToWidth="0" orientation="landscape" useFirstPageNumber="1" r:id="rId1"/>
  <headerFooter alignWithMargins="0">
    <oddHeader>&amp;L&amp;8Page &amp;P&amp;C&amp;"Arial,Bold"&amp;9STATEMENT OF REVENUES RECEIVED/REVENUES
FOR THE YEAR ENDING JUNE 30, 2019&amp;R&amp;8Page &amp;P</oddHeader>
    <oddFooter>&amp;L&amp;8"The notes are an integral part of these statements"&amp;CPages 9-14</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0" zoomScaleNormal="110" workbookViewId="0">
      <selection activeCell="H165" sqref="H16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207776</v>
      </c>
      <c r="D5" s="466">
        <v>62496</v>
      </c>
      <c r="E5" s="466">
        <v>39269</v>
      </c>
      <c r="F5" s="466">
        <v>4616</v>
      </c>
      <c r="G5" s="466"/>
      <c r="H5" s="466"/>
      <c r="I5" s="467"/>
      <c r="J5" s="467"/>
      <c r="K5" s="1671">
        <f>SUM(C5:J5)</f>
        <v>314157</v>
      </c>
      <c r="L5" s="466">
        <v>353690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56084</v>
      </c>
      <c r="D8" s="466">
        <v>5070</v>
      </c>
      <c r="E8" s="466">
        <v>15544</v>
      </c>
      <c r="F8" s="466"/>
      <c r="G8" s="466"/>
      <c r="H8" s="466"/>
      <c r="I8" s="467"/>
      <c r="J8" s="467"/>
      <c r="K8" s="1671">
        <f t="shared" si="0"/>
        <v>76698</v>
      </c>
      <c r="L8" s="466">
        <v>63900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v>450</v>
      </c>
      <c r="D14" s="466"/>
      <c r="E14" s="466"/>
      <c r="F14" s="466"/>
      <c r="G14" s="466"/>
      <c r="H14" s="466"/>
      <c r="I14" s="467"/>
      <c r="J14" s="467"/>
      <c r="K14" s="1671">
        <f t="shared" si="0"/>
        <v>450</v>
      </c>
      <c r="L14" s="466">
        <v>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264310</v>
      </c>
      <c r="D33" s="1670">
        <f t="shared" ref="D33:L33" si="1">SUM(D5:D32)</f>
        <v>67566</v>
      </c>
      <c r="E33" s="1670">
        <f t="shared" si="1"/>
        <v>54813</v>
      </c>
      <c r="F33" s="1670">
        <f t="shared" si="1"/>
        <v>4616</v>
      </c>
      <c r="G33" s="1670">
        <f t="shared" si="1"/>
        <v>0</v>
      </c>
      <c r="H33" s="1670">
        <f t="shared" si="1"/>
        <v>0</v>
      </c>
      <c r="I33" s="1670">
        <f t="shared" si="1"/>
        <v>0</v>
      </c>
      <c r="J33" s="1670">
        <f t="shared" si="1"/>
        <v>0</v>
      </c>
      <c r="K33" s="1670">
        <f t="shared" si="1"/>
        <v>391305</v>
      </c>
      <c r="L33" s="1670">
        <f t="shared" si="1"/>
        <v>417590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3000</v>
      </c>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3000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0</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24538</v>
      </c>
      <c r="F49" s="481">
        <v>5648</v>
      </c>
      <c r="G49" s="481"/>
      <c r="H49" s="481">
        <v>979</v>
      </c>
      <c r="I49" s="467"/>
      <c r="J49" s="467"/>
      <c r="K49" s="1672">
        <f>SUM(C49:J49)</f>
        <v>31165</v>
      </c>
      <c r="L49" s="481">
        <v>32500</v>
      </c>
    </row>
    <row r="50" spans="1:14" x14ac:dyDescent="0.2">
      <c r="A50" s="1504" t="s">
        <v>818</v>
      </c>
      <c r="B50" s="614">
        <v>2320</v>
      </c>
      <c r="C50" s="466">
        <v>65000</v>
      </c>
      <c r="D50" s="466">
        <v>7605</v>
      </c>
      <c r="E50" s="466">
        <v>1671</v>
      </c>
      <c r="F50" s="466"/>
      <c r="G50" s="466"/>
      <c r="H50" s="466"/>
      <c r="I50" s="467"/>
      <c r="J50" s="467"/>
      <c r="K50" s="1672">
        <f>SUM(C50:J50)</f>
        <v>74276</v>
      </c>
      <c r="L50" s="466">
        <v>73618</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65000</v>
      </c>
      <c r="D53" s="1670">
        <f t="shared" ref="D53:L53" si="5">SUM(D49:D52)</f>
        <v>7605</v>
      </c>
      <c r="E53" s="1670">
        <f t="shared" si="5"/>
        <v>26209</v>
      </c>
      <c r="F53" s="1670">
        <f t="shared" si="5"/>
        <v>5648</v>
      </c>
      <c r="G53" s="1670">
        <f t="shared" si="5"/>
        <v>0</v>
      </c>
      <c r="H53" s="1670">
        <f t="shared" si="5"/>
        <v>979</v>
      </c>
      <c r="I53" s="1670">
        <f t="shared" si="5"/>
        <v>0</v>
      </c>
      <c r="J53" s="1670">
        <f t="shared" si="5"/>
        <v>0</v>
      </c>
      <c r="K53" s="1670">
        <f t="shared" si="5"/>
        <v>105441</v>
      </c>
      <c r="L53" s="1670">
        <f t="shared" si="5"/>
        <v>106118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11463</v>
      </c>
      <c r="D55" s="481">
        <v>1368</v>
      </c>
      <c r="E55" s="481"/>
      <c r="F55" s="481"/>
      <c r="G55" s="481"/>
      <c r="H55" s="481"/>
      <c r="I55" s="467"/>
      <c r="J55" s="467"/>
      <c r="K55" s="1672">
        <f>SUM(C55:J55)</f>
        <v>12831</v>
      </c>
      <c r="L55" s="481">
        <v>11253</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11463</v>
      </c>
      <c r="D57" s="1674">
        <f t="shared" ref="D57:K57" si="6">SUM(D55:D56)</f>
        <v>1368</v>
      </c>
      <c r="E57" s="1674">
        <f t="shared" si="6"/>
        <v>0</v>
      </c>
      <c r="F57" s="1674">
        <f t="shared" si="6"/>
        <v>0</v>
      </c>
      <c r="G57" s="1674">
        <f t="shared" si="6"/>
        <v>0</v>
      </c>
      <c r="H57" s="1674">
        <f t="shared" si="6"/>
        <v>0</v>
      </c>
      <c r="I57" s="1674">
        <f t="shared" si="6"/>
        <v>0</v>
      </c>
      <c r="J57" s="1674">
        <f t="shared" si="6"/>
        <v>0</v>
      </c>
      <c r="K57" s="1674">
        <f t="shared" si="6"/>
        <v>12831</v>
      </c>
      <c r="L57" s="1670">
        <f>SUM(L55:L56)</f>
        <v>11253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29907</v>
      </c>
      <c r="D60" s="466">
        <v>1264</v>
      </c>
      <c r="E60" s="466">
        <v>354</v>
      </c>
      <c r="F60" s="466">
        <v>873</v>
      </c>
      <c r="G60" s="466"/>
      <c r="H60" s="466"/>
      <c r="I60" s="467"/>
      <c r="J60" s="467"/>
      <c r="K60" s="1672">
        <f t="shared" si="7"/>
        <v>32398</v>
      </c>
      <c r="L60" s="466">
        <v>32870</v>
      </c>
      <c r="M60" s="609"/>
      <c r="N60" s="609"/>
    </row>
    <row r="61" spans="1:14" s="343" customFormat="1" x14ac:dyDescent="0.2">
      <c r="A61" s="1504" t="s">
        <v>197</v>
      </c>
      <c r="B61" s="614">
        <v>2540</v>
      </c>
      <c r="C61" s="466"/>
      <c r="D61" s="466"/>
      <c r="E61" s="466">
        <v>124</v>
      </c>
      <c r="F61" s="466"/>
      <c r="G61" s="466"/>
      <c r="H61" s="466"/>
      <c r="I61" s="467"/>
      <c r="J61" s="467"/>
      <c r="K61" s="1672">
        <f t="shared" si="7"/>
        <v>124</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8105</v>
      </c>
      <c r="D63" s="466">
        <v>340</v>
      </c>
      <c r="E63" s="466"/>
      <c r="F63" s="466">
        <v>19855</v>
      </c>
      <c r="G63" s="466"/>
      <c r="H63" s="466"/>
      <c r="I63" s="467"/>
      <c r="J63" s="467"/>
      <c r="K63" s="1672">
        <f t="shared" si="7"/>
        <v>28300</v>
      </c>
      <c r="L63" s="466">
        <v>30915</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38012</v>
      </c>
      <c r="D65" s="1670">
        <f t="shared" ref="D65:L65" si="8">SUM(D59:D64)</f>
        <v>1604</v>
      </c>
      <c r="E65" s="1670">
        <f t="shared" si="8"/>
        <v>478</v>
      </c>
      <c r="F65" s="1670">
        <f t="shared" si="8"/>
        <v>20728</v>
      </c>
      <c r="G65" s="1670">
        <f t="shared" si="8"/>
        <v>0</v>
      </c>
      <c r="H65" s="1670">
        <f t="shared" si="8"/>
        <v>0</v>
      </c>
      <c r="I65" s="1670">
        <f t="shared" si="8"/>
        <v>0</v>
      </c>
      <c r="J65" s="1670">
        <f t="shared" si="8"/>
        <v>0</v>
      </c>
      <c r="K65" s="1670">
        <f t="shared" si="8"/>
        <v>60822</v>
      </c>
      <c r="L65" s="1670">
        <f t="shared" si="8"/>
        <v>63785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114475</v>
      </c>
      <c r="D74" s="1677">
        <f t="shared" ref="D74:K74" si="10">SUM(D42,D47,D53,D57,D65,D72,D73)</f>
        <v>10577</v>
      </c>
      <c r="E74" s="1677">
        <f t="shared" si="10"/>
        <v>26687</v>
      </c>
      <c r="F74" s="1677">
        <f t="shared" si="10"/>
        <v>26376</v>
      </c>
      <c r="G74" s="1677">
        <f t="shared" si="10"/>
        <v>0</v>
      </c>
      <c r="H74" s="1677">
        <f t="shared" si="10"/>
        <v>979</v>
      </c>
      <c r="I74" s="1677">
        <f t="shared" si="10"/>
        <v>0</v>
      </c>
      <c r="J74" s="1677">
        <f t="shared" si="10"/>
        <v>0</v>
      </c>
      <c r="K74" s="1677">
        <f t="shared" si="10"/>
        <v>179094</v>
      </c>
      <c r="L74" s="1677">
        <f>SUM(L42,L47,L53,L57,L65,L72,L73)</f>
        <v>184156</v>
      </c>
    </row>
    <row r="75" spans="1:14" s="259" customFormat="1" ht="15.75" customHeight="1" thickTop="1" thickBot="1" x14ac:dyDescent="0.25">
      <c r="A75" s="1610" t="s">
        <v>47</v>
      </c>
      <c r="B75" s="1611" t="s">
        <v>575</v>
      </c>
      <c r="C75" s="573"/>
      <c r="D75" s="573"/>
      <c r="E75" s="573"/>
      <c r="F75" s="573">
        <v>517</v>
      </c>
      <c r="G75" s="573"/>
      <c r="H75" s="573"/>
      <c r="I75" s="531"/>
      <c r="J75" s="531"/>
      <c r="K75" s="1670">
        <f>SUM(C75:J75)</f>
        <v>517</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v>22296</v>
      </c>
      <c r="I79" s="477"/>
      <c r="J79" s="477"/>
      <c r="K79" s="1671">
        <f t="shared" si="11"/>
        <v>22296</v>
      </c>
      <c r="L79" s="466">
        <v>22410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22296</v>
      </c>
      <c r="I84" s="477"/>
      <c r="J84" s="477"/>
      <c r="K84" s="1670">
        <f>SUM(K78:K83)</f>
        <v>22296</v>
      </c>
      <c r="L84" s="1670">
        <f>SUM(L78:L83)</f>
        <v>22410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22296</v>
      </c>
      <c r="I102" s="477"/>
      <c r="J102" s="477"/>
      <c r="K102" s="1677">
        <f>SUM(K84,K92,K100,K101)</f>
        <v>22296</v>
      </c>
      <c r="L102" s="1677">
        <f>SUM(L84,L92,L100,L101)</f>
        <v>22410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32828</v>
      </c>
      <c r="I111" s="468"/>
      <c r="J111" s="468"/>
      <c r="K111" s="1683">
        <f>H111</f>
        <v>32828</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32828</v>
      </c>
      <c r="I112" s="468"/>
      <c r="J112" s="468"/>
      <c r="K112" s="1670">
        <f>SUM(K110:K111)</f>
        <v>32828</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378785</v>
      </c>
      <c r="D114" s="1670">
        <f t="shared" ref="D114:K114" si="13">SUM(D33,D74,D75,D102,D112,D113)</f>
        <v>78143</v>
      </c>
      <c r="E114" s="1670">
        <f t="shared" si="13"/>
        <v>81500</v>
      </c>
      <c r="F114" s="1670">
        <f t="shared" si="13"/>
        <v>31509</v>
      </c>
      <c r="G114" s="1670">
        <f t="shared" si="13"/>
        <v>0</v>
      </c>
      <c r="H114" s="1670">
        <f>SUM(H33,H74,H75,H102,H112,H113)</f>
        <v>56103</v>
      </c>
      <c r="I114" s="1670">
        <f t="shared" si="13"/>
        <v>0</v>
      </c>
      <c r="J114" s="1670">
        <f t="shared" si="13"/>
        <v>0</v>
      </c>
      <c r="K114" s="1670">
        <f t="shared" si="13"/>
        <v>626040</v>
      </c>
      <c r="L114" s="1670">
        <f>SUM(L33,L74,L75,L102,L112,L113)</f>
        <v>624156</v>
      </c>
    </row>
    <row r="115" spans="1:14" ht="13.5" thickTop="1" x14ac:dyDescent="0.2">
      <c r="A115" s="2155" t="s">
        <v>996</v>
      </c>
      <c r="B115" s="2156"/>
      <c r="C115" s="618"/>
      <c r="D115" s="618"/>
      <c r="E115" s="618"/>
      <c r="F115" s="618"/>
      <c r="G115" s="618"/>
      <c r="H115" s="618"/>
      <c r="I115" s="618"/>
      <c r="J115" s="618"/>
      <c r="K115" s="1684">
        <f>'Revenues 9-14'!C268-'Expenditures 15-22'!K114</f>
        <v>-8281.4399999999441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5048</v>
      </c>
      <c r="D124" s="466">
        <v>202</v>
      </c>
      <c r="E124" s="466">
        <v>9051</v>
      </c>
      <c r="F124" s="466">
        <v>6706</v>
      </c>
      <c r="G124" s="466">
        <v>6560</v>
      </c>
      <c r="H124" s="466"/>
      <c r="I124" s="467"/>
      <c r="J124" s="467"/>
      <c r="K124" s="1670">
        <f>SUM(C124:J124)</f>
        <v>27567</v>
      </c>
      <c r="L124" s="466">
        <v>31125</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5048</v>
      </c>
      <c r="D127" s="1670">
        <f t="shared" ref="D127:L127" si="14">SUM(D122:D126)</f>
        <v>202</v>
      </c>
      <c r="E127" s="1670">
        <f t="shared" si="14"/>
        <v>9051</v>
      </c>
      <c r="F127" s="1670">
        <f t="shared" si="14"/>
        <v>6706</v>
      </c>
      <c r="G127" s="1670">
        <f t="shared" si="14"/>
        <v>6560</v>
      </c>
      <c r="H127" s="1670">
        <f t="shared" si="14"/>
        <v>0</v>
      </c>
      <c r="I127" s="1670">
        <f t="shared" si="14"/>
        <v>0</v>
      </c>
      <c r="J127" s="1670">
        <f t="shared" si="14"/>
        <v>0</v>
      </c>
      <c r="K127" s="1670">
        <f t="shared" si="14"/>
        <v>27567</v>
      </c>
      <c r="L127" s="1670">
        <f t="shared" si="14"/>
        <v>31125</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5048</v>
      </c>
      <c r="D129" s="1677">
        <f t="shared" ref="D129:L129" si="15">SUM(D120,D127,D128)</f>
        <v>202</v>
      </c>
      <c r="E129" s="1677">
        <f t="shared" si="15"/>
        <v>9051</v>
      </c>
      <c r="F129" s="1677">
        <f t="shared" si="15"/>
        <v>6706</v>
      </c>
      <c r="G129" s="1677">
        <f t="shared" si="15"/>
        <v>6560</v>
      </c>
      <c r="H129" s="1677">
        <f t="shared" si="15"/>
        <v>0</v>
      </c>
      <c r="I129" s="1677">
        <f t="shared" si="15"/>
        <v>0</v>
      </c>
      <c r="J129" s="1677">
        <f t="shared" si="15"/>
        <v>0</v>
      </c>
      <c r="K129" s="1677">
        <f t="shared" si="15"/>
        <v>27567</v>
      </c>
      <c r="L129" s="1677">
        <f t="shared" si="15"/>
        <v>31125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2" t="s">
        <v>620</v>
      </c>
      <c r="B151" s="2152"/>
      <c r="C151" s="1670">
        <f>SUM(C129,C130,C139,C149,C150)</f>
        <v>5048</v>
      </c>
      <c r="D151" s="1670">
        <f t="shared" ref="D151:K151" si="16">SUM(D129,D130,D139,D149,D150)</f>
        <v>202</v>
      </c>
      <c r="E151" s="1670">
        <f t="shared" si="16"/>
        <v>9051</v>
      </c>
      <c r="F151" s="1670">
        <f t="shared" si="16"/>
        <v>6706</v>
      </c>
      <c r="G151" s="1670">
        <f t="shared" si="16"/>
        <v>6560</v>
      </c>
      <c r="H151" s="1670">
        <f t="shared" si="16"/>
        <v>0</v>
      </c>
      <c r="I151" s="1670">
        <f t="shared" si="16"/>
        <v>0</v>
      </c>
      <c r="J151" s="1670">
        <f t="shared" si="16"/>
        <v>0</v>
      </c>
      <c r="K151" s="1670">
        <f t="shared" si="16"/>
        <v>27567</v>
      </c>
      <c r="L151" s="1670">
        <f>SUM(L129,L130,L139,L149,L150)</f>
        <v>31125</v>
      </c>
    </row>
    <row r="152" spans="1:14" ht="12.75" customHeight="1" thickTop="1" x14ac:dyDescent="0.2">
      <c r="A152" s="2175" t="s">
        <v>1178</v>
      </c>
      <c r="B152" s="2176"/>
      <c r="C152" s="618"/>
      <c r="D152" s="618"/>
      <c r="E152" s="618"/>
      <c r="F152" s="618"/>
      <c r="G152" s="618"/>
      <c r="H152" s="618"/>
      <c r="I152" s="618"/>
      <c r="J152" s="616"/>
      <c r="K152" s="1684">
        <f>'Revenues 9-14'!D268-'Expenditures 15-22'!K151</f>
        <v>11987.5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20343</v>
      </c>
      <c r="I169" s="616"/>
      <c r="J169" s="616"/>
      <c r="K169" s="1671">
        <f>SUM(C169:H169)</f>
        <v>20343</v>
      </c>
      <c r="L169" s="656">
        <v>62939</v>
      </c>
    </row>
    <row r="170" spans="1:14" ht="33.75" customHeight="1" x14ac:dyDescent="0.2">
      <c r="A170" s="669" t="s">
        <v>1670</v>
      </c>
      <c r="B170" s="671" t="s">
        <v>31</v>
      </c>
      <c r="C170" s="616"/>
      <c r="D170" s="616"/>
      <c r="E170" s="616"/>
      <c r="F170" s="616"/>
      <c r="G170" s="616"/>
      <c r="H170" s="569">
        <v>454900</v>
      </c>
      <c r="I170" s="616"/>
      <c r="J170" s="616"/>
      <c r="K170" s="1671">
        <f>SUM(C170:J170)</f>
        <v>454900</v>
      </c>
      <c r="L170" s="569">
        <v>252589</v>
      </c>
    </row>
    <row r="171" spans="1:14" ht="15.75" customHeight="1" x14ac:dyDescent="0.2">
      <c r="A171" s="621" t="s">
        <v>766</v>
      </c>
      <c r="B171" s="672" t="s">
        <v>84</v>
      </c>
      <c r="C171" s="616"/>
      <c r="D171" s="616"/>
      <c r="E171" s="466"/>
      <c r="F171" s="616"/>
      <c r="G171" s="616"/>
      <c r="H171" s="569">
        <v>7088</v>
      </c>
      <c r="I171" s="477"/>
      <c r="J171" s="616"/>
      <c r="K171" s="1671">
        <f>SUM(C171:J171)</f>
        <v>7088</v>
      </c>
      <c r="L171" s="569">
        <v>20</v>
      </c>
    </row>
    <row r="172" spans="1:14" ht="12.75" customHeight="1" thickBot="1" x14ac:dyDescent="0.25">
      <c r="A172" s="1668" t="s">
        <v>638</v>
      </c>
      <c r="B172" s="1669" t="s">
        <v>492</v>
      </c>
      <c r="C172" s="616"/>
      <c r="D172" s="616"/>
      <c r="E172" s="1677">
        <f>SUM(E168,E169,E170,E171)</f>
        <v>0</v>
      </c>
      <c r="F172" s="616"/>
      <c r="G172" s="616"/>
      <c r="H172" s="1677">
        <f>SUM(H168,H169,H170,H171)</f>
        <v>482331</v>
      </c>
      <c r="I172" s="638"/>
      <c r="J172" s="616"/>
      <c r="K172" s="1677">
        <f>SUM(K168,K169,K170,K171)</f>
        <v>482331</v>
      </c>
      <c r="L172" s="1677">
        <f>SUM(L168,L169,L170,L171)</f>
        <v>315548</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482331</v>
      </c>
      <c r="I174" s="638"/>
      <c r="J174" s="616"/>
      <c r="K174" s="1677">
        <f>SUM(K160,K172,K173)</f>
        <v>482331</v>
      </c>
      <c r="L174" s="1677">
        <f>SUM(L160,L172,L173)</f>
        <v>315548</v>
      </c>
    </row>
    <row r="175" spans="1:14" ht="13.5" thickTop="1" x14ac:dyDescent="0.2">
      <c r="A175" s="2155" t="s">
        <v>996</v>
      </c>
      <c r="B175" s="2156"/>
      <c r="C175" s="616"/>
      <c r="D175" s="616"/>
      <c r="E175" s="616"/>
      <c r="F175" s="616"/>
      <c r="G175" s="616"/>
      <c r="H175" s="618"/>
      <c r="I175" s="616"/>
      <c r="J175" s="616"/>
      <c r="K175" s="1684">
        <f>'Revenues 9-14'!E268-'Expenditures 15-22'!K174</f>
        <v>-451690.13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10216</v>
      </c>
      <c r="D182" s="466"/>
      <c r="E182" s="466">
        <v>12567</v>
      </c>
      <c r="F182" s="466">
        <v>3551</v>
      </c>
      <c r="G182" s="466"/>
      <c r="H182" s="466"/>
      <c r="I182" s="467"/>
      <c r="J182" s="467"/>
      <c r="K182" s="1671">
        <f>SUM(C182:J182)</f>
        <v>26334</v>
      </c>
      <c r="L182" s="466">
        <v>26918</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10216</v>
      </c>
      <c r="D184" s="1677">
        <f t="shared" ref="D184:J184" si="17">SUM(D180,D182,D183)</f>
        <v>0</v>
      </c>
      <c r="E184" s="1677">
        <f t="shared" si="17"/>
        <v>12567</v>
      </c>
      <c r="F184" s="1677">
        <f t="shared" si="17"/>
        <v>3551</v>
      </c>
      <c r="G184" s="1677">
        <f t="shared" si="17"/>
        <v>0</v>
      </c>
      <c r="H184" s="1677">
        <f t="shared" si="17"/>
        <v>0</v>
      </c>
      <c r="I184" s="1677">
        <f t="shared" si="17"/>
        <v>0</v>
      </c>
      <c r="J184" s="1677">
        <f t="shared" si="17"/>
        <v>0</v>
      </c>
      <c r="K184" s="1677">
        <f>SUM(K180,K182,K183)</f>
        <v>26334</v>
      </c>
      <c r="L184" s="1677">
        <f>SUM(L180, L182:L183)</f>
        <v>26918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10216</v>
      </c>
      <c r="D210" s="1670">
        <f>SUM(D184,D185)</f>
        <v>0</v>
      </c>
      <c r="E210" s="1670">
        <f>SUM(E184,E185,E196)</f>
        <v>12567</v>
      </c>
      <c r="F210" s="1670">
        <f>SUM(F184,F185)</f>
        <v>3551</v>
      </c>
      <c r="G210" s="1670">
        <f>SUM(G184,G185)</f>
        <v>0</v>
      </c>
      <c r="H210" s="1670">
        <f>SUM(H184,H185,H196,H208,H209)</f>
        <v>0</v>
      </c>
      <c r="I210" s="1670">
        <f>SUM(I184,I185)</f>
        <v>0</v>
      </c>
      <c r="J210" s="1670">
        <f>SUM(J184,J185)</f>
        <v>0</v>
      </c>
      <c r="K210" s="1671">
        <f>SUM(K184,K185,K196,K208,K209)</f>
        <v>26334</v>
      </c>
      <c r="L210" s="1670">
        <f>SUM(L184,L185,L196,L208,L209)</f>
        <v>26918</v>
      </c>
    </row>
    <row r="211" spans="1:14" ht="13.5" thickTop="1" x14ac:dyDescent="0.2">
      <c r="A211" s="2155" t="s">
        <v>996</v>
      </c>
      <c r="B211" s="2156"/>
      <c r="C211" s="618"/>
      <c r="D211" s="618"/>
      <c r="E211" s="618"/>
      <c r="F211" s="618"/>
      <c r="G211" s="618"/>
      <c r="H211" s="618"/>
      <c r="I211" s="616"/>
      <c r="J211" s="616"/>
      <c r="K211" s="1684">
        <f>'Revenues 9-14'!F268-'Expenditures 15-22'!K210</f>
        <v>-9042.4500000000007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361</v>
      </c>
      <c r="E215" s="616"/>
      <c r="F215" s="616"/>
      <c r="G215" s="616"/>
      <c r="H215" s="616"/>
      <c r="I215" s="616"/>
      <c r="J215" s="616"/>
      <c r="K215" s="1671">
        <f>D215</f>
        <v>361</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2935</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361</v>
      </c>
      <c r="E229" s="616"/>
      <c r="F229" s="616"/>
      <c r="G229" s="616"/>
      <c r="H229" s="616"/>
      <c r="I229" s="616"/>
      <c r="J229" s="616"/>
      <c r="K229" s="1670">
        <f>SUM(K215:K228)</f>
        <v>361</v>
      </c>
      <c r="L229" s="1670">
        <f>SUM(L215:L228)</f>
        <v>2935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600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2950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2950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3550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3" t="s">
        <v>505</v>
      </c>
      <c r="B295" s="2174"/>
      <c r="C295" s="616"/>
      <c r="D295" s="1670">
        <f>SUM(D229,D279,D280,D285)</f>
        <v>361</v>
      </c>
      <c r="E295" s="616"/>
      <c r="F295" s="616"/>
      <c r="G295" s="616"/>
      <c r="H295" s="1670">
        <f>H293</f>
        <v>0</v>
      </c>
      <c r="I295" s="616"/>
      <c r="J295" s="616"/>
      <c r="K295" s="1670">
        <f>SUM(K229,K279,K280,K285,K293,K294)</f>
        <v>361</v>
      </c>
      <c r="L295" s="1670">
        <f>SUM(L229,L279,L280,L285,L293,L294)</f>
        <v>6485</v>
      </c>
    </row>
    <row r="296" spans="1:14" ht="13.5" thickTop="1" x14ac:dyDescent="0.2">
      <c r="A296" s="2155" t="s">
        <v>996</v>
      </c>
      <c r="B296" s="2156"/>
      <c r="C296" s="616"/>
      <c r="D296" s="618"/>
      <c r="E296" s="616"/>
      <c r="F296" s="616"/>
      <c r="G296" s="616"/>
      <c r="H296" s="687"/>
      <c r="I296" s="616"/>
      <c r="J296" s="616"/>
      <c r="K296" s="1684">
        <f>'Revenues 9-14'!G268-'Expenditures 15-22'!K295</f>
        <v>6342.69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12430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3261</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15691</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15691</v>
      </c>
    </row>
    <row r="343" spans="1:14" ht="12.75" customHeight="1" thickTop="1" x14ac:dyDescent="0.2">
      <c r="A343" s="2168" t="s">
        <v>996</v>
      </c>
      <c r="B343" s="2169"/>
      <c r="C343" s="616"/>
      <c r="D343" s="616"/>
      <c r="E343" s="616"/>
      <c r="F343" s="616"/>
      <c r="G343" s="616"/>
      <c r="H343" s="616"/>
      <c r="I343" s="616"/>
      <c r="J343" s="616"/>
      <c r="K343" s="1684">
        <f>'Revenues 9-14'!J268-'Expenditures 15-22'!K342</f>
        <v>11707.11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4000</v>
      </c>
    </row>
    <row r="349" spans="1:14" x14ac:dyDescent="0.2">
      <c r="A349" s="1504" t="s">
        <v>197</v>
      </c>
      <c r="B349" s="614">
        <v>2540</v>
      </c>
      <c r="C349" s="466"/>
      <c r="D349" s="466"/>
      <c r="E349" s="466">
        <v>3586</v>
      </c>
      <c r="F349" s="466">
        <v>85</v>
      </c>
      <c r="G349" s="466"/>
      <c r="H349" s="466"/>
      <c r="I349" s="467"/>
      <c r="J349" s="467"/>
      <c r="K349" s="1671">
        <f>SUM(C349:J349)</f>
        <v>3671</v>
      </c>
      <c r="L349" s="466">
        <v>1536</v>
      </c>
    </row>
    <row r="350" spans="1:14" ht="12.75" customHeight="1" thickBot="1" x14ac:dyDescent="0.25">
      <c r="A350" s="1668" t="s">
        <v>719</v>
      </c>
      <c r="B350" s="1669" t="s">
        <v>35</v>
      </c>
      <c r="C350" s="1670">
        <f>SUM(C348:C349)</f>
        <v>0</v>
      </c>
      <c r="D350" s="1670">
        <f t="shared" ref="D350:L350" si="26">SUM(D348:D349)</f>
        <v>0</v>
      </c>
      <c r="E350" s="1670">
        <f t="shared" si="26"/>
        <v>3586</v>
      </c>
      <c r="F350" s="1670">
        <f t="shared" si="26"/>
        <v>85</v>
      </c>
      <c r="G350" s="1670">
        <f t="shared" si="26"/>
        <v>0</v>
      </c>
      <c r="H350" s="1670">
        <f t="shared" si="26"/>
        <v>0</v>
      </c>
      <c r="I350" s="1670">
        <f t="shared" si="26"/>
        <v>0</v>
      </c>
      <c r="J350" s="1670">
        <f t="shared" si="26"/>
        <v>0</v>
      </c>
      <c r="K350" s="1670">
        <f t="shared" si="26"/>
        <v>3671</v>
      </c>
      <c r="L350" s="1670">
        <f t="shared" si="26"/>
        <v>5536</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3586</v>
      </c>
      <c r="F352" s="1670">
        <f t="shared" si="27"/>
        <v>85</v>
      </c>
      <c r="G352" s="1670">
        <f t="shared" si="27"/>
        <v>0</v>
      </c>
      <c r="H352" s="1670">
        <f t="shared" si="27"/>
        <v>0</v>
      </c>
      <c r="I352" s="1670">
        <f t="shared" si="27"/>
        <v>0</v>
      </c>
      <c r="J352" s="1670">
        <f t="shared" si="27"/>
        <v>0</v>
      </c>
      <c r="K352" s="1670">
        <f t="shared" si="27"/>
        <v>3671</v>
      </c>
      <c r="L352" s="1670">
        <f t="shared" si="27"/>
        <v>5536</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3586</v>
      </c>
      <c r="F367" s="1670">
        <f t="shared" si="28"/>
        <v>85</v>
      </c>
      <c r="G367" s="1670">
        <f t="shared" si="28"/>
        <v>0</v>
      </c>
      <c r="H367" s="1670">
        <f t="shared" si="28"/>
        <v>0</v>
      </c>
      <c r="I367" s="1670">
        <f t="shared" si="28"/>
        <v>0</v>
      </c>
      <c r="J367" s="1670">
        <f t="shared" si="28"/>
        <v>0</v>
      </c>
      <c r="K367" s="1670">
        <f t="shared" si="28"/>
        <v>3671</v>
      </c>
      <c r="L367" s="1670">
        <f t="shared" si="28"/>
        <v>5536</v>
      </c>
    </row>
    <row r="368" spans="1:14" ht="13.5" thickTop="1" x14ac:dyDescent="0.2">
      <c r="A368" s="2155" t="s">
        <v>996</v>
      </c>
      <c r="B368" s="2156"/>
      <c r="C368" s="654"/>
      <c r="D368" s="654"/>
      <c r="E368" s="626"/>
      <c r="F368" s="626"/>
      <c r="G368" s="626"/>
      <c r="H368" s="626"/>
      <c r="I368" s="626"/>
      <c r="J368" s="623"/>
      <c r="K368" s="1671">
        <f>'Revenues 9-14'!K268-'Expenditures 15-22'!K367</f>
        <v>1908.2299999999996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are an integral part of these statements"&amp;CPages 15-22</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4d435f69-8686-490b-bd6d-b153bf22ab50"/>
    <ds:schemaRef ds:uri="http://www.w3.org/XML/1998/namespace"/>
    <ds:schemaRef ds:uri="http://schemas.openxmlformats.org/package/2006/metadata/core-properties"/>
    <ds:schemaRef ds:uri="http://purl.org/dc/dcmitype/"/>
    <ds:schemaRef ds:uri="d21dc803-237d-4c68-8692-8d731fd29118"/>
    <ds:schemaRef ds:uri="http://schemas.microsoft.com/office/2006/documentManagement/types"/>
    <ds:schemaRef ds:uri="6ce3111e-7420-4802-b50a-75d4e9a0b980"/>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2019-12-17T02:37:08Z</cp:lastPrinted>
  <dcterms:created xsi:type="dcterms:W3CDTF">2003-10-29T19:06:34Z</dcterms:created>
  <dcterms:modified xsi:type="dcterms:W3CDTF">2020-01-10T16:00:34Z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