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E20" i="181"/>
  <c r="G20" i="181" s="1"/>
  <c r="E19" i="181"/>
  <c r="F19" i="181" s="1"/>
  <c r="G19" i="181" l="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H28" i="118"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7" i="108"/>
  <c r="E27" i="108"/>
  <c r="F27" i="108"/>
  <c r="G27" i="108"/>
  <c r="F28"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D24" i="37"/>
  <c r="B4270" i="106" s="1"/>
  <c r="D4270" i="106" s="1"/>
  <c r="L5" i="11"/>
  <c r="B2056" i="106" s="1"/>
  <c r="D2056" i="106" s="1"/>
  <c r="B5752" i="106"/>
  <c r="D5752" i="106" s="1"/>
  <c r="H33" i="118" l="1"/>
  <c r="G29" i="108"/>
  <c r="F50" i="34"/>
  <c r="E26" i="108"/>
  <c r="B1868" i="106"/>
  <c r="D1868" i="106" s="1"/>
  <c r="F42" i="34"/>
  <c r="D6103" i="106"/>
  <c r="K184" i="29"/>
  <c r="F13" i="4" s="1"/>
  <c r="B2596" i="106" s="1"/>
  <c r="D2596" i="106" s="1"/>
  <c r="B6995" i="106"/>
  <c r="D6995" i="106" s="1"/>
  <c r="C342" i="29"/>
  <c r="B7216" i="106" s="1"/>
  <c r="D7216" i="106" s="1"/>
  <c r="C129" i="29"/>
  <c r="G14" i="4"/>
  <c r="B2609" i="106" s="1"/>
  <c r="D2609" i="106" s="1"/>
  <c r="F19" i="7"/>
  <c r="B1807" i="106" s="1"/>
  <c r="D1807" i="106" s="1"/>
  <c r="H342" i="29"/>
  <c r="B7221" i="106" s="1"/>
  <c r="D7221" i="106" s="1"/>
  <c r="J210" i="29"/>
  <c r="B7072" i="106" s="1"/>
  <c r="D7072" i="106" s="1"/>
  <c r="J129" i="29"/>
  <c r="B7038" i="106" s="1"/>
  <c r="D7038" i="106" s="1"/>
  <c r="B1274" i="106"/>
  <c r="D1274" i="106" s="1"/>
  <c r="G15" i="145"/>
  <c r="D69" i="36"/>
  <c r="L342" i="29"/>
  <c r="F72" i="34"/>
  <c r="G26" i="108"/>
  <c r="C352" i="29"/>
  <c r="C367" i="29" s="1"/>
  <c r="B3622" i="106" s="1"/>
  <c r="D3622" i="106" s="1"/>
  <c r="G30" i="108"/>
  <c r="F77" i="4"/>
  <c r="B3255" i="106" s="1"/>
  <c r="D3255" i="106" s="1"/>
  <c r="G210" i="29"/>
  <c r="E29" i="108"/>
  <c r="D54" i="36"/>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6" i="106" l="1"/>
  <c r="D7251" i="106"/>
  <c r="G6" i="4"/>
  <c r="B2604" i="106" s="1"/>
  <c r="D2604" i="106" s="1"/>
  <c r="K342" i="29"/>
  <c r="F13" i="34" s="1"/>
  <c r="B7215" i="106"/>
  <c r="D7215" i="106" s="1"/>
  <c r="D7254" i="106"/>
  <c r="D44" i="36"/>
  <c r="L114" i="29"/>
  <c r="C114" i="29"/>
  <c r="B757" i="106" s="1"/>
  <c r="D757" i="106" s="1"/>
  <c r="B5527" i="106"/>
  <c r="D5527" i="106" s="1"/>
  <c r="B1365" i="106"/>
  <c r="D1365" i="106" s="1"/>
  <c r="F65" i="34"/>
  <c r="B2031" i="106"/>
  <c r="D2031" i="106" s="1"/>
  <c r="N23" i="3"/>
  <c r="B284" i="106" s="1"/>
  <c r="D28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<sst xmlns="http://schemas.openxmlformats.org/spreadsheetml/2006/main" count="5137" uniqueCount="2125">
  <si>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</si>
  <si>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</si>
  <si>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</si>
  <si>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</si>
  <si>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</si>
  <si>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</si>
  <si>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</si>
  <si>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</si>
  <si>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</si>
  <si>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</si>
  <si>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</si>
  <si>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</si>
  <si>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</si>
  <si>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</si>
  <si>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</si>
  <si>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</si>
  <si>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</si>
  <si>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</si>
  <si>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</si>
  <si>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</si>
  <si>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</si>
  <si>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</si>
  <si>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</si>
  <si>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</si>
  <si>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</si>
  <si>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</si>
  <si>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</si>
  <si>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</si>
  <si>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</si>
  <si>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</si>
  <si>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</si>
  <si>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</si>
  <si>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</si>
  <si>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</si>
  <si>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</si>
  <si>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</si>
  <si>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</si>
  <si>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</si>
  <si>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</si>
  <si>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</si>
  <si>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</si>
  <si>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</si>
  <si>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</si>
  <si>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</si>
  <si>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</si>
  <si>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</si>
  <si>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</si>
  <si>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</si>
  <si>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</si>
  <si>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</si>
  <si>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</si>
  <si>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</si>
  <si>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</si>
  <si>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</si>
  <si>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</si>
  <si>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</si>
  <si>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</si>
  <si>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</si>
  <si>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</si>
  <si>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</si>
  <si>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</si>
  <si>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</si>
  <si>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</si>
  <si>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</si>
  <si>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</si>
  <si>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</si>
  <si>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</si>
  <si>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</si>
  <si>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</si>
  <si>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</si>
  <si>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</si>
  <si>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</si>
  <si>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</si>
  <si>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</si>
  <si>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</si>
  <si>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</si>
  <si>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</si>
  <si>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</si>
  <si>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</si>
  <si>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</si>
  <si>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</si>
  <si>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</si>
  <si>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</si>
  <si>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</si>
  <si>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</si>
  <si>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</si>
  <si>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</si>
  <si>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</si>
  <si>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</si>
  <si>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</si>
  <si>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</si>
  <si>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</si>
  <si>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</si>
  <si>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</si>
  <si>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</si>
  <si>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</si>
  <si>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</si>
  <si>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</si>
  <si>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</si>
  <si>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</si>
  <si>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</si>
  <si>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</si>
  <si>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</si>
  <si>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</si>
  <si>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</si>
  <si>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</si>
  <si>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</si>
  <si>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</si>
  <si>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</si>
  <si>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</si>
  <si>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</si>
  <si>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</si>
  <si>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</si>
  <si>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</si>
  <si>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</si>
  <si>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</si>
  <si>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</si>
  <si>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</si>
  <si>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</si>
  <si>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</si>
  <si>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</si>
  <si>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</si>
  <si>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</si>
  <si>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</si>
  <si>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</si>
  <si>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</si>
  <si>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</si>
  <si>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</si>
  <si>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</si>
  <si>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</si>
  <si>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</si>
  <si>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</si>
  <si>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</si>
  <si>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</si>
  <si>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</si>
  <si>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</si>
  <si>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</si>
  <si>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</si>
  <si>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</si>
  <si>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</si>
  <si>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</si>
  <si>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</si>
  <si>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</si>
  <si>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</si>
  <si>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</si>
  <si>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</si>
  <si>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</si>
  <si>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</si>
  <si>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</si>
  <si>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</si>
  <si>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</si>
  <si>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</si>
  <si>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</si>
  <si>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</si>
  <si>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</si>
  <si>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</si>
  <si>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</si>
  <si>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</si>
  <si>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</si>
  <si>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</si>
  <si>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</si>
  <si>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</si>
  <si>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</si>
  <si>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</si>
  <si>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</si>
  <si>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</si>
  <si>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</si>
  <si>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</si>
  <si>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</si>
  <si>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</si>
  <si>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</si>
  <si>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</si>
  <si>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</si>
  <si>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</si>
  <si>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</si>
  <si>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</si>
  <si>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</si>
  <si>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</si>
  <si>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</si>
  <si>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</si>
  <si>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</si>
  <si>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</si>
  <si>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</si>
  <si>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</si>
  <si>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</si>
  <si>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</si>
  <si>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</si>
  <si>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</si>
  <si>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</si>
  <si>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</si>
  <si>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</si>
  <si>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</si>
  <si>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</si>
  <si>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</si>
  <si>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</si>
  <si>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</si>
  <si>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</si>
  <si>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</si>
  <si>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</si>
  <si>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</si>
  <si>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</si>
  <si>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</si>
  <si>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</si>
  <si>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</si>
  <si>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</si>
  <si>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</si>
  <si>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</si>
  <si>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</si>
  <si>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</si>
  <si>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</si>
  <si>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</si>
  <si>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</si>
  <si>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</si>
  <si>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</si>
  <si>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</si>
  <si>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</si>
  <si>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</si>
  <si>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</si>
  <si>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</si>
  <si>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</si>
  <si>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</si>
  <si>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</si>
  <si>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</si>
  <si>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</si>
  <si>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</si>
  <si>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</si>
  <si>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</si>
  <si>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</si>
  <si>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</si>
  <si>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</si>
  <si>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</si>
  <si>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</si>
  <si>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</si>
  <si>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</si>
  <si>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</si>
  <si>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</si>
  <si>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</si>
  <si>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</si>
  <si>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</si>
  <si>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</si>
  <si>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</si>
  <si>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</si>
  <si>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</si>
  <si>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</si>
  <si>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</si>
  <si>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</si>
  <si>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</si>
  <si>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</si>
  <si>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</si>
  <si>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</si>
  <si>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</si>
  <si>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</si>
  <si>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</si>
  <si>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</si>
  <si>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</si>
  <si>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</si>
  <si>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</si>
  <si>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</si>
  <si>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</si>
  <si>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</si>
  <si>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</si>
  <si>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</si>
  <si>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</si>
  <si>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</si>
  <si>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</si>
  <si>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</si>
  <si>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</si>
  <si>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</si>
  <si>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</si>
  <si>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</si>
  <si>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</si>
  <si>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</si>
  <si>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</si>
  <si>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</si>
  <si>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</si>
  <si>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</si>
  <si>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</si>
  <si>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</si>
  <si>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</si>
  <si>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</si>
  <si>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</si>
  <si>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</si>
  <si>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</si>
  <si>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</si>
  <si>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</si>
  <si>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</si>
  <si>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</si>
  <si>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</si>
  <si>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</si>
  <si>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</si>
  <si>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</si>
  <si>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</si>
  <si>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</si>
  <si>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</si>
  <si>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</si>
  <si>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</si>
  <si>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</si>
  <si>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</si>
  <si>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</si>
  <si>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</si>
  <si>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</si>
  <si>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</si>
  <si>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</si>
  <si>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</si>
  <si>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</si>
  <si>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</si>
  <si>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</si>
  <si>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</si>
  <si>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</si>
  <si>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</si>
  <si>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</si>
  <si>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</si>
  <si>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</si>
  <si>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</si>
  <si>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</si>
  <si>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</si>
  <si>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</si>
  <si>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</si>
  <si>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</si>
  <si>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</si>
  <si>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</si>
  <si>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</si>
  <si>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</si>
  <si>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</si>
  <si>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</si>
  <si>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</si>
  <si>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</si>
  <si>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</si>
  <si>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</si>
  <si>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</si>
  <si>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</si>
  <si>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</si>
  <si>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</si>
  <si>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</si>
  <si>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</si>
  <si>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</si>
  <si>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</si>
  <si>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</si>
  <si>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</si>
  <si>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</si>
  <si>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</si>
  <si>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</si>
  <si>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</si>
  <si>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</si>
  <si>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</si>
  <si>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</si>
  <si>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</si>
  <si>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</si>
  <si>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</si>
  <si>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</si>
  <si>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</si>
  <si>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</si>
  <si>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</si>
  <si>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</si>
  <si>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</si>
  <si>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</si>
  <si>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</si>
  <si>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</si>
  <si>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</si>
  <si>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</si>
  <si>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</si>
  <si>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</si>
  <si>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</si>
  <si>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</si>
  <si>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</si>
  <si>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</si>
  <si>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</si>
  <si>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</si>
  <si>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</si>
  <si>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</si>
  <si>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</si>
  <si>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</si>
  <si>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</si>
  <si>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</si>
  <si>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</si>
  <si>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</si>
  <si>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</si>
  <si>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</si>
  <si>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</si>
  <si>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</si>
  <si>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</si>
  <si>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</si>
  <si>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</si>
  <si>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</si>
  <si>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</si>
  <si>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</si>
  <si>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</si>
  <si>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</si>
  <si>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</si>
  <si>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</si>
  <si>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</si>
  <si>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</si>
  <si>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</si>
  <si>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</si>
  <si>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</si>
  <si>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</si>
  <si>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</si>
  <si>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</si>
  <si>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</si>
  <si>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</si>
  <si>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</si>
  <si>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</si>
  <si>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</si>
  <si>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</si>
  <si>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</si>
  <si>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</si>
  <si>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</si>
  <si>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</si>
  <si>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</si>
  <si>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</si>
  <si>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</si>
  <si>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</si>
  <si>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</si>
  <si>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</si>
  <si>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</si>
  <si>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</si>
  <si>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</si>
  <si>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</si>
  <si>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</si>
  <si>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</si>
  <si>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</si>
  <si>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</si>
  <si>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</si>
  <si>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</si>
  <si>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</si>
  <si>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</si>
  <si>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</si>
  <si>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</si>
  <si>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</si>
  <si>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</si>
  <si>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</si>
  <si>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</si>
  <si>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</si>
  <si>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</si>
  <si>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</si>
  <si>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</si>
  <si>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</si>
  <si>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</si>
  <si>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</si>
  <si>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</si>
  <si>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</si>
  <si>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</si>
  <si>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</si>
  <si>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</si>
  <si>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</si>
  <si>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</si>
  <si>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</si>
  <si>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</si>
  <si>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</si>
  <si>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</si>
  <si>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</si>
  <si>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</si>
  <si>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</si>
  <si>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</si>
  <si>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</si>
  <si>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</si>
  <si>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</si>
  <si>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</si>
  <si>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</si>
  <si>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</si>
  <si>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</si>
  <si>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</si>
  <si>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</si>
  <si>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</si>
  <si>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</si>
  <si>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</si>
  <si>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</si>
  <si>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</si>
  <si>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</si>
  <si>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</si>
  <si>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</si>
  <si>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</si>
  <si>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</si>
  <si>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</si>
  <si>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</si>
  <si>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</si>
  <si>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</si>
  <si>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</si>
  <si>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</si>
  <si>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</si>
  <si>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</si>
  <si>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</si>
  <si>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</si>
  <si>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</si>
  <si>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</si>
  <si>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</si>
  <si>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</si>
  <si>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</si>
  <si>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</si>
  <si>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</si>
  <si>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</si>
  <si>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</si>
  <si>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</si>
  <si>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</si>
  <si>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</si>
  <si>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</si>
  <si>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</si>
  <si>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</si>
  <si>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</si>
  <si>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</si>
  <si>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</si>
  <si>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</si>
  <si>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</si>
  <si>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</si>
  <si>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</si>
  <si>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</si>
  <si>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</si>
  <si>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</si>
  <si>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</si>
  <si>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</si>
  <si>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</si>
  <si>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</si>
  <si>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</si>
  <si>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</si>
  <si>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</si>
  <si>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</si>
  <si>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</si>
  <si>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</si>
  <si>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</si>
  <si>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</si>
  <si>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</si>
  <si>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</si>
  <si>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</si>
  <si>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</si>
  <si>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</si>
  <si>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</si>
  <si>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</si>
  <si>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</si>
  <si>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</si>
  <si>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</si>
  <si>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</si>
  <si>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</si>
  <si>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</si>
  <si>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</si>
  <si>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</si>
  <si>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</si>
  <si>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</si>
  <si>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</si>
  <si>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</si>
  <si>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</si>
  <si>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</si>
  <si>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</si>
  <si>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</si>
  <si>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</si>
  <si>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</si>
  <si>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</si>
  <si>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</si>
  <si>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</si>
  <si>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</si>
  <si>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</si>
  <si>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</si>
  <si>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</si>
  <si>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</si>
  <si>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</si>
  <si>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</si>
  <si>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</si>
  <si>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</si>
  <si>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</si>
  <si>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</si>
  <si>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</si>
  <si>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</si>
  <si>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</si>
  <si>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</si>
  <si>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</si>
  <si>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</si>
  <si>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</si>
  <si>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</si>
  <si>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</si>
  <si>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</si>
  <si>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</si>
  <si>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</si>
  <si>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</si>
  <si>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</si>
  <si>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</si>
  <si>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</si>
  <si>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</si>
  <si>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</si>
  <si>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</si>
  <si>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</si>
  <si>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</si>
  <si>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</si>
  <si>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</si>
  <si>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</si>
  <si>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</si>
  <si>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</si>
  <si>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</si>
  <si>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</si>
  <si>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</si>
  <si>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</si>
  <si>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</si>
  <si>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</si>
  <si>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</si>
  <si>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</si>
  <si>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</si>
  <si>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</si>
  <si>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</si>
  <si>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</si>
  <si>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</si>
  <si>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</si>
  <si>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</si>
  <si>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</si>
  <si>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</si>
  <si>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</si>
  <si>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</si>
  <si>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</si>
  <si>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</si>
  <si>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</si>
  <si>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</si>
  <si>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</si>
  <si>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</si>
  <si>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</si>
  <si>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</si>
  <si>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</si>
  <si>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</si>
  <si>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</si>
  <si>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</si>
  <si>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</si>
  <si>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</si>
  <si>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</si>
  <si>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</si>
  <si>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</si>
  <si>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</si>
  <si>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</si>
  <si>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</si>
  <si>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</si>
  <si>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</si>
  <si>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</si>
  <si>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</si>
  <si>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</si>
  <si>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</si>
  <si>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</si>
  <si>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</si>
  <si>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</si>
  <si>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</si>
  <si>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</si>
  <si>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</si>
  <si>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</si>
  <si>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</si>
  <si>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</si>
  <si>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</si>
  <si>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</si>
  <si>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</si>
  <si>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</si>
  <si>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</si>
  <si>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</si>
  <si>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</si>
  <si>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</si>
  <si>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</si>
  <si>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</si>
  <si>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</si>
  <si>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</si>
  <si>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</si>
  <si>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</si>
  <si>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</si>
  <si>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</si>
  <si>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</si>
  <si>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</si>
  <si>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</si>
  <si>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</si>
  <si>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</si>
  <si>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</si>
  <si>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</si>
  <si>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</si>
  <si>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</si>
  <si>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</si>
  <si>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</si>
  <si>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</si>
  <si>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</si>
  <si>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</si>
  <si>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</si>
  <si>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</si>
  <si>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</si>
  <si>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</si>
  <si>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</si>
  <si>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</si>
  <si>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</si>
  <si>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</si>
  <si>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</si>
  <si>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</si>
  <si>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</si>
  <si>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</si>
  <si>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</si>
  <si>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</si>
  <si>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</si>
  <si>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</si>
  <si>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</si>
  <si>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</si>
  <si>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</si>
  <si>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</si>
  <si>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</si>
  <si>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</si>
  <si>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</si>
  <si>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</si>
  <si>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</si>
  <si>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</si>
  <si>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</si>
  <si>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</si>
  <si>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</si>
  <si>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</si>
  <si>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</si>
  <si>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</si>
  <si>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</si>
  <si>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</si>
  <si>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</si>
  <si>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</si>
  <si>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</si>
  <si>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</si>
  <si>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</si>
  <si>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</si>
  <si>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</si>
  <si>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</si>
  <si>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</si>
  <si>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</si>
  <si>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</si>
  <si>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</si>
  <si>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</si>
  <si>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</si>
  <si>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</si>
  <si>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</si>
  <si>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</si>
  <si>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</si>
  <si>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</si>
  <si>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</si>
  <si>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</si>
  <si>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</si>
  <si>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</si>
  <si>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</si>
  <si>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</si>
  <si>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</si>
  <si>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</si>
  <si>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</si>
  <si>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</si>
  <si>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</si>
  <si>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</si>
  <si>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</si>
  <si>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</si>
  <si>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</si>
  <si>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</si>
  <si>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</si>
  <si>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</si>
  <si>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</si>
  <si>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</si>
  <si>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</si>
  <si>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</si>
  <si>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</si>
  <si>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</si>
  <si>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</si>
  <si>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</si>
  <si>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</si>
  <si>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</si>
  <si>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</si>
  <si>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</si>
  <si>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</si>
  <si>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</si>
  <si>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</si>
  <si>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</si>
  <si>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</si>
  <si>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</si>
  <si>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</si>
  <si>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</si>
  <si>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</si>
  <si>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</si>
  <si>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</si>
  <si>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</si>
  <si>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</si>
  <si>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</si>
  <si>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</si>
  <si>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</si>
  <si>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</si>
  <si>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</si>
  <si>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</si>
  <si>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</si>
  <si>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</si>
  <si>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</si>
  <si>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</si>
  <si>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</si>
  <si>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</si>
  <si>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</si>
  <si>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</si>
  <si>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</si>
  <si>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</si>
  <si>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</si>
  <si>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</si>
  <si>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</si>
  <si>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</si>
  <si>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</si>
  <si>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</si>
  <si>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</si>
  <si>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</si>
  <si>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</si>
  <si>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</si>
  <si>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</si>
  <si>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</si>
  <si>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</si>
  <si>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</si>
  <si>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</si>
  <si>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</si>
  <si>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</si>
  <si>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</si>
  <si>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</si>
  <si>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</si>
  <si>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</si>
  <si>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</si>
  <si>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</si>
  <si>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</si>
  <si>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</si>
  <si>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</si>
  <si>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</si>
  <si>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</si>
  <si>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</si>
  <si>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</si>
  <si>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</si>
  <si>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</si>
  <si>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</si>
  <si>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</si>
  <si>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</si>
  <si>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</si>
  <si>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</si>
  <si>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</si>
  <si>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</si>
  <si>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</si>
  <si>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</si>
  <si>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</si>
  <si>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</si>
  <si>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</si>
  <si>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</si>
  <si>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</si>
  <si>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</si>
  <si>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</si>
  <si>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</si>
  <si>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</si>
  <si>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</si>
  <si>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</si>
  <si>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</si>
  <si>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</si>
  <si>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</si>
  <si>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</si>
  <si>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</si>
  <si>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</si>
  <si>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</si>
  <si>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</si>
  <si>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</si>
  <si>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</si>
  <si>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</si>
  <si>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</si>
  <si>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</si>
  <si>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</si>
  <si>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</si>
  <si>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</si>
  <si>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</si>
  <si>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</si>
  <si>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</si>
  <si>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</si>
  <si>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</si>
  <si>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</si>
  <si>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</si>
  <si>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</si>
  <si>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</si>
  <si>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</si>
  <si>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</si>
  <si>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</si>
  <si>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</si>
  <si>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</si>
  <si>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</si>
  <si>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</si>
  <si>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</si>
  <si>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</si>
  <si>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</si>
  <si>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</si>
  <si>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</si>
  <si>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</si>
  <si>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</si>
  <si>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</si>
  <si>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</si>
  <si>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</si>
  <si>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</si>
  <si>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</si>
  <si>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</si>
  <si>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</si>
  <si>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</si>
  <si>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</si>
  <si>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</si>
  <si>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</si>
  <si>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</si>
  <si>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</si>
  <si>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</si>
  <si>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</si>
  <si>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</si>
  <si>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</si>
  <si>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</si>
  <si>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</si>
  <si>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</si>
  <si>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</si>
  <si>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</si>
  <si>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</si>
  <si>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</si>
  <si>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</si>
  <si>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</si>
  <si>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</si>
  <si>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</si>
  <si>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</si>
  <si>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</si>
  <si>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</si>
  <si>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</si>
  <si>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</si>
  <si>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</si>
  <si>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</si>
  <si>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</si>
  <si>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</si>
  <si>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</si>
  <si>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</si>
  <si>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</si>
  <si>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</si>
  <si>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</si>
  <si>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</si>
  <si>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</si>
  <si>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</si>
  <si>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</si>
  <si>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</si>
  <si>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</si>
  <si>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</si>
  <si>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</si>
  <si>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</si>
  <si>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</si>
  <si>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</si>
  <si>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</si>
  <si>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</si>
  <si>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</si>
  <si>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</si>
  <si>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</si>
  <si>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</si>
  <si>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</si>
  <si>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</si>
  <si>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</si>
  <si>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</si>
  <si>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</si>
  <si>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</si>
  <si>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</si>
  <si>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</si>
  <si>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</si>
  <si>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</si>
  <si>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</si>
  <si>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</si>
  <si>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</si>
  <si>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</si>
  <si>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</si>
  <si>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</si>
  <si>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</si>
  <si>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</si>
  <si>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</si>
  <si>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</si>
  <si>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</si>
  <si>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</si>
  <si>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</si>
  <si>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</si>
  <si>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</si>
  <si>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</si>
  <si>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</si>
  <si>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</si>
  <si>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</si>
  <si>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</si>
  <si>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</si>
  <si>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</si>
  <si>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</si>
  <si>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</si>
  <si>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</si>
  <si>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</si>
  <si>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</si>
  <si>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</si>
  <si>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</si>
  <si>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</si>
  <si>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</si>
  <si>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</si>
  <si>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</si>
  <si>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</si>
  <si>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</si>
  <si>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</si>
  <si>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</si>
  <si>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</si>
  <si>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</si>
  <si>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</si>
  <si>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</si>
  <si>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</si>
  <si>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</si>
  <si>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</si>
  <si>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</si>
  <si>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</si>
  <si>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</si>
  <si>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</si>
  <si>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</si>
  <si>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</si>
  <si>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</si>
  <si>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</si>
  <si>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</si>
  <si>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</si>
  <si>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</si>
  <si>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</si>
  <si>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</si>
  <si>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</si>
  <si>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</si>
  <si>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</si>
  <si>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</si>
  <si>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</si>
  <si>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</si>
  <si>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</si>
  <si>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</si>
  <si>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</si>
  <si>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</si>
  <si>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</si>
  <si>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</si>
  <si>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</si>
  <si>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</si>
  <si>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</si>
  <si>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</si>
  <si>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</si>
  <si>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</si>
  <si>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</si>
  <si>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</si>
  <si>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</si>
  <si>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</si>
  <si>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</si>
  <si>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</si>
  <si>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</si>
  <si>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</si>
  <si>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</si>
  <si>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</si>
  <si>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</si>
  <si>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</si>
  <si>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</si>
  <si>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</si>
  <si>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</si>
  <si>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</si>
  <si>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</si>
  <si>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</si>
  <si>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</si>
  <si>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</si>
  <si>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</si>
  <si>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</si>
  <si>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</si>
  <si>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</si>
  <si>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</si>
  <si>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</si>
  <si>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</si>
  <si>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</si>
  <si>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</si>
  <si>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</si>
  <si>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</si>
  <si>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</si>
  <si>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</si>
  <si>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</si>
  <si>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</si>
  <si>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</si>
  <si>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</si>
  <si>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</si>
  <si>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</si>
  <si>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</si>
  <si>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</si>
  <si>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</si>
  <si>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</si>
  <si>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</si>
  <si>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</si>
  <si>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</si>
  <si>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</si>
  <si>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</si>
  <si>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</si>
  <si>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</si>
  <si>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</si>
  <si>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</si>
  <si>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</si>
  <si>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</si>
  <si>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</si>
  <si>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</si>
  <si>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</si>
  <si>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</si>
  <si>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</si>
  <si>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</si>
  <si>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</si>
  <si>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</si>
  <si>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</si>
  <si>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</si>
  <si>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</si>
  <si>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</si>
  <si>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</si>
  <si>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</si>
  <si>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</si>
  <si>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</si>
  <si>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</si>
  <si>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</si>
  <si>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</si>
  <si>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</si>
  <si>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</si>
  <si>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</si>
  <si>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</si>
  <si>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</si>
  <si>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</si>
  <si>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</si>
  <si>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</si>
  <si>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</si>
  <si>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</si>
  <si>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</si>
  <si>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</si>
  <si>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</si>
  <si>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</si>
  <si>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</si>
  <si>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</si>
  <si>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</si>
  <si>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</si>
  <si>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</si>
  <si>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</si>
  <si>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</si>
  <si>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</si>
  <si>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</si>
  <si>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</si>
  <si>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</si>
  <si>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</si>
  <si>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</si>
  <si>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</si>
  <si>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</si>
  <si>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</si>
  <si>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</si>
  <si>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</si>
  <si>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</si>
  <si>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</si>
  <si>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</si>
  <si>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</si>
  <si>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</si>
  <si>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</si>
  <si>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</si>
  <si>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</si>
  <si>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</si>
  <si>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</si>
  <si>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</si>
  <si>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</si>
  <si>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</si>
  <si>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</si>
  <si>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</si>
  <si>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</si>
  <si>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</si>
  <si>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</si>
  <si>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</si>
  <si>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</si>
  <si>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</si>
  <si>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</si>
  <si>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</si>
  <si>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</si>
  <si>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</si>
  <si>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</si>
  <si>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</si>
  <si>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</si>
  <si>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</si>
  <si>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</si>
  <si>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</si>
  <si>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</si>
  <si>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</si>
  <si>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</si>
  <si>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</si>
  <si>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</si>
  <si>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</si>
  <si>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</si>
  <si>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</si>
  <si>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</si>
  <si>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</si>
  <si>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</si>
  <si>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</si>
  <si>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</si>
  <si>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</si>
  <si>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</si>
  <si>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</si>
  <si>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</si>
  <si>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</si>
  <si>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</si>
  <si>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</si>
  <si>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</si>
  <si>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</si>
  <si>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</si>
  <si>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</si>
  <si>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</si>
  <si>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</si>
  <si>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</si>
  <si>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</si>
  <si>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</si>
  <si>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</si>
  <si>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</si>
  <si>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</si>
  <si>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</si>
  <si>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</si>
  <si>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</si>
  <si>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</si>
  <si>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</si>
  <si>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</si>
  <si>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</si>
  <si>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</si>
  <si>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</si>
  <si>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</si>
  <si>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</si>
  <si>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</si>
  <si>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</si>
  <si>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</si>
  <si>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</si>
  <si>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</si>
  <si>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</si>
  <si>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</si>
  <si>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</si>
  <si>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</si>
  <si>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</si>
  <si>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</si>
  <si>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</si>
  <si>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</si>
  <si>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</si>
  <si>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</si>
  <si>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</si>
  <si>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</si>
  <si>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</si>
  <si>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</si>
  <si>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</si>
  <si>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</si>
  <si>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</si>
  <si>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</si>
  <si>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</si>
  <si>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</si>
  <si>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</si>
  <si>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</si>
  <si>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</si>
  <si>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</si>
  <si>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</si>
  <si>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</si>
  <si>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</si>
  <si>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</si>
  <si>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</si>
  <si>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</si>
  <si>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</si>
  <si>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</si>
  <si>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</si>
  <si>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</si>
  <si>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</si>
  <si>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</si>
  <si>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</si>
  <si>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</si>
  <si>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</si>
  <si>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</si>
  <si>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</si>
  <si>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</si>
  <si>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</si>
  <si>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</si>
  <si>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</si>
  <si>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</si>
  <si>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</si>
  <si>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</si>
  <si>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</si>
  <si>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</si>
  <si>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</si>
  <si>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</si>
  <si>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</si>
  <si>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</si>
  <si>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</si>
  <si>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</si>
  <si>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</si>
  <si>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</si>
  <si>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</si>
  <si>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</si>
  <si>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</si>
  <si>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</si>
  <si>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</si>
  <si>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</si>
  <si>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</si>
  <si>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</si>
  <si>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</si>
  <si>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</si>
  <si>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</si>
  <si>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</si>
  <si>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</si>
  <si>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</si>
  <si>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</si>
  <si>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</si>
  <si>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</si>
  <si>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</si>
  <si>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</si>
  <si>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</si>
  <si>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</si>
  <si>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</si>
  <si>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</si>
  <si>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</si>
  <si>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</si>
  <si>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</si>
  <si>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</si>
  <si>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</si>
  <si>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</si>
  <si>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</si>
  <si>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</si>
  <si>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</si>
  <si>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</si>
  <si>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</si>
  <si>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</si>
  <si>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</si>
  <si>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</si>
  <si>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</si>
  <si>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</si>
  <si>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</si>
  <si>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</si>
  <si>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</si>
  <si>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</si>
  <si>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</si>
  <si>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</si>
  <si>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</si>
  <si>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</si>
  <si>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</si>
  <si>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</si>
  <si>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</si>
  <si>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</si>
  <si>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</si>
  <si>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</si>
  <si>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</si>
  <si>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</si>
  <si>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</si>
  <si>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</si>
  <si>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</si>
  <si>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</si>
  <si>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</si>
  <si>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</si>
  <si>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</si>
  <si>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</si>
  <si>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</si>
  <si>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</si>
  <si>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</si>
  <si>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</si>
  <si>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</si>
  <si>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</si>
  <si>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</si>
  <si>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</si>
  <si>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</si>
  <si>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</si>
  <si>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</si>
  <si>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</si>
  <si>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</si>
  <si>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</si>
  <si>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</si>
  <si>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</si>
  <si>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</si>
  <si>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</si>
  <si>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</si>
  <si>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</si>
  <si>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</si>
  <si>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</si>
  <si>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</si>
  <si>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</si>
  <si>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</si>
  <si>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</si>
  <si>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</si>
  <si>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</si>
  <si>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</si>
  <si>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</si>
  <si>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</si>
  <si>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</si>
  <si>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</si>
  <si>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</si>
  <si>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</si>
  <si>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</si>
  <si>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</si>
  <si>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</si>
  <si>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</si>
  <si>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</si>
  <si>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</si>
  <si>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</si>
  <si>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</si>
  <si>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</si>
  <si>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</si>
  <si>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</si>
  <si>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</si>
  <si>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</si>
  <si>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</si>
  <si>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</si>
  <si>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</si>
  <si>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</si>
  <si>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</si>
  <si>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</si>
  <si>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</si>
  <si>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</si>
  <si>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</si>
  <si>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</si>
  <si>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</si>
  <si>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</si>
  <si>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</si>
  <si>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</si>
  <si>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</si>
  <si>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</si>
  <si>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</si>
  <si>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</si>
  <si>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</si>
  <si>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</si>
  <si>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</si>
  <si>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</si>
  <si>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</si>
  <si>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</si>
  <si>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</si>
  <si>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</si>
  <si>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</si>
  <si>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</si>
  <si>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</si>
  <si>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</si>
  <si>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</si>
  <si>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</si>
  <si>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</si>
  <si>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</si>
  <si>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</si>
  <si>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</si>
  <si>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</si>
  <si>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</si>
  <si>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</si>
  <si>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</si>
  <si>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</si>
  <si>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</si>
  <si>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</si>
  <si>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</si>
  <si>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</si>
  <si>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</si>
  <si>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</si>
  <si>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</si>
  <si>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</si>
  <si>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</si>
  <si>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</si>
  <si>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</si>
  <si>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</si>
  <si>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</si>
  <si>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</si>
  <si>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</si>
  <si>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</si>
  <si>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</si>
  <si>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</si>
  <si>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</si>
  <si>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</si>
  <si>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</si>
  <si>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</si>
  <si>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</si>
  <si>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</si>
  <si>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</si>
  <si>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</si>
  <si>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</si>
  <si>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</si>
  <si>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</si>
  <si>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</si>
  <si>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</si>
  <si>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</si>
  <si>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</si>
  <si>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</si>
  <si>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</si>
  <si>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</si>
  <si>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</si>
  <si>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</si>
  <si>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</si>
  <si>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</si>
  <si>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</si>
  <si>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</si>
  <si>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</si>
  <si>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</si>
  <si>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</si>
  <si>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</si>
  <si>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</si>
  <si>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</si>
  <si>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</si>
  <si>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</si>
  <si>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</si>
  <si>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</si>
  <si>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</si>
  <si>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</si>
  <si>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</si>
  <si>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</si>
  <si>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</si>
  <si>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</si>
  <si>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</si>
  <si>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</si>
  <si>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</si>
  <si>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</si>
  <si>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</si>
  <si>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</si>
  <si>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</si>
  <si>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</si>
  <si>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</si>
  <si>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</si>
  <si>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</si>
  <si>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</si>
  <si>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</si>
  <si>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</si>
  <si>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</si>
  <si>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</si>
  <si>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</si>
  <si>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</si>
  <si>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</si>
  <si>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</si>
  <si>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</si>
  <si>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</si>
  <si>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</si>
  <si>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</si>
  <si>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</si>
  <si>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</si>
  <si>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</si>
  <si>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</si>
  <si>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</si>
  <si>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</si>
  <si>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</si>
  <si>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</si>
  <si>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</si>
  <si>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</si>
  <si>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</si>
  <si>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</si>
  <si>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</si>
  <si>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</si>
  <si>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</si>
  <si>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</si>
  <si>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</si>
  <si>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</si>
  <si>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</si>
  <si>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</si>
  <si>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</si>
  <si>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</si>
  <si>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</si>
  <si>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</si>
  <si>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</si>
  <si>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</si>
  <si>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</si>
  <si>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</si>
  <si>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</si>
  <si>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</si>
  <si>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</si>
  <si>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</si>
  <si>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</si>
  <si>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</si>
  <si>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</si>
  <si>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</si>
  <si>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</si>
  <si>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</si>
  <si>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</si>
  <si>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</si>
  <si>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</si>
  <si>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</si>
  <si>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</si>
  <si>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</si>
  <si>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</si>
  <si>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</si>
  <si>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</si>
  <si>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</si>
  <si>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</si>
  <si>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</si>
  <si>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</si>
  <si>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</si>
  <si>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</si>
  <si>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</si>
  <si>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</si>
  <si>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</si>
  <si>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</si>
  <si>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</si>
  <si>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</si>
  <si>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</si>
  <si>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</si>
  <si>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</si>
  <si>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</si>
  <si>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</si>
  <si>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</si>
  <si>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</si>
  <si>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</si>
  <si>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</si>
  <si>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</si>
  <si>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</si>
  <si>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</si>
  <si>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</si>
  <si>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</si>
  <si>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</si>
  <si>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</si>
  <si>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</si>
  <si>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</si>
  <si>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</si>
  <si>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</si>
  <si>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</si>
  <si>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</si>
  <si>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</si>
  <si>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</si>
  <si>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</si>
  <si>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</si>
  <si>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</si>
  <si>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</si>
  <si>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</si>
  <si>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</si>
  <si>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</si>
  <si>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</si>
  <si>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</si>
  <si>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</si>
  <si>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</si>
  <si>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</si>
  <si>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</si>
  <si>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</si>
  <si>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</si>
  <si>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</si>
  <si>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</si>
  <si>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</si>
  <si>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</si>
  <si>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</si>
  <si>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</si>
  <si>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</si>
  <si>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</si>
  <si>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</si>
  <si>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</si>
  <si>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</si>
  <si>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</si>
  <si>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</si>
  <si>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</si>
  <si>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</si>
  <si>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</si>
  <si>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</si>
  <si>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</si>
  <si>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</si>
  <si>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</si>
  <si>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</si>
  <si>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</si>
  <si>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</si>
  <si>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</si>
  <si>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</si>
  <si>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</si>
  <si>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</si>
  <si>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</si>
  <si>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</si>
  <si>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</si>
  <si>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</si>
  <si>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</si>
  <si>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</si>
  <si>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</si>
  <si>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</si>
  <si>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</si>
  <si>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</si>
  <si>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</si>
  <si>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</si>
  <si>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</si>
  <si>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</si>
  <si>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</si>
  <si>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</si>
  <si>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</si>
  <si>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</si>
  <si>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</si>
  <si>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</si>
  <si>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</si>
  <si>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</si>
  <si>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</si>
  <si>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</si>
  <si>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</si>
  <si>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</si>
  <si>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</si>
  <si>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</si>
  <si>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</si>
  <si>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</si>
  <si>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</si>
  <si>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</si>
  <si>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</si>
  <si>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</si>
  <si>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</si>
  <si>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</si>
  <si>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</si>
  <si>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</si>
  <si>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</si>
  <si>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</si>
  <si>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</si>
  <si>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</si>
  <si>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</si>
  <si>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</si>
  <si>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</si>
  <si>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</si>
  <si>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</si>
  <si>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</si>
  <si>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</si>
  <si>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</si>
  <si>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</si>
  <si>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</si>
  <si>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</si>
  <si>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</si>
  <si>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</si>
  <si>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</si>
  <si>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</si>
  <si>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</si>
  <si>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</si>
  <si>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</si>
  <si>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</si>
  <si>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</si>
  <si>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</si>
  <si>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</si>
  <si>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</si>
  <si>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</si>
  <si>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</si>
  <si>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</si>
  <si>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</si>
  <si>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</si>
  <si>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</si>
  <si>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</si>
  <si>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</si>
  <si>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</si>
  <si>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</si>
  <si>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</si>
  <si>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</si>
  <si>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</si>
  <si>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</si>
  <si>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</si>
  <si>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</si>
  <si>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</si>
  <si>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</si>
  <si>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</si>
  <si>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</si>
  <si>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</si>
  <si>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</si>
  <si>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</si>
  <si>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</si>
  <si>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</si>
  <si>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</si>
  <si>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</si>
  <si>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</si>
  <si>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</si>
  <si>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</si>
  <si>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</si>
  <si>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</si>
  <si>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</si>
  <si>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</si>
  <si>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</si>
  <si>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</si>
  <si>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</si>
  <si>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</si>
  <si>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</si>
  <si>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</si>
  <si>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</si>
  <si>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</si>
  <si>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</si>
  <si>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</si>
  <si>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</si>
  <si>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</si>
  <si>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</si>
  <si>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</si>
  <si>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</si>
  <si>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</si>
  <si>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</si>
  <si>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</si>
  <si>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</si>
  <si>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</si>
  <si>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</si>
  <si>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</si>
  <si>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</si>
  <si>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</si>
  <si>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</si>
  <si>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</si>
  <si>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</si>
  <si>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</si>
  <si>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</si>
  <si>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</si>
  <si>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</si>
  <si>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</si>
  <si>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</si>
  <si>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</si>
  <si>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</si>
  <si>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</si>
  <si>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</si>
  <si>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</si>
  <si>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</si>
  <si>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</si>
  <si>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</si>
  <si>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</si>
  <si>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</si>
  <si>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</si>
  <si>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</si>
  <si>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</si>
  <si>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</si>
  <si>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</si>
  <si>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</si>
  <si>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</si>
  <si>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</si>
  <si>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</si>
  <si>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</si>
  <si>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</si>
  <si>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</si>
  <si>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</si>
  <si>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</si>
  <si>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</si>
  <si>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</si>
  <si>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</si>
  <si>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</si>
  <si>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</si>
  <si>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</si>
  <si>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</si>
  <si>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</si>
  <si>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</si>
  <si>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</si>
  <si>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</si>
  <si>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</si>
  <si>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</si>
  <si>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</si>
  <si>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</si>
  <si>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</si>
  <si>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</si>
  <si>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</si>
  <si>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</si>
  <si>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</si>
  <si>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</si>
  <si>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</si>
  <si>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</si>
  <si>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</si>
  <si>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</si>
  <si>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</si>
  <si>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</si>
  <si>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</si>
  <si>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</si>
  <si>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</si>
  <si>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</si>
  <si>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</si>
  <si>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</si>
  <si>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</si>
  <si>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</si>
  <si>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</si>
  <si>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</si>
  <si>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</si>
  <si>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</si>
  <si>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</si>
  <si>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</si>
  <si>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</si>
  <si>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</si>
  <si>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</si>
  <si>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</si>
  <si>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</si>
  <si>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</si>
  <si>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</si>
  <si>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</si>
  <si>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</si>
  <si>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</si>
  <si>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</si>
  <si>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</si>
  <si>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</si>
  <si>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</si>
  <si>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</si>
  <si>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</si>
  <si>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</si>
  <si>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</si>
  <si>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</si>
  <si>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</si>
  <si>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</si>
  <si>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</si>
  <si>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</si>
  <si>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</si>
  <si>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</si>
  <si>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</si>
  <si>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</si>
  <si>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</si>
  <si>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</si>
  <si>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</si>
  <si>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</si>
  <si>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</si>
  <si>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</si>
  <si>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</si>
  <si>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</si>
  <si>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</si>
  <si>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</si>
  <si>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</si>
  <si>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</si>
  <si>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</si>
  <si>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</si>
  <si>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</si>
  <si>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</si>
  <si>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</si>
  <si>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</si>
  <si>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</si>
  <si>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</si>
  <si>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</si>
  <si>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</si>
  <si>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</si>
  <si>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</si>
  <si>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</si>
  <si>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</si>
  <si>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</si>
  <si>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</si>
  <si>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</si>
  <si>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</si>
  <si>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</si>
  <si>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</si>
  <si>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</si>
  <si>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</si>
  <si>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</si>
  <si>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</si>
  <si>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</si>
  <si>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</si>
  <si>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</si>
  <si>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</si>
  <si>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</si>
  <si>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</si>
  <si>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</si>
  <si>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</si>
  <si>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</si>
  <si>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</si>
  <si>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</si>
  <si>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</si>
  <si>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</si>
  <si>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</si>
  <si>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</si>
  <si>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</si>
  <si>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</si>
  <si>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</si>
  <si>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</si>
  <si>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</si>
  <si>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</si>
  <si>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</si>
  <si>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</si>
  <si>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</si>
  <si>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</si>
  <si>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</si>
  <si>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</si>
  <si>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</si>
  <si>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</si>
  <si>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</si>
  <si>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</si>
  <si>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</si>
  <si>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</si>
  <si>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</si>
  <si>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</si>
  <si>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</si>
  <si>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</si>
  <si>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</si>
  <si>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</si>
  <si>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</si>
  <si>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</si>
  <si>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</si>
  <si>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</si>
  <si>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</si>
  <si>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</si>
  <si>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</si>
  <si>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</si>
  <si>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</si>
  <si>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</si>
  <si>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</si>
  <si>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</si>
  <si>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</si>
  <si>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</si>
  <si>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</si>
  <si>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</si>
  <si>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</si>
  <si>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</si>
  <si>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</si>
  <si>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</si>
  <si>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</si>
  <si>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</si>
  <si>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</si>
  <si>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</si>
  <si>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</si>
  <si>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</si>
  <si>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</si>
  <si>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</si>
  <si>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</si>
  <si>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</si>
  <si>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</si>
  <si>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</si>
  <si>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</si>
  <si>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</si>
  <si>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</si>
  <si>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</si>
  <si>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</si>
  <si>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</si>
  <si>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</si>
  <si>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</si>
  <si>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</si>
  <si>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</si>
  <si>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</si>
  <si>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</si>
  <si>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</si>
  <si>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</si>
  <si>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</si>
  <si>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</si>
  <si>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</si>
  <si>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</si>
  <si>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</si>
  <si>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</si>
  <si>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</si>
  <si>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</si>
  <si>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</si>
  <si>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</si>
  <si>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</si>
  <si>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</si>
  <si>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</si>
  <si>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</si>
  <si>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</si>
  <si>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</si>
  <si>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</si>
  <si>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</si>
  <si>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</si>
  <si>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</si>
  <si>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</si>
  <si>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</si>
  <si>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</si>
  <si>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</si>
  <si>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</si>
  <si>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</si>
  <si>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</si>
  <si>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</si>
  <si>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</si>
  <si>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</si>
  <si>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</si>
  <si>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</si>
  <si>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</si>
  <si>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</si>
  <si>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</si>
  <si>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</si>
  <si>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</si>
  <si>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</si>
  <si>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</si>
  <si>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</si>
  <si>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</si>
  <si>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</si>
  <si>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</si>
  <si>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</si>
  <si>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</si>
  <si>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</si>
  <si>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</si>
  <si>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</si>
  <si>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</si>
  <si>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</si>
  <si>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</si>
  <si>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</si>
  <si>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</si>
  <si>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</si>
  <si>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</si>
  <si>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</si>
  <si>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</si>
  <si>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</si>
  <si>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</si>
  <si>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</si>
  <si>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</si>
  <si>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</si>
  <si>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</si>
  <si>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</si>
  <si>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</si>
  <si>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</si>
  <si>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</si>
  <si>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</si>
  <si>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</si>
  <si>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</si>
  <si>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</si>
  <si>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</si>
  <si>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</si>
  <si>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</si>
  <si>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</si>
  <si>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</si>
  <si>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</si>
  <si>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</si>
  <si>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</si>
  <si>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</si>
  <si>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</si>
  <si>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</si>
  <si>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</si>
  <si>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</si>
  <si>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</si>
  <si>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</si>
  <si>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</si>
  <si>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</si>
  <si>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</si>
  <si>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</si>
  <si>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</si>
  <si>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</si>
  <si>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</si>
  <si>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</si>
  <si>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</si>
  <si>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</si>
  <si>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</si>
  <si>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</si>
  <si>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</si>
  <si>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</si>
  <si>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</si>
  <si>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</si>
  <si>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</si>
  <si>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</si>
  <si>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</si>
  <si>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</si>
  <si>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</si>
  <si>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</si>
  <si>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</si>
  <si>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</si>
  <si>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</si>
  <si>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</si>
  <si>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</si>
  <si>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</si>
  <si>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</si>
  <si>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</si>
  <si>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</si>
  <si>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</si>
  <si>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</si>
  <si>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</si>
  <si>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</si>
  <si>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Ron Daniels</t>
  </si>
  <si>
    <t>rdaniels@roe13.org</t>
  </si>
  <si>
    <t>JEFFERSON</t>
  </si>
  <si>
    <t>21075 N. HAILS LANE</t>
  </si>
  <si>
    <t>TEXICO</t>
  </si>
  <si>
    <t>wstone@fieldpanthers.com</t>
  </si>
  <si>
    <t>WAYNE STONE</t>
  </si>
  <si>
    <t>618-755-4611</t>
  </si>
  <si>
    <t>618-755-9701</t>
  </si>
  <si>
    <t>General Obligation Refunding Bonds, Series 2012</t>
  </si>
  <si>
    <t>General Obligation School Bonds, Series 2019</t>
  </si>
  <si>
    <t>Bus Loan</t>
  </si>
  <si>
    <t>Texico State Bank Bus Loan</t>
  </si>
  <si>
    <t>KS State Bank Computer Lease</t>
  </si>
  <si>
    <t>Computer Lease Purchase</t>
  </si>
  <si>
    <t>ED-Instruction-Purchased Service</t>
  </si>
  <si>
    <t>10-1000-300</t>
  </si>
  <si>
    <t>Rend Lake College</t>
  </si>
  <si>
    <t>GreatAmerica Financial</t>
  </si>
  <si>
    <t>Egyptian Area Benefit Trust</t>
  </si>
  <si>
    <t>Rome CCSD#2 Special Education and Regional Office of Education Pre-K</t>
  </si>
  <si>
    <t>Southern Illinois School Dist. Coop Buying Program &amp; Farrington CCSD#99</t>
  </si>
  <si>
    <t>Illinois Counties Risk</t>
  </si>
  <si>
    <t>Franklin-Jefferson Special Education District #801</t>
  </si>
  <si>
    <t>See below</t>
  </si>
  <si>
    <t>Line 30-Rome CCSD#2; Farrington CCSD#99; Grand Prairie CCSD#5; Bluford Schools</t>
  </si>
  <si>
    <t>Page 10, Line 74 - Food sales to Farrington CCSD#99</t>
  </si>
  <si>
    <t>Page 10, Line 107-Education-Local Grants $4,000; Erate-$14,372; Copier Buyout $6,541; Reimbursements $3,889</t>
  </si>
  <si>
    <t xml:space="preserve">                                              Transportation-Insurance reimbursment on van damage</t>
  </si>
  <si>
    <t>Page 12, Line 171-Healthy Community Grant</t>
  </si>
  <si>
    <t>Page 12, Line 183-REAP Grant</t>
  </si>
  <si>
    <t xml:space="preserve">Audit check - Item 8 - Page 24 schedule of bonds payable doesn't agree to pages 5, 8, and 18 because of bus loan in the </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</si>
  <si>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</si>
  <si>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 and reconciliation.</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</si>
  <si>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</si>
  <si>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</si>
  <si>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</si>
  <si>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continue to receive and review the unopened bank statement and the subsequent reconciliation.</t>
  </si>
  <si>
    <t>Due to the small size of the District and its limited funds, hiring additional personnel is not feasible.  The Superintendent will continue to review the monthly bank statement and reconciliation for unusual items.</t>
  </si>
  <si>
    <t xml:space="preserve">                                                    Transportation Fund and lease proceeds shown as other sources.</t>
  </si>
  <si>
    <t>See PDF</t>
  </si>
  <si>
    <t>Field CCSD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</si>
</sst>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1695450</xdr:colOff>
          <xdr:row>4</xdr:row>
          <xdr:rowOff>123825</xdr:rowOff>
        </xdr:from>
        <xdr:to>
          <xdr:col>1</xdr:col>
          <xdr:colOff>2609850</xdr:colOff>
          <xdr:row>8</xdr:row>
          <xdr:rowOff>161925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T17" sqref="T17:AA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1" t="s">
        <v>404</v>
      </c>
      <c r="J1" s="1982"/>
      <c r="K1" s="1982"/>
      <c r="L1" s="1982"/>
      <c r="M1" s="1982"/>
      <c r="N1" s="1982"/>
      <c r="O1" s="1982"/>
      <c r="P1" s="1982"/>
      <c r="Q1" s="1982"/>
      <c r="R1" s="1982"/>
      <c r="S1" s="1982"/>
    </row>
    <row r="2" spans="1:28" ht="12" customHeight="1" x14ac:dyDescent="0.2">
      <c r="A2" s="47" t="s">
        <v>1990</v>
      </c>
      <c r="D2" s="48"/>
      <c r="I2" s="1983" t="s">
        <v>978</v>
      </c>
      <c r="J2" s="1982"/>
      <c r="K2" s="1982"/>
      <c r="L2" s="1982"/>
      <c r="M2" s="1982"/>
      <c r="N2" s="1982"/>
      <c r="O2" s="1982"/>
      <c r="P2" s="1982"/>
      <c r="Q2" s="1982"/>
      <c r="R2" s="1982"/>
      <c r="S2" s="1982"/>
    </row>
    <row r="3" spans="1:28" ht="12" customHeight="1" x14ac:dyDescent="0.2">
      <c r="A3" s="155" t="s">
        <v>1942</v>
      </c>
      <c r="B3" s="156"/>
      <c r="C3" s="156"/>
      <c r="D3" s="157"/>
      <c r="I3" s="1983" t="s">
        <v>52</v>
      </c>
      <c r="J3" s="1982"/>
      <c r="K3" s="1982"/>
      <c r="L3" s="1982"/>
      <c r="M3" s="1982"/>
      <c r="N3" s="1982"/>
      <c r="O3" s="1982"/>
      <c r="P3" s="1982"/>
      <c r="Q3" s="1982"/>
      <c r="R3" s="1982"/>
      <c r="S3" s="1982"/>
    </row>
    <row r="4" spans="1:28" ht="12" customHeight="1" x14ac:dyDescent="0.2">
      <c r="A4" s="37"/>
      <c r="I4" s="1983" t="s">
        <v>523</v>
      </c>
      <c r="J4" s="1982"/>
      <c r="K4" s="1982"/>
      <c r="L4" s="1982"/>
      <c r="M4" s="1982"/>
      <c r="N4" s="1982"/>
      <c r="O4" s="1982"/>
      <c r="P4" s="1982"/>
      <c r="Q4" s="1982"/>
      <c r="R4" s="1982"/>
      <c r="S4" s="1982"/>
    </row>
    <row r="5" spans="1:28" ht="14.1" customHeight="1" x14ac:dyDescent="0.2">
      <c r="B5" s="104" t="s">
        <v>2064</v>
      </c>
      <c r="C5" s="26" t="s">
        <v>909</v>
      </c>
      <c r="D5" s="84"/>
      <c r="E5" s="84"/>
      <c r="H5" s="38"/>
      <c r="I5" s="1991" t="s">
        <v>679</v>
      </c>
      <c r="J5" s="1990"/>
      <c r="K5" s="1990"/>
      <c r="L5" s="1990"/>
      <c r="M5" s="1990"/>
      <c r="N5" s="1990"/>
      <c r="O5" s="1990"/>
      <c r="P5" s="1990"/>
      <c r="Q5" s="1990"/>
      <c r="R5" s="1990"/>
      <c r="S5" s="1990"/>
    </row>
    <row r="6" spans="1:28" ht="14.1" customHeight="1" x14ac:dyDescent="0.2">
      <c r="B6" s="104"/>
      <c r="C6" s="26" t="s">
        <v>910</v>
      </c>
      <c r="D6" s="84"/>
      <c r="E6" s="84"/>
      <c r="I6" s="1989" t="s">
        <v>882</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673</v>
      </c>
      <c r="J9" s="1987"/>
      <c r="K9" s="1987"/>
      <c r="L9" s="1987"/>
      <c r="M9" s="1987"/>
      <c r="N9" s="1987"/>
      <c r="O9" s="1987"/>
      <c r="P9" s="1987"/>
      <c r="Q9" s="1987"/>
      <c r="R9" s="1987"/>
      <c r="S9" s="1988"/>
      <c r="T9" s="2002" t="s">
        <v>532</v>
      </c>
      <c r="U9" s="2003"/>
      <c r="V9" s="2003"/>
      <c r="W9" s="2003"/>
      <c r="X9" s="2003"/>
      <c r="Y9" s="2003"/>
      <c r="Z9" s="2003"/>
      <c r="AA9" s="2004"/>
    </row>
    <row r="10" spans="1:28" ht="13.5" customHeight="1" x14ac:dyDescent="0.2">
      <c r="A10" s="2009" t="s">
        <v>674</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954</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6">
        <v>13041003004</v>
      </c>
      <c r="B13" s="2017"/>
      <c r="C13" s="2017"/>
      <c r="D13" s="2017"/>
      <c r="E13" s="2017"/>
      <c r="F13" s="2017"/>
      <c r="G13" s="2017"/>
      <c r="H13" s="2018"/>
      <c r="I13" s="31"/>
      <c r="J13" s="30"/>
      <c r="K13" s="28"/>
      <c r="L13" s="30"/>
      <c r="M13" s="30"/>
      <c r="N13" s="30"/>
      <c r="O13" s="30"/>
      <c r="P13" s="30"/>
      <c r="Q13" s="30"/>
      <c r="R13" s="30"/>
      <c r="S13" s="30"/>
      <c r="T13" s="2021" t="s">
        <v>2065</v>
      </c>
      <c r="U13" s="2022"/>
      <c r="V13" s="2022"/>
      <c r="W13" s="2022"/>
      <c r="X13" s="2022"/>
      <c r="Y13" s="2023"/>
      <c r="Z13" s="2023"/>
      <c r="AA13" s="202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5" t="s">
        <v>2085</v>
      </c>
      <c r="B15" s="2019"/>
      <c r="C15" s="2019"/>
      <c r="D15" s="2019"/>
      <c r="E15" s="2019"/>
      <c r="F15" s="2019"/>
      <c r="G15" s="2019"/>
      <c r="H15" s="2020"/>
      <c r="T15" s="2025" t="s">
        <v>2066</v>
      </c>
      <c r="U15" s="1969"/>
      <c r="V15" s="1969"/>
      <c r="W15" s="1969"/>
      <c r="X15" s="1969"/>
      <c r="Y15" s="2026"/>
      <c r="Z15" s="2026"/>
      <c r="AA15" s="202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5" t="s">
        <v>2124</v>
      </c>
      <c r="B17" s="1976"/>
      <c r="C17" s="1976"/>
      <c r="D17" s="1976"/>
      <c r="E17" s="1976"/>
      <c r="F17" s="1976"/>
      <c r="G17" s="1976"/>
      <c r="H17" s="2001"/>
      <c r="T17" s="2032" t="s">
        <v>2067</v>
      </c>
      <c r="U17" s="2033"/>
      <c r="V17" s="2033"/>
      <c r="W17" s="2033"/>
      <c r="X17" s="2033"/>
      <c r="Y17" s="2033"/>
      <c r="Z17" s="2033"/>
      <c r="AA17" s="2034"/>
    </row>
    <row r="18" spans="1:27" ht="13.5" customHeight="1" x14ac:dyDescent="0.2">
      <c r="A18" s="85" t="s">
        <v>529</v>
      </c>
      <c r="B18" s="76"/>
      <c r="C18" s="72"/>
      <c r="D18" s="76"/>
      <c r="E18" s="76"/>
      <c r="F18" s="76"/>
      <c r="G18" s="76"/>
      <c r="H18" s="56"/>
      <c r="I18" s="2000" t="s">
        <v>675</v>
      </c>
      <c r="J18" s="1951"/>
      <c r="K18" s="1951"/>
      <c r="L18" s="1951"/>
      <c r="M18" s="1951"/>
      <c r="N18" s="1951"/>
      <c r="O18" s="1951"/>
      <c r="P18" s="1951"/>
      <c r="Q18" s="1951"/>
      <c r="R18" s="1951"/>
      <c r="S18" s="1952"/>
      <c r="T18" s="85" t="s">
        <v>710</v>
      </c>
      <c r="U18" s="51"/>
      <c r="V18" s="72"/>
      <c r="W18" s="50"/>
      <c r="X18" s="85" t="s">
        <v>265</v>
      </c>
      <c r="Y18" s="81"/>
      <c r="Z18" s="159" t="s">
        <v>676</v>
      </c>
      <c r="AA18" s="46"/>
    </row>
    <row r="19" spans="1:27" ht="13.5" customHeight="1" x14ac:dyDescent="0.2">
      <c r="A19" s="2015" t="s">
        <v>2086</v>
      </c>
      <c r="B19" s="1961"/>
      <c r="C19" s="1961"/>
      <c r="D19" s="1961"/>
      <c r="E19" s="1961"/>
      <c r="F19" s="1961"/>
      <c r="G19" s="1961"/>
      <c r="H19" s="1941"/>
      <c r="I19" s="30"/>
      <c r="J19" s="99"/>
      <c r="K19" s="40"/>
      <c r="L19" s="38"/>
      <c r="M19" s="112" t="s">
        <v>314</v>
      </c>
      <c r="P19" s="27"/>
      <c r="Q19" s="27"/>
      <c r="R19" s="27"/>
      <c r="S19" s="31"/>
      <c r="T19" s="2015" t="s">
        <v>2068</v>
      </c>
      <c r="U19" s="1940"/>
      <c r="V19" s="1940"/>
      <c r="W19" s="1941"/>
      <c r="X19" s="2030" t="s">
        <v>2069</v>
      </c>
      <c r="Y19" s="2031"/>
      <c r="Z19" s="2028">
        <v>62870</v>
      </c>
      <c r="AA19" s="202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39" t="s">
        <v>2087</v>
      </c>
      <c r="B21" s="1940"/>
      <c r="C21" s="1940"/>
      <c r="D21" s="1940"/>
      <c r="E21" s="1940"/>
      <c r="F21" s="1940"/>
      <c r="G21" s="1940"/>
      <c r="H21" s="1941"/>
      <c r="I21" s="1995" t="s">
        <v>677</v>
      </c>
      <c r="J21" s="1990"/>
      <c r="K21" s="1990"/>
      <c r="L21" s="1990"/>
      <c r="M21" s="1990"/>
      <c r="N21" s="1990"/>
      <c r="O21" s="1990"/>
      <c r="P21" s="1990"/>
      <c r="Q21" s="1990"/>
      <c r="R21" s="1990"/>
      <c r="S21" s="1996"/>
      <c r="T21" s="2039" t="s">
        <v>2070</v>
      </c>
      <c r="U21" s="2040"/>
      <c r="V21" s="2040"/>
      <c r="W21" s="2040"/>
      <c r="X21" s="2045" t="s">
        <v>2071</v>
      </c>
      <c r="Y21" s="2046"/>
      <c r="Z21" s="2046"/>
      <c r="AA21" s="2047"/>
    </row>
    <row r="22" spans="1:27" ht="13.5" customHeight="1" x14ac:dyDescent="0.2">
      <c r="A22" s="87" t="s">
        <v>530</v>
      </c>
      <c r="B22" s="59"/>
      <c r="C22" s="59"/>
      <c r="D22" s="59"/>
      <c r="E22" s="59"/>
      <c r="F22" s="59"/>
      <c r="G22" s="59"/>
      <c r="H22" s="60"/>
      <c r="I22" s="1997" t="s">
        <v>1428</v>
      </c>
      <c r="J22" s="1998"/>
      <c r="K22" s="1998"/>
      <c r="L22" s="1998"/>
      <c r="M22" s="1998"/>
      <c r="N22" s="1998"/>
      <c r="O22" s="1998"/>
      <c r="P22" s="1998"/>
      <c r="Q22" s="1998"/>
      <c r="R22" s="1998"/>
      <c r="S22" s="1999"/>
      <c r="T22" s="85" t="s">
        <v>1515</v>
      </c>
      <c r="U22" s="51"/>
      <c r="V22" s="72"/>
      <c r="W22" s="51"/>
      <c r="X22" s="160" t="s">
        <v>1317</v>
      </c>
      <c r="Z22" s="45"/>
      <c r="AA22" s="46"/>
    </row>
    <row r="23" spans="1:27" ht="13.5" customHeight="1" x14ac:dyDescent="0.2">
      <c r="A23" s="1992" t="s">
        <v>2088</v>
      </c>
      <c r="B23" s="1993"/>
      <c r="C23" s="1993"/>
      <c r="D23" s="1993"/>
      <c r="E23" s="1993"/>
      <c r="F23" s="1993"/>
      <c r="G23" s="1993"/>
      <c r="H23" s="1994"/>
      <c r="T23" s="1975" t="s">
        <v>2072</v>
      </c>
      <c r="U23" s="2038"/>
      <c r="V23" s="2038"/>
      <c r="W23" s="2038"/>
      <c r="X23" s="2042">
        <v>44530</v>
      </c>
      <c r="Y23" s="2043"/>
      <c r="Z23" s="2043"/>
      <c r="AA23" s="2044"/>
    </row>
    <row r="24" spans="1:27" ht="14.1" customHeight="1" x14ac:dyDescent="0.2">
      <c r="A24" s="88" t="s">
        <v>676</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530</v>
      </c>
      <c r="U24" s="106"/>
      <c r="V24" s="106"/>
      <c r="W24" s="106"/>
      <c r="X24" s="107"/>
      <c r="Y24" s="107"/>
      <c r="Z24" s="107"/>
      <c r="AA24" s="108"/>
    </row>
    <row r="25" spans="1:27" ht="14.1" customHeight="1" x14ac:dyDescent="0.2">
      <c r="A25" s="1939">
        <v>62889</v>
      </c>
      <c r="B25" s="1940"/>
      <c r="C25" s="1940"/>
      <c r="D25" s="1940"/>
      <c r="E25" s="1940"/>
      <c r="F25" s="1940"/>
      <c r="G25" s="1940"/>
      <c r="H25" s="1941"/>
      <c r="I25" s="113"/>
      <c r="J25" s="1964"/>
      <c r="K25" s="1964"/>
      <c r="L25" s="1964"/>
      <c r="M25" s="1964"/>
      <c r="N25" s="1964"/>
      <c r="O25" s="1964"/>
      <c r="P25" s="1964"/>
      <c r="Q25" s="1964"/>
      <c r="R25" s="1964"/>
      <c r="S25" s="1965"/>
      <c r="T25" s="2035" t="s">
        <v>2073</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0" t="s">
        <v>1510</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2064</v>
      </c>
      <c r="M29" s="40" t="s">
        <v>99</v>
      </c>
      <c r="N29" s="32" t="s">
        <v>1522</v>
      </c>
      <c r="O29" s="32"/>
      <c r="P29" s="32"/>
      <c r="Q29" s="32"/>
      <c r="R29" s="32"/>
      <c r="S29" s="123"/>
      <c r="T29" s="6"/>
      <c r="U29" s="6"/>
      <c r="V29" s="6"/>
      <c r="W29" s="6"/>
      <c r="X29" s="6"/>
      <c r="Y29" s="6"/>
      <c r="Z29" s="6"/>
      <c r="AA29" s="132"/>
    </row>
    <row r="30" spans="1:27" ht="13.5" customHeight="1" x14ac:dyDescent="0.2">
      <c r="A30" s="153"/>
      <c r="B30" s="136" t="s">
        <v>2064</v>
      </c>
      <c r="C30" s="124" t="s">
        <v>1163</v>
      </c>
      <c r="D30" s="28"/>
      <c r="E30" s="28"/>
      <c r="F30" s="140"/>
      <c r="G30" s="114"/>
      <c r="H30" s="114"/>
      <c r="I30" s="54"/>
      <c r="J30" s="102"/>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2064</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48" t="s">
        <v>2064</v>
      </c>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5" t="s">
        <v>2089</v>
      </c>
      <c r="B38" s="1976"/>
      <c r="C38" s="1976"/>
      <c r="D38" s="1976"/>
      <c r="E38" s="1976"/>
      <c r="F38" s="1940"/>
      <c r="G38" s="1940"/>
      <c r="H38" s="1941"/>
      <c r="I38" s="1968"/>
      <c r="J38" s="1969"/>
      <c r="K38" s="1969"/>
      <c r="L38" s="1969"/>
      <c r="M38" s="1969"/>
      <c r="N38" s="1969"/>
      <c r="O38" s="1969"/>
      <c r="P38" s="1970"/>
      <c r="Q38" s="1970"/>
      <c r="R38" s="1970"/>
      <c r="S38" s="1971"/>
      <c r="T38" s="2025" t="s">
        <v>2083</v>
      </c>
      <c r="U38" s="1969"/>
      <c r="V38" s="1969"/>
      <c r="W38" s="1969"/>
      <c r="X38" s="1970"/>
      <c r="Y38" s="1970"/>
      <c r="Z38" s="1970"/>
      <c r="AA38" s="1971"/>
    </row>
    <row r="39" spans="1:27" ht="12" customHeight="1" x14ac:dyDescent="0.2">
      <c r="A39" s="1945" t="s">
        <v>530</v>
      </c>
      <c r="B39" s="1946"/>
      <c r="C39" s="72"/>
      <c r="D39" s="69"/>
      <c r="E39" s="69"/>
      <c r="F39" s="79"/>
      <c r="G39" s="69"/>
      <c r="H39" s="56"/>
      <c r="I39" s="1945" t="s">
        <v>530</v>
      </c>
      <c r="J39" s="1946"/>
      <c r="K39" s="1946"/>
      <c r="L39" s="1946"/>
      <c r="M39" s="1946"/>
      <c r="N39" s="67"/>
      <c r="O39" s="72"/>
      <c r="P39" s="72"/>
      <c r="Q39" s="78"/>
      <c r="R39" s="72"/>
      <c r="S39" s="56"/>
      <c r="T39" s="72" t="s">
        <v>530</v>
      </c>
      <c r="U39" s="51"/>
      <c r="V39" s="72"/>
      <c r="W39" s="50"/>
      <c r="X39" s="78"/>
      <c r="Y39" s="45"/>
      <c r="Z39" s="45"/>
      <c r="AA39" s="46"/>
    </row>
    <row r="40" spans="1:27" ht="13.5" customHeight="1" x14ac:dyDescent="0.2">
      <c r="A40" s="1953" t="s">
        <v>2088</v>
      </c>
      <c r="B40" s="1954"/>
      <c r="C40" s="1955"/>
      <c r="D40" s="1955"/>
      <c r="E40" s="1955"/>
      <c r="F40" s="1956"/>
      <c r="G40" s="1956"/>
      <c r="H40" s="1957"/>
      <c r="I40" s="1978"/>
      <c r="J40" s="1979"/>
      <c r="K40" s="1979"/>
      <c r="L40" s="1979"/>
      <c r="M40" s="1979"/>
      <c r="N40" s="1979"/>
      <c r="O40" s="1979"/>
      <c r="P40" s="1979"/>
      <c r="Q40" s="1979"/>
      <c r="R40" s="1979"/>
      <c r="S40" s="1980"/>
      <c r="T40" s="1978" t="s">
        <v>2084</v>
      </c>
      <c r="U40" s="2041"/>
      <c r="V40" s="1979"/>
      <c r="W40" s="1979"/>
      <c r="X40" s="1979"/>
      <c r="Y40" s="1979"/>
      <c r="Z40" s="1979"/>
      <c r="AA40" s="198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7" t="s">
        <v>2090</v>
      </c>
      <c r="B42" s="1959"/>
      <c r="C42" s="1960"/>
      <c r="D42" s="1958" t="s">
        <v>2091</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31" sqref="B3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1" t="s">
        <v>1801</v>
      </c>
      <c r="B2" s="1528" t="s">
        <v>1948</v>
      </c>
      <c r="C2" s="714" t="s">
        <v>1949</v>
      </c>
      <c r="D2" s="714" t="s">
        <v>1950</v>
      </c>
      <c r="E2" s="714" t="s">
        <v>1951</v>
      </c>
      <c r="F2" s="714" t="s">
        <v>1952</v>
      </c>
    </row>
    <row r="3" spans="1:6" ht="12" customHeight="1" x14ac:dyDescent="0.2">
      <c r="A3" s="2182"/>
      <c r="B3" s="1525"/>
      <c r="C3" s="1526"/>
      <c r="D3" s="1527" t="s">
        <v>256</v>
      </c>
      <c r="E3" s="1526"/>
      <c r="F3" s="1527" t="s">
        <v>257</v>
      </c>
    </row>
    <row r="4" spans="1:6" ht="13.7" customHeight="1" x14ac:dyDescent="0.2">
      <c r="A4" s="715" t="s">
        <v>1154</v>
      </c>
      <c r="B4" s="1747">
        <f>'Revenues 9-14'!C5</f>
        <v>301377</v>
      </c>
      <c r="C4" s="1524"/>
      <c r="D4" s="1750">
        <f>B4-C4</f>
        <v>301377</v>
      </c>
      <c r="E4" s="1524">
        <v>317417</v>
      </c>
      <c r="F4" s="1750">
        <f>E4-C4</f>
        <v>317417</v>
      </c>
    </row>
    <row r="5" spans="1:6" ht="13.7" customHeight="1" x14ac:dyDescent="0.2">
      <c r="A5" s="715" t="s">
        <v>869</v>
      </c>
      <c r="B5" s="1748">
        <f>'Revenues 9-14'!D5</f>
        <v>61595</v>
      </c>
      <c r="C5" s="585"/>
      <c r="D5" s="1751">
        <f t="shared" ref="D5:D18" si="0">B5-C5</f>
        <v>61595</v>
      </c>
      <c r="E5" s="585">
        <v>64881</v>
      </c>
      <c r="F5" s="1751">
        <f>E5-C5</f>
        <v>64881</v>
      </c>
    </row>
    <row r="6" spans="1:6" ht="13.7" customHeight="1" x14ac:dyDescent="0.2">
      <c r="A6" s="715" t="s">
        <v>410</v>
      </c>
      <c r="B6" s="1748">
        <f>'Revenues 9-14'!E5</f>
        <v>15459</v>
      </c>
      <c r="C6" s="585"/>
      <c r="D6" s="1751">
        <f t="shared" si="0"/>
        <v>15459</v>
      </c>
      <c r="E6" s="585">
        <v>21101</v>
      </c>
      <c r="F6" s="1751">
        <f t="shared" ref="F6:F18" si="1">E6-C6</f>
        <v>21101</v>
      </c>
    </row>
    <row r="7" spans="1:6" ht="13.7" customHeight="1" x14ac:dyDescent="0.2">
      <c r="A7" s="715" t="s">
        <v>155</v>
      </c>
      <c r="B7" s="1748">
        <f>'Revenues 9-14'!F5</f>
        <v>66791</v>
      </c>
      <c r="C7" s="585"/>
      <c r="D7" s="1751">
        <f t="shared" si="0"/>
        <v>66791</v>
      </c>
      <c r="E7" s="585">
        <v>70354</v>
      </c>
      <c r="F7" s="1751">
        <f t="shared" si="1"/>
        <v>70354</v>
      </c>
    </row>
    <row r="8" spans="1:6" ht="13.7" customHeight="1" x14ac:dyDescent="0.2">
      <c r="A8" s="715" t="s">
        <v>1178</v>
      </c>
      <c r="B8" s="1748">
        <f>'Revenues 9-14'!G5</f>
        <v>19503</v>
      </c>
      <c r="C8" s="585"/>
      <c r="D8" s="1751">
        <f t="shared" si="0"/>
        <v>19503</v>
      </c>
      <c r="E8" s="585">
        <v>20346</v>
      </c>
      <c r="F8" s="1751">
        <f t="shared" si="1"/>
        <v>20346</v>
      </c>
    </row>
    <row r="9" spans="1:6" ht="13.7" customHeight="1" x14ac:dyDescent="0.2">
      <c r="A9" s="715" t="s">
        <v>407</v>
      </c>
      <c r="B9" s="1748">
        <f>'Revenues 9-14'!H5</f>
        <v>0</v>
      </c>
      <c r="C9" s="585"/>
      <c r="D9" s="1751">
        <f t="shared" si="0"/>
        <v>0</v>
      </c>
      <c r="E9" s="585"/>
      <c r="F9" s="1751">
        <f t="shared" si="1"/>
        <v>0</v>
      </c>
    </row>
    <row r="10" spans="1:6" ht="13.7" customHeight="1" x14ac:dyDescent="0.2">
      <c r="A10" s="715" t="s">
        <v>406</v>
      </c>
      <c r="B10" s="1748">
        <f>'Revenues 9-14'!I5</f>
        <v>11738</v>
      </c>
      <c r="C10" s="585"/>
      <c r="D10" s="1751">
        <f t="shared" si="0"/>
        <v>11738</v>
      </c>
      <c r="E10" s="585">
        <v>12245</v>
      </c>
      <c r="F10" s="1751">
        <f t="shared" si="1"/>
        <v>12245</v>
      </c>
    </row>
    <row r="11" spans="1:6" x14ac:dyDescent="0.2">
      <c r="A11" s="715" t="s">
        <v>408</v>
      </c>
      <c r="B11" s="1748">
        <f>'Revenues 9-14'!J5</f>
        <v>37109</v>
      </c>
      <c r="C11" s="585"/>
      <c r="D11" s="1751">
        <f t="shared" si="0"/>
        <v>37109</v>
      </c>
      <c r="E11" s="585">
        <v>38716</v>
      </c>
      <c r="F11" s="1751">
        <f t="shared" si="1"/>
        <v>38716</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935</v>
      </c>
      <c r="B13" s="1748">
        <f>SUM('Revenues 9-14'!C6:D6)</f>
        <v>0</v>
      </c>
      <c r="C13" s="585"/>
      <c r="D13" s="1751">
        <f t="shared" si="0"/>
        <v>0</v>
      </c>
      <c r="E13" s="585"/>
      <c r="F13" s="1751">
        <f t="shared" si="1"/>
        <v>0</v>
      </c>
    </row>
    <row r="14" spans="1:6" ht="13.7" customHeight="1" x14ac:dyDescent="0.2">
      <c r="A14" s="715" t="s">
        <v>409</v>
      </c>
      <c r="B14" s="1748">
        <f>SUM('Revenues 9-14'!C7:D7,'Revenues 9-14'!F7:H7)</f>
        <v>0</v>
      </c>
      <c r="C14" s="585"/>
      <c r="D14" s="1751">
        <f t="shared" si="0"/>
        <v>0</v>
      </c>
      <c r="E14" s="585"/>
      <c r="F14" s="1751">
        <f t="shared" si="1"/>
        <v>0</v>
      </c>
    </row>
    <row r="15" spans="1:6" ht="13.7" customHeight="1" x14ac:dyDescent="0.2">
      <c r="A15" s="715" t="s">
        <v>1157</v>
      </c>
      <c r="B15" s="1748">
        <f>SUM('Revenues 9-14'!D9:E9,'Revenues 9-14'!H9)</f>
        <v>0</v>
      </c>
      <c r="C15" s="585"/>
      <c r="D15" s="1751">
        <f t="shared" si="0"/>
        <v>0</v>
      </c>
      <c r="E15" s="585"/>
      <c r="F15" s="1751">
        <f t="shared" si="1"/>
        <v>0</v>
      </c>
    </row>
    <row r="16" spans="1:6" ht="13.7" customHeight="1" x14ac:dyDescent="0.2">
      <c r="A16" s="715" t="s">
        <v>1158</v>
      </c>
      <c r="B16" s="1748">
        <f>'Revenues 9-14'!G8</f>
        <v>36460</v>
      </c>
      <c r="C16" s="585"/>
      <c r="D16" s="1751">
        <f t="shared" si="0"/>
        <v>36460</v>
      </c>
      <c r="E16" s="585">
        <v>38041</v>
      </c>
      <c r="F16" s="1751">
        <f t="shared" si="1"/>
        <v>38041</v>
      </c>
    </row>
    <row r="17" spans="1:6" ht="13.7" customHeight="1" x14ac:dyDescent="0.2">
      <c r="A17" s="715" t="s">
        <v>1159</v>
      </c>
      <c r="B17" s="1748">
        <f>'Revenues 9-14'!C10</f>
        <v>0</v>
      </c>
      <c r="C17" s="585"/>
      <c r="D17" s="1751">
        <f t="shared" si="0"/>
        <v>0</v>
      </c>
      <c r="E17" s="585"/>
      <c r="F17" s="1751">
        <f t="shared" si="1"/>
        <v>0</v>
      </c>
    </row>
    <row r="18" spans="1:6" ht="13.7" customHeight="1" x14ac:dyDescent="0.2">
      <c r="A18" s="715" t="s">
        <v>761</v>
      </c>
      <c r="B18" s="1748">
        <f>SUM('Revenues 9-14'!C11:K11)</f>
        <v>0</v>
      </c>
      <c r="C18" s="585"/>
      <c r="D18" s="1751">
        <f t="shared" si="0"/>
        <v>0</v>
      </c>
      <c r="E18" s="585"/>
      <c r="F18" s="1751">
        <f t="shared" si="1"/>
        <v>0</v>
      </c>
    </row>
    <row r="19" spans="1:6" ht="13.7" customHeight="1" thickBot="1" x14ac:dyDescent="0.25">
      <c r="A19" s="1752" t="s">
        <v>1160</v>
      </c>
      <c r="B19" s="1749">
        <f>SUM(B4:B18)</f>
        <v>550032</v>
      </c>
      <c r="C19" s="1749">
        <f>SUM(C4:C18)</f>
        <v>0</v>
      </c>
      <c r="D19" s="1749">
        <f>SUM(D4:D18)</f>
        <v>550032</v>
      </c>
      <c r="E19" s="1749">
        <f>SUM(E4:E18)</f>
        <v>583101</v>
      </c>
      <c r="F19" s="1749">
        <f>SUM(F4:F18)</f>
        <v>583101</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B31" sqref="B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628</v>
      </c>
      <c r="B1" s="2201"/>
      <c r="C1" s="721"/>
    </row>
    <row r="2" spans="1:7" ht="33.75" x14ac:dyDescent="0.2">
      <c r="A2" s="2208" t="s">
        <v>1801</v>
      </c>
      <c r="B2" s="2209"/>
      <c r="C2" s="1881" t="s">
        <v>1953</v>
      </c>
      <c r="D2" s="723" t="s">
        <v>1954</v>
      </c>
      <c r="E2" s="723" t="s">
        <v>1955</v>
      </c>
      <c r="F2" s="1881" t="s">
        <v>1956</v>
      </c>
    </row>
    <row r="3" spans="1:7" ht="15.75" customHeight="1" x14ac:dyDescent="0.2">
      <c r="A3" s="2210" t="s">
        <v>1113</v>
      </c>
      <c r="B3" s="2211"/>
      <c r="C3" s="2204"/>
      <c r="D3" s="2205"/>
      <c r="E3" s="2205"/>
      <c r="F3" s="2206"/>
    </row>
    <row r="4" spans="1:7" ht="12.75" customHeight="1" thickBot="1" x14ac:dyDescent="0.25">
      <c r="A4" s="2198" t="s">
        <v>629</v>
      </c>
      <c r="B4" s="2199"/>
      <c r="C4" s="581"/>
      <c r="D4" s="581"/>
      <c r="E4" s="581"/>
      <c r="F4" s="1753">
        <f>SUM(C4+D4)-E4</f>
        <v>0</v>
      </c>
    </row>
    <row r="5" spans="1:7" ht="15.75" customHeight="1" thickTop="1" x14ac:dyDescent="0.2">
      <c r="A5" s="2202" t="s">
        <v>1109</v>
      </c>
      <c r="B5" s="2197"/>
      <c r="C5" s="2191"/>
      <c r="D5" s="2192"/>
      <c r="E5" s="2192"/>
      <c r="F5" s="2193"/>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507</v>
      </c>
      <c r="B8" s="725"/>
      <c r="C8" s="726"/>
      <c r="D8" s="585"/>
      <c r="E8" s="726"/>
      <c r="F8" s="1753">
        <f t="shared" si="0"/>
        <v>0</v>
      </c>
    </row>
    <row r="9" spans="1:7" ht="12.75" customHeight="1" thickTop="1" thickBot="1" x14ac:dyDescent="0.25">
      <c r="A9" s="724" t="s">
        <v>508</v>
      </c>
      <c r="B9" s="725"/>
      <c r="C9" s="726"/>
      <c r="D9" s="585"/>
      <c r="E9" s="726"/>
      <c r="F9" s="1753">
        <f t="shared" si="0"/>
        <v>0</v>
      </c>
    </row>
    <row r="10" spans="1:7" ht="12.75" customHeight="1" thickTop="1" thickBot="1" x14ac:dyDescent="0.25">
      <c r="A10" s="724" t="s">
        <v>509</v>
      </c>
      <c r="B10" s="725"/>
      <c r="C10" s="726"/>
      <c r="D10" s="585"/>
      <c r="E10" s="726"/>
      <c r="F10" s="1753">
        <f t="shared" si="0"/>
        <v>0</v>
      </c>
    </row>
    <row r="11" spans="1:7" ht="12.75" customHeight="1" thickTop="1" thickBot="1" x14ac:dyDescent="0.25">
      <c r="A11" s="724" t="s">
        <v>340</v>
      </c>
      <c r="B11" s="725"/>
      <c r="C11" s="726"/>
      <c r="D11" s="585"/>
      <c r="E11" s="726"/>
      <c r="F11" s="1753">
        <f t="shared" si="0"/>
        <v>0</v>
      </c>
    </row>
    <row r="12" spans="1:7" ht="12.75" customHeight="1" thickTop="1" thickBot="1" x14ac:dyDescent="0.25">
      <c r="A12" s="724" t="s">
        <v>1156</v>
      </c>
      <c r="B12" s="725"/>
      <c r="C12" s="726"/>
      <c r="D12" s="585"/>
      <c r="E12" s="726"/>
      <c r="F12" s="1753">
        <f t="shared" si="0"/>
        <v>0</v>
      </c>
    </row>
    <row r="13" spans="1:7" ht="12.75" customHeight="1" thickTop="1" thickBot="1" x14ac:dyDescent="0.25">
      <c r="A13" s="724" t="s">
        <v>387</v>
      </c>
      <c r="B13" s="725"/>
      <c r="C13" s="726"/>
      <c r="D13" s="585"/>
      <c r="E13" s="726"/>
      <c r="F13" s="1753">
        <f t="shared" si="0"/>
        <v>0</v>
      </c>
    </row>
    <row r="14" spans="1:7" ht="12.75" customHeight="1" thickTop="1" thickBot="1" x14ac:dyDescent="0.25">
      <c r="A14" s="724" t="s">
        <v>447</v>
      </c>
      <c r="B14" s="725"/>
      <c r="C14" s="726"/>
      <c r="D14" s="585"/>
      <c r="E14" s="726"/>
      <c r="F14" s="1753">
        <f t="shared" si="0"/>
        <v>0</v>
      </c>
    </row>
    <row r="15" spans="1:7" ht="14.25" thickTop="1" thickBot="1" x14ac:dyDescent="0.25">
      <c r="A15" s="2194" t="s">
        <v>630</v>
      </c>
      <c r="B15" s="2195"/>
      <c r="C15" s="1753">
        <f>SUM(C6:C14)</f>
        <v>0</v>
      </c>
      <c r="D15" s="1753">
        <f>SUM(D6:D14)</f>
        <v>0</v>
      </c>
      <c r="E15" s="1753">
        <f>SUM(E6:E14)</f>
        <v>0</v>
      </c>
      <c r="F15" s="1753">
        <f>SUM(F6:F14)</f>
        <v>0</v>
      </c>
      <c r="G15" s="552"/>
    </row>
    <row r="16" spans="1:7" s="202" customFormat="1" ht="15.75" customHeight="1" thickTop="1" x14ac:dyDescent="0.2">
      <c r="A16" s="2207" t="s">
        <v>1110</v>
      </c>
      <c r="B16" s="2197"/>
      <c r="C16" s="2191"/>
      <c r="D16" s="2192"/>
      <c r="E16" s="2192"/>
      <c r="F16" s="2193"/>
    </row>
    <row r="17" spans="1:11" ht="12.75" customHeight="1" thickBot="1" x14ac:dyDescent="0.25">
      <c r="A17" s="2189" t="s">
        <v>64</v>
      </c>
      <c r="B17" s="2190"/>
      <c r="C17" s="726"/>
      <c r="D17" s="585"/>
      <c r="E17" s="726"/>
      <c r="F17" s="1753">
        <f>SUM(C17+D17)-E17</f>
        <v>0</v>
      </c>
    </row>
    <row r="18" spans="1:11" ht="12.75" customHeight="1" thickTop="1" thickBot="1" x14ac:dyDescent="0.25">
      <c r="A18" s="2189" t="s">
        <v>6</v>
      </c>
      <c r="B18" s="2190"/>
      <c r="C18" s="726"/>
      <c r="D18" s="585"/>
      <c r="E18" s="726"/>
      <c r="F18" s="1753">
        <f>SUM(C18+D18)-E18</f>
        <v>0</v>
      </c>
    </row>
    <row r="19" spans="1:11" ht="12.75" customHeight="1" thickTop="1" thickBot="1" x14ac:dyDescent="0.25">
      <c r="A19" s="2189" t="s">
        <v>387</v>
      </c>
      <c r="B19" s="2190"/>
      <c r="C19" s="726"/>
      <c r="D19" s="585"/>
      <c r="E19" s="726"/>
      <c r="F19" s="1753">
        <f>SUM(C19+D19)-E19</f>
        <v>0</v>
      </c>
    </row>
    <row r="20" spans="1:11" ht="12.75" customHeight="1" thickTop="1" thickBot="1" x14ac:dyDescent="0.25">
      <c r="A20" s="2189" t="s">
        <v>447</v>
      </c>
      <c r="B20" s="2190"/>
      <c r="C20" s="726"/>
      <c r="D20" s="585"/>
      <c r="E20" s="726"/>
      <c r="F20" s="1753">
        <f>SUM(C20+D20)-E20</f>
        <v>0</v>
      </c>
    </row>
    <row r="21" spans="1:11" ht="14.25" thickTop="1" thickBot="1" x14ac:dyDescent="0.25">
      <c r="A21" s="2194" t="s">
        <v>631</v>
      </c>
      <c r="B21" s="2195"/>
      <c r="C21" s="1753">
        <f>SUM(C17:C20)</f>
        <v>0</v>
      </c>
      <c r="D21" s="1753">
        <f>SUM(D17:D20)</f>
        <v>0</v>
      </c>
      <c r="E21" s="1753">
        <f>SUM(E17:E20)</f>
        <v>0</v>
      </c>
      <c r="F21" s="1753">
        <f>SUM(F17:F20)</f>
        <v>0</v>
      </c>
      <c r="G21" s="552"/>
    </row>
    <row r="22" spans="1:11" ht="15.75" customHeight="1" thickTop="1" x14ac:dyDescent="0.2">
      <c r="A22" s="2196" t="s">
        <v>1111</v>
      </c>
      <c r="B22" s="2197"/>
      <c r="C22" s="2191"/>
      <c r="D22" s="2192"/>
      <c r="E22" s="2192"/>
      <c r="F22" s="2193"/>
    </row>
    <row r="23" spans="1:11" ht="13.5" thickBot="1" x14ac:dyDescent="0.25">
      <c r="A23" s="2198" t="s">
        <v>632</v>
      </c>
      <c r="B23" s="2199"/>
      <c r="C23" s="581"/>
      <c r="D23" s="581"/>
      <c r="E23" s="581"/>
      <c r="F23" s="1753">
        <f>SUM(C23+D23)-E23</f>
        <v>0</v>
      </c>
      <c r="G23" s="552"/>
    </row>
    <row r="24" spans="1:11" ht="15.75" customHeight="1" thickTop="1" x14ac:dyDescent="0.2">
      <c r="A24" s="2196" t="s">
        <v>1112</v>
      </c>
      <c r="B24" s="2197"/>
      <c r="C24" s="2191"/>
      <c r="D24" s="2192"/>
      <c r="E24" s="2192"/>
      <c r="F24" s="2193"/>
    </row>
    <row r="25" spans="1:11" ht="13.5" thickBot="1" x14ac:dyDescent="0.25">
      <c r="A25" s="2198" t="s">
        <v>633</v>
      </c>
      <c r="B25" s="2199"/>
      <c r="C25" s="581"/>
      <c r="D25" s="581"/>
      <c r="E25" s="581"/>
      <c r="F25" s="1753">
        <f>SUM(C25+D25)-E25</f>
        <v>0</v>
      </c>
      <c r="G25" s="552"/>
    </row>
    <row r="26" spans="1:11" ht="15.75" customHeight="1" thickTop="1" x14ac:dyDescent="0.2">
      <c r="A26" s="2202" t="s">
        <v>656</v>
      </c>
      <c r="B26" s="2197"/>
      <c r="C26" s="727"/>
      <c r="D26" s="727"/>
      <c r="E26" s="727"/>
      <c r="F26" s="728"/>
    </row>
    <row r="27" spans="1:11" ht="13.5" thickBot="1" x14ac:dyDescent="0.25">
      <c r="A27" s="2194" t="s">
        <v>1069</v>
      </c>
      <c r="B27" s="2195"/>
      <c r="C27" s="585"/>
      <c r="D27" s="585"/>
      <c r="E27" s="585"/>
      <c r="F27" s="1753">
        <f>SUM(C27+D27)-E27</f>
        <v>0</v>
      </c>
      <c r="G27" s="552"/>
    </row>
    <row r="28" spans="1:11" ht="7.5" customHeight="1" thickTop="1" x14ac:dyDescent="0.2">
      <c r="A28" s="593"/>
    </row>
    <row r="29" spans="1:11" ht="23.25" customHeight="1" x14ac:dyDescent="0.2">
      <c r="A29" s="2200" t="s">
        <v>581</v>
      </c>
      <c r="B29" s="2201"/>
      <c r="C29" s="729"/>
      <c r="D29" s="729"/>
      <c r="E29" s="729"/>
      <c r="F29" s="729"/>
      <c r="G29" s="729"/>
      <c r="H29" s="729"/>
      <c r="I29" s="729"/>
      <c r="J29" s="729"/>
    </row>
    <row r="30" spans="1:11" ht="33.75" x14ac:dyDescent="0.2">
      <c r="A30" s="1529" t="s">
        <v>1070</v>
      </c>
      <c r="B30" s="730" t="s">
        <v>1123</v>
      </c>
      <c r="C30" s="1882" t="s">
        <v>582</v>
      </c>
      <c r="D30" s="1882" t="s">
        <v>1672</v>
      </c>
      <c r="E30" s="1882" t="s">
        <v>1957</v>
      </c>
      <c r="F30" s="1882" t="s">
        <v>1958</v>
      </c>
      <c r="G30" s="1882" t="s">
        <v>1909</v>
      </c>
      <c r="H30" s="1882" t="s">
        <v>1959</v>
      </c>
      <c r="I30" s="1882" t="s">
        <v>1960</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2092</v>
      </c>
      <c r="B32" s="733">
        <v>41002</v>
      </c>
      <c r="C32" s="734">
        <v>172500</v>
      </c>
      <c r="D32" s="735">
        <v>3</v>
      </c>
      <c r="E32" s="734">
        <v>15300</v>
      </c>
      <c r="F32" s="734"/>
      <c r="G32" s="734"/>
      <c r="H32" s="734">
        <v>15300</v>
      </c>
      <c r="I32" s="1754">
        <f>((E32+F32)-H32)+G32</f>
        <v>0</v>
      </c>
      <c r="J32" s="734">
        <v>0</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2093</v>
      </c>
      <c r="B34" s="733">
        <v>43473</v>
      </c>
      <c r="C34" s="734">
        <v>39200</v>
      </c>
      <c r="D34" s="735">
        <v>4</v>
      </c>
      <c r="E34" s="734"/>
      <c r="F34" s="734">
        <v>39200</v>
      </c>
      <c r="G34" s="734"/>
      <c r="H34" s="734"/>
      <c r="I34" s="1754">
        <f t="shared" si="1"/>
        <v>39200</v>
      </c>
      <c r="J34" s="734">
        <v>37278</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t="s">
        <v>2095</v>
      </c>
      <c r="B36" s="733">
        <v>43340</v>
      </c>
      <c r="C36" s="734">
        <v>158816</v>
      </c>
      <c r="D36" s="735">
        <v>7</v>
      </c>
      <c r="E36" s="734"/>
      <c r="F36" s="734">
        <v>158816</v>
      </c>
      <c r="G36" s="734"/>
      <c r="H36" s="734">
        <v>24860</v>
      </c>
      <c r="I36" s="1754">
        <f t="shared" si="1"/>
        <v>133956</v>
      </c>
      <c r="J36" s="734">
        <v>133956</v>
      </c>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t="s">
        <v>2096</v>
      </c>
      <c r="B38" s="733">
        <v>43622</v>
      </c>
      <c r="C38" s="734">
        <v>48317</v>
      </c>
      <c r="D38" s="741">
        <v>8</v>
      </c>
      <c r="E38" s="742"/>
      <c r="F38" s="742">
        <v>48317</v>
      </c>
      <c r="G38" s="742"/>
      <c r="H38" s="742">
        <v>2022</v>
      </c>
      <c r="I38" s="1754">
        <f t="shared" si="1"/>
        <v>46295</v>
      </c>
      <c r="J38" s="743">
        <v>46295</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418833</v>
      </c>
      <c r="D49" s="745"/>
      <c r="E49" s="1754">
        <f t="shared" ref="E49:J49" si="2">SUM(E31:E48)</f>
        <v>15300</v>
      </c>
      <c r="F49" s="1754">
        <f t="shared" si="2"/>
        <v>246333</v>
      </c>
      <c r="G49" s="1754">
        <f t="shared" si="2"/>
        <v>0</v>
      </c>
      <c r="H49" s="1754">
        <f t="shared" si="2"/>
        <v>42182</v>
      </c>
      <c r="I49" s="1754">
        <f t="shared" si="2"/>
        <v>219451</v>
      </c>
      <c r="J49" s="1754">
        <f t="shared" si="2"/>
        <v>217529</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83" t="s">
        <v>583</v>
      </c>
      <c r="C52" s="2184"/>
      <c r="D52" s="2184"/>
      <c r="E52" s="749" t="s">
        <v>844</v>
      </c>
      <c r="F52" s="2185" t="s">
        <v>2094</v>
      </c>
      <c r="G52" s="2186"/>
      <c r="H52" s="736"/>
      <c r="I52" s="736"/>
      <c r="J52" s="746"/>
    </row>
    <row r="53" spans="1:11" ht="11.25" customHeight="1" x14ac:dyDescent="0.2">
      <c r="A53" s="750" t="s">
        <v>912</v>
      </c>
      <c r="B53" s="751" t="s">
        <v>950</v>
      </c>
      <c r="C53" s="746"/>
      <c r="D53" s="737"/>
      <c r="E53" s="749" t="s">
        <v>496</v>
      </c>
      <c r="F53" s="2187" t="s">
        <v>2097</v>
      </c>
      <c r="G53" s="2188"/>
      <c r="H53" s="736"/>
      <c r="I53" s="736"/>
      <c r="J53" s="746"/>
    </row>
    <row r="54" spans="1:11" ht="11.25" customHeight="1" x14ac:dyDescent="0.2">
      <c r="A54" s="752" t="s">
        <v>913</v>
      </c>
      <c r="B54" s="747" t="s">
        <v>951</v>
      </c>
      <c r="C54" s="746"/>
      <c r="D54" s="737"/>
      <c r="E54" s="749" t="s">
        <v>497</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31" sqref="B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855</v>
      </c>
      <c r="B1" s="2213"/>
      <c r="C1" s="2213"/>
      <c r="D1" s="2213"/>
      <c r="E1" s="2213"/>
      <c r="F1" s="2213"/>
      <c r="G1" s="2214"/>
      <c r="H1" s="1530"/>
      <c r="I1" s="760"/>
      <c r="J1" s="433"/>
    </row>
    <row r="2" spans="1:11" ht="26.25" x14ac:dyDescent="0.2">
      <c r="A2" s="2231" t="s">
        <v>1676</v>
      </c>
      <c r="B2" s="2232"/>
      <c r="C2" s="2232"/>
      <c r="D2" s="2232"/>
      <c r="E2" s="2233"/>
      <c r="F2" s="761" t="s">
        <v>903</v>
      </c>
      <c r="G2" s="762" t="s">
        <v>1673</v>
      </c>
      <c r="H2" s="762" t="s">
        <v>409</v>
      </c>
      <c r="I2" s="762" t="s">
        <v>1157</v>
      </c>
      <c r="J2" s="762" t="s">
        <v>1811</v>
      </c>
      <c r="K2" s="762" t="s">
        <v>138</v>
      </c>
    </row>
    <row r="3" spans="1:11" x14ac:dyDescent="0.2">
      <c r="A3" s="2234" t="s">
        <v>1961</v>
      </c>
      <c r="B3" s="2235"/>
      <c r="C3" s="2235"/>
      <c r="D3" s="2235"/>
      <c r="E3" s="2236"/>
      <c r="F3" s="763"/>
      <c r="G3" s="764"/>
      <c r="H3" s="764">
        <v>0</v>
      </c>
      <c r="I3" s="764">
        <v>0</v>
      </c>
      <c r="J3" s="765">
        <v>0</v>
      </c>
      <c r="K3" s="765">
        <v>0</v>
      </c>
    </row>
    <row r="4" spans="1:11" x14ac:dyDescent="0.2">
      <c r="A4" s="2237" t="s">
        <v>368</v>
      </c>
      <c r="B4" s="2238"/>
      <c r="C4" s="2238"/>
      <c r="D4" s="2238"/>
      <c r="E4" s="2184"/>
      <c r="F4" s="766"/>
      <c r="G4" s="767"/>
      <c r="H4" s="768"/>
      <c r="I4" s="767"/>
      <c r="J4" s="769"/>
      <c r="K4" s="769"/>
    </row>
    <row r="5" spans="1:11" x14ac:dyDescent="0.2">
      <c r="A5" s="2215" t="s">
        <v>1068</v>
      </c>
      <c r="B5" s="2216"/>
      <c r="C5" s="2216"/>
      <c r="D5" s="2216"/>
      <c r="E5" s="2217"/>
      <c r="F5" s="770" t="s">
        <v>847</v>
      </c>
      <c r="G5" s="771"/>
      <c r="H5" s="764"/>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15" t="s">
        <v>1812</v>
      </c>
      <c r="B10" s="2216"/>
      <c r="C10" s="2216"/>
      <c r="D10" s="2216"/>
      <c r="E10" s="2218"/>
      <c r="F10" s="783" t="s">
        <v>861</v>
      </c>
      <c r="G10" s="782"/>
      <c r="H10" s="784"/>
      <c r="I10" s="764"/>
      <c r="J10" s="765"/>
      <c r="K10" s="765"/>
    </row>
    <row r="11" spans="1:11" x14ac:dyDescent="0.2">
      <c r="A11" s="2215" t="s">
        <v>160</v>
      </c>
      <c r="B11" s="2216"/>
      <c r="C11" s="2216"/>
      <c r="D11" s="2216"/>
      <c r="E11" s="2217"/>
      <c r="F11" s="770" t="s">
        <v>851</v>
      </c>
      <c r="G11" s="771"/>
      <c r="H11" s="764"/>
      <c r="I11" s="764"/>
      <c r="J11" s="765"/>
      <c r="K11" s="773"/>
    </row>
    <row r="12" spans="1:11" ht="13.5" thickBot="1" x14ac:dyDescent="0.25">
      <c r="A12" s="2242" t="s">
        <v>904</v>
      </c>
      <c r="B12" s="2243"/>
      <c r="C12" s="2243"/>
      <c r="D12" s="2243"/>
      <c r="E12" s="2244"/>
      <c r="F12" s="1755"/>
      <c r="G12" s="1756">
        <f>SUM(G5:G11)</f>
        <v>0</v>
      </c>
      <c r="H12" s="1756">
        <f>SUM(H5:H11)</f>
        <v>0</v>
      </c>
      <c r="I12" s="1756">
        <f>SUM(I5:I11)</f>
        <v>0</v>
      </c>
      <c r="J12" s="1756">
        <f>SUM(J5:J11)</f>
        <v>0</v>
      </c>
      <c r="K12" s="1756">
        <f>SUM(K5:K11)</f>
        <v>0</v>
      </c>
    </row>
    <row r="13" spans="1:11" ht="13.5" thickTop="1" x14ac:dyDescent="0.2">
      <c r="A13" s="2239" t="s">
        <v>369</v>
      </c>
      <c r="B13" s="2240"/>
      <c r="C13" s="2240"/>
      <c r="D13" s="2240"/>
      <c r="E13" s="2241"/>
      <c r="F13" s="785"/>
      <c r="G13" s="786"/>
      <c r="H13" s="787"/>
      <c r="I13" s="788"/>
      <c r="J13" s="788"/>
      <c r="K13" s="788"/>
    </row>
    <row r="14" spans="1:11" x14ac:dyDescent="0.2">
      <c r="A14" s="2222" t="s">
        <v>455</v>
      </c>
      <c r="B14" s="2222"/>
      <c r="C14" s="2222"/>
      <c r="D14" s="2222"/>
      <c r="E14" s="2223"/>
      <c r="F14" s="789" t="s">
        <v>853</v>
      </c>
      <c r="G14" s="782"/>
      <c r="H14" s="764"/>
      <c r="I14" s="771"/>
      <c r="J14" s="773"/>
      <c r="K14" s="765"/>
    </row>
    <row r="15" spans="1:11" x14ac:dyDescent="0.2">
      <c r="A15" s="2216" t="s">
        <v>4</v>
      </c>
      <c r="B15" s="2216"/>
      <c r="C15" s="2216"/>
      <c r="D15" s="2216"/>
      <c r="E15" s="2217"/>
      <c r="F15" s="789" t="s">
        <v>854</v>
      </c>
      <c r="G15" s="771"/>
      <c r="H15" s="764"/>
      <c r="I15" s="764"/>
      <c r="J15" s="765"/>
      <c r="K15" s="765"/>
    </row>
    <row r="16" spans="1:11" x14ac:dyDescent="0.2">
      <c r="A16" s="2216" t="s">
        <v>297</v>
      </c>
      <c r="B16" s="2216"/>
      <c r="C16" s="2216"/>
      <c r="D16" s="2216"/>
      <c r="E16" s="2217"/>
      <c r="F16" s="789" t="s">
        <v>922</v>
      </c>
      <c r="G16" s="772"/>
      <c r="H16" s="767"/>
      <c r="I16" s="767"/>
      <c r="J16" s="769"/>
      <c r="K16" s="769"/>
    </row>
    <row r="17" spans="1:11" x14ac:dyDescent="0.2">
      <c r="A17" s="2247" t="s">
        <v>934</v>
      </c>
      <c r="B17" s="2247"/>
      <c r="C17" s="2247"/>
      <c r="D17" s="2247"/>
      <c r="E17" s="2248"/>
      <c r="F17" s="790"/>
      <c r="G17" s="791"/>
      <c r="H17" s="792"/>
      <c r="I17" s="792"/>
      <c r="J17" s="793"/>
      <c r="K17" s="794"/>
    </row>
    <row r="18" spans="1:11" x14ac:dyDescent="0.2">
      <c r="A18" s="2226" t="s">
        <v>367</v>
      </c>
      <c r="B18" s="2227"/>
      <c r="C18" s="2227"/>
      <c r="D18" s="2227"/>
      <c r="E18" s="2228"/>
      <c r="F18" s="789" t="s">
        <v>931</v>
      </c>
      <c r="G18" s="782"/>
      <c r="H18" s="782"/>
      <c r="I18" s="782"/>
      <c r="J18" s="765"/>
      <c r="K18" s="795"/>
    </row>
    <row r="19" spans="1:11" ht="21.75" customHeight="1" x14ac:dyDescent="0.2">
      <c r="A19" s="2224" t="s">
        <v>1808</v>
      </c>
      <c r="B19" s="2224"/>
      <c r="C19" s="2224"/>
      <c r="D19" s="2224"/>
      <c r="E19" s="2225"/>
      <c r="F19" s="789" t="s">
        <v>932</v>
      </c>
      <c r="G19" s="782"/>
      <c r="H19" s="782"/>
      <c r="I19" s="782"/>
      <c r="J19" s="765"/>
      <c r="K19" s="795"/>
    </row>
    <row r="20" spans="1:11" x14ac:dyDescent="0.2">
      <c r="A20" s="2226" t="s">
        <v>1813</v>
      </c>
      <c r="B20" s="2227"/>
      <c r="C20" s="2227"/>
      <c r="D20" s="2227"/>
      <c r="E20" s="2228"/>
      <c r="F20" s="789" t="s">
        <v>933</v>
      </c>
      <c r="G20" s="782"/>
      <c r="H20" s="782"/>
      <c r="I20" s="782"/>
      <c r="J20" s="765"/>
      <c r="K20" s="795"/>
    </row>
    <row r="21" spans="1:11" ht="13.5" thickBot="1" x14ac:dyDescent="0.25">
      <c r="A21" s="2245" t="s">
        <v>637</v>
      </c>
      <c r="B21" s="2245"/>
      <c r="C21" s="2245"/>
      <c r="D21" s="2245"/>
      <c r="E21" s="2245"/>
      <c r="F21" s="1757"/>
      <c r="G21" s="792"/>
      <c r="H21" s="796"/>
      <c r="I21" s="796"/>
      <c r="J21" s="1758">
        <f>SUM(J18:J20)</f>
        <v>0</v>
      </c>
      <c r="K21" s="793"/>
    </row>
    <row r="22" spans="1:11" ht="13.5" thickTop="1" x14ac:dyDescent="0.2">
      <c r="A22" s="2216" t="s">
        <v>1814</v>
      </c>
      <c r="B22" s="2216"/>
      <c r="C22" s="2216"/>
      <c r="D22" s="2216"/>
      <c r="E22" s="2217"/>
      <c r="F22" s="789" t="s">
        <v>861</v>
      </c>
      <c r="G22" s="782"/>
      <c r="H22" s="764"/>
      <c r="I22" s="764"/>
      <c r="J22" s="797"/>
      <c r="K22" s="765"/>
    </row>
    <row r="23" spans="1:11" ht="13.5" thickBot="1" x14ac:dyDescent="0.25">
      <c r="A23" s="2246" t="s">
        <v>905</v>
      </c>
      <c r="B23" s="2245"/>
      <c r="C23" s="2245"/>
      <c r="D23" s="2245"/>
      <c r="E23" s="2245"/>
      <c r="F23" s="1759"/>
      <c r="G23" s="1756">
        <f>SUM(G14:G16,G21,G22)</f>
        <v>0</v>
      </c>
      <c r="H23" s="1756">
        <f>SUM(H14:H16,H21,H22)</f>
        <v>0</v>
      </c>
      <c r="I23" s="1756">
        <f>SUM(I14:I16,I21,I22)</f>
        <v>0</v>
      </c>
      <c r="J23" s="1756">
        <f>SUM(J14:J16,J21,J22)</f>
        <v>0</v>
      </c>
      <c r="K23" s="1756">
        <f>SUM(K14:K16,K21,K22)</f>
        <v>0</v>
      </c>
    </row>
    <row r="24" spans="1:11" ht="14.25" thickTop="1" thickBot="1" x14ac:dyDescent="0.25">
      <c r="A24" s="2246" t="s">
        <v>1962</v>
      </c>
      <c r="B24" s="2245"/>
      <c r="C24" s="2245"/>
      <c r="D24" s="2245"/>
      <c r="E24" s="2245"/>
      <c r="F24" s="1760"/>
      <c r="G24" s="1761">
        <f>SUM(G3,G12)-G23</f>
        <v>0</v>
      </c>
      <c r="H24" s="1761">
        <f>SUM(H3,H12)-H23</f>
        <v>0</v>
      </c>
      <c r="I24" s="1761">
        <f>SUM(I3,I12)-I23</f>
        <v>0</v>
      </c>
      <c r="J24" s="1761">
        <f>SUM(J3,J12)-J23</f>
        <v>0</v>
      </c>
      <c r="K24" s="1761">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1908</v>
      </c>
      <c r="B28" s="1878"/>
      <c r="C28" s="1878"/>
      <c r="D28" s="1878"/>
      <c r="E28" s="187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19"/>
      <c r="I31" s="2220"/>
      <c r="J31" s="2220"/>
      <c r="K31" s="2220"/>
    </row>
    <row r="32" spans="1:11" x14ac:dyDescent="0.2">
      <c r="A32" s="809"/>
      <c r="B32" s="237"/>
      <c r="C32" s="237"/>
      <c r="D32" s="237"/>
      <c r="E32" s="805"/>
      <c r="F32" s="811" t="s">
        <v>539</v>
      </c>
      <c r="G32" s="764"/>
      <c r="H32" s="2221"/>
      <c r="I32" s="2220"/>
      <c r="J32" s="2220"/>
      <c r="K32" s="2220"/>
    </row>
    <row r="33" spans="1:11" ht="1.5" customHeight="1" x14ac:dyDescent="0.2">
      <c r="A33" s="812" t="s">
        <v>1168</v>
      </c>
      <c r="B33" s="364"/>
      <c r="C33" s="364"/>
      <c r="D33" s="364"/>
      <c r="E33" s="364"/>
      <c r="F33" s="364"/>
      <c r="G33" s="813"/>
      <c r="H33" s="2221"/>
      <c r="I33" s="2220"/>
      <c r="J33" s="2220"/>
      <c r="K33" s="2220"/>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6" t="s">
        <v>540</v>
      </c>
      <c r="B41" s="2229"/>
      <c r="C41" s="2229"/>
      <c r="D41" s="2229"/>
      <c r="E41" s="2229"/>
      <c r="F41" s="223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B31" sqref="B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1907</v>
      </c>
      <c r="B1" s="2252"/>
      <c r="C1" s="2253"/>
      <c r="D1" s="826"/>
      <c r="E1" s="827"/>
      <c r="F1" s="827"/>
      <c r="G1" s="828"/>
      <c r="H1" s="829"/>
      <c r="I1" s="830"/>
      <c r="J1" s="2249"/>
      <c r="K1" s="2250"/>
      <c r="L1" s="2250"/>
    </row>
    <row r="2" spans="1:14" ht="69.75" customHeight="1" x14ac:dyDescent="0.2">
      <c r="A2" s="831" t="s">
        <v>1677</v>
      </c>
      <c r="B2" s="832" t="s">
        <v>377</v>
      </c>
      <c r="C2" s="833" t="s">
        <v>1963</v>
      </c>
      <c r="D2" s="833" t="s">
        <v>1964</v>
      </c>
      <c r="E2" s="833" t="s">
        <v>1965</v>
      </c>
      <c r="F2" s="833" t="s">
        <v>1966</v>
      </c>
      <c r="G2" s="833" t="s">
        <v>604</v>
      </c>
      <c r="H2" s="833" t="s">
        <v>1967</v>
      </c>
      <c r="I2" s="833" t="s">
        <v>1968</v>
      </c>
      <c r="J2" s="833" t="s">
        <v>1969</v>
      </c>
      <c r="K2" s="833" t="s">
        <v>1970</v>
      </c>
      <c r="L2" s="833" t="s">
        <v>1971</v>
      </c>
      <c r="M2" s="834"/>
      <c r="N2" s="834"/>
    </row>
    <row r="3" spans="1:14" ht="13.5" thickBot="1" x14ac:dyDescent="0.25">
      <c r="A3" s="1629" t="s">
        <v>891</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39949</v>
      </c>
      <c r="D5" s="841"/>
      <c r="E5" s="841"/>
      <c r="F5" s="1758">
        <f>(C5+D5)-E5</f>
        <v>39949</v>
      </c>
      <c r="G5" s="837"/>
      <c r="H5" s="842"/>
      <c r="I5" s="842"/>
      <c r="J5" s="842"/>
      <c r="K5" s="793"/>
      <c r="L5" s="1767">
        <f>F5-K5</f>
        <v>39949</v>
      </c>
    </row>
    <row r="6" spans="1:14" ht="14.25" thickTop="1" thickBot="1" x14ac:dyDescent="0.25">
      <c r="A6" s="778" t="s">
        <v>1116</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3254830</v>
      </c>
      <c r="D8" s="844"/>
      <c r="E8" s="844"/>
      <c r="F8" s="1758">
        <f>(C8+D8)-E8</f>
        <v>3254830</v>
      </c>
      <c r="G8" s="843">
        <v>50</v>
      </c>
      <c r="H8" s="765">
        <v>1402670</v>
      </c>
      <c r="I8" s="765">
        <v>60934</v>
      </c>
      <c r="J8" s="765"/>
      <c r="K8" s="1767">
        <f>(H8+I8)-J8</f>
        <v>1463604</v>
      </c>
      <c r="L8" s="1767">
        <f>F8-K8</f>
        <v>1791226</v>
      </c>
    </row>
    <row r="9" spans="1:14" ht="14.25" thickTop="1" thickBot="1" x14ac:dyDescent="0.25">
      <c r="A9" s="778" t="s">
        <v>1118</v>
      </c>
      <c r="B9" s="840">
        <v>232</v>
      </c>
      <c r="C9" s="765"/>
      <c r="D9" s="765"/>
      <c r="E9" s="765"/>
      <c r="F9" s="1758">
        <f>(C9+D9)-E9</f>
        <v>0</v>
      </c>
      <c r="G9" s="843">
        <v>20</v>
      </c>
      <c r="H9" s="765"/>
      <c r="I9" s="765"/>
      <c r="J9" s="765"/>
      <c r="K9" s="1767">
        <f>(H9+I9)-J9</f>
        <v>0</v>
      </c>
      <c r="L9" s="1767">
        <f>F9-K9</f>
        <v>0</v>
      </c>
    </row>
    <row r="10" spans="1:14" ht="24" thickTop="1" thickBot="1" x14ac:dyDescent="0.25">
      <c r="A10" s="845" t="s">
        <v>1119</v>
      </c>
      <c r="B10" s="840">
        <v>240</v>
      </c>
      <c r="C10" s="846">
        <v>89995</v>
      </c>
      <c r="D10" s="846"/>
      <c r="E10" s="846"/>
      <c r="F10" s="1762">
        <f>(C10+D10)-E10</f>
        <v>89995</v>
      </c>
      <c r="G10" s="843">
        <v>20</v>
      </c>
      <c r="H10" s="847">
        <v>71162</v>
      </c>
      <c r="I10" s="847">
        <v>2790</v>
      </c>
      <c r="J10" s="847"/>
      <c r="K10" s="1767">
        <f>(H10+I10)-J10</f>
        <v>73952</v>
      </c>
      <c r="L10" s="1767">
        <f>F10-K10</f>
        <v>16043</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490713</v>
      </c>
      <c r="D12" s="844">
        <v>77548</v>
      </c>
      <c r="E12" s="844">
        <v>7544</v>
      </c>
      <c r="F12" s="1758">
        <f>(C12+D12)-E12</f>
        <v>560717</v>
      </c>
      <c r="G12" s="843">
        <v>10</v>
      </c>
      <c r="H12" s="765">
        <v>442286</v>
      </c>
      <c r="I12" s="765">
        <v>11595</v>
      </c>
      <c r="J12" s="765">
        <v>6682</v>
      </c>
      <c r="K12" s="1767">
        <f>(H12+I12)-J12</f>
        <v>447199</v>
      </c>
      <c r="L12" s="1767">
        <f>F12-K12</f>
        <v>113518</v>
      </c>
    </row>
    <row r="13" spans="1:14" ht="14.25" thickTop="1" thickBot="1" x14ac:dyDescent="0.25">
      <c r="A13" s="848" t="s">
        <v>1121</v>
      </c>
      <c r="B13" s="840">
        <v>252</v>
      </c>
      <c r="C13" s="844">
        <v>413533</v>
      </c>
      <c r="D13" s="844">
        <v>158816</v>
      </c>
      <c r="E13" s="844">
        <v>96134</v>
      </c>
      <c r="F13" s="1758">
        <f>(C13+D13)-E13</f>
        <v>476215</v>
      </c>
      <c r="G13" s="843">
        <v>5</v>
      </c>
      <c r="H13" s="765">
        <v>383811</v>
      </c>
      <c r="I13" s="765">
        <v>34011</v>
      </c>
      <c r="J13" s="765">
        <v>96134</v>
      </c>
      <c r="K13" s="1767">
        <f>(H13+I13)-J13</f>
        <v>321688</v>
      </c>
      <c r="L13" s="1767">
        <f>F13-K13</f>
        <v>154527</v>
      </c>
    </row>
    <row r="14" spans="1:14" ht="14.25" thickTop="1" thickBot="1" x14ac:dyDescent="0.25">
      <c r="A14" s="848" t="s">
        <v>1122</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527</v>
      </c>
      <c r="B15" s="1630">
        <v>260</v>
      </c>
      <c r="C15" s="844"/>
      <c r="D15" s="844"/>
      <c r="E15" s="844"/>
      <c r="F15" s="1758">
        <f>(C15+D15)-E15</f>
        <v>0</v>
      </c>
      <c r="G15" s="849" t="s">
        <v>861</v>
      </c>
      <c r="H15" s="781"/>
      <c r="I15" s="781"/>
      <c r="J15" s="781"/>
      <c r="K15" s="781"/>
      <c r="L15" s="1767">
        <f>F15-K15</f>
        <v>0</v>
      </c>
    </row>
    <row r="16" spans="1:14" ht="15" customHeight="1" thickTop="1" thickBot="1" x14ac:dyDescent="0.25">
      <c r="A16" s="1763" t="s">
        <v>642</v>
      </c>
      <c r="B16" s="1764">
        <v>200</v>
      </c>
      <c r="C16" s="1758">
        <f>SUM(C3,C5:C6,C8:C10,C12:C15)</f>
        <v>4289020</v>
      </c>
      <c r="D16" s="1758">
        <f>SUM(D3,D5:D6,D8:D10,D12:D15)</f>
        <v>236364</v>
      </c>
      <c r="E16" s="1758">
        <f>SUM(E3,E5:E6,E8:E10,E12:E15)</f>
        <v>103678</v>
      </c>
      <c r="F16" s="1758">
        <f>SUM(F3,F5:F6,F8:F10,F12:F15)</f>
        <v>4421706</v>
      </c>
      <c r="G16" s="843"/>
      <c r="H16" s="1758">
        <f>SUM(H3,H6,H8:H10,H12:H14,)</f>
        <v>2299929</v>
      </c>
      <c r="I16" s="1758">
        <f>SUM(I3,I6,I8:I10,I12:I14,)</f>
        <v>109330</v>
      </c>
      <c r="J16" s="1758">
        <f>SUM(J3,J6,J8:J10,J12:J14,)</f>
        <v>102816</v>
      </c>
      <c r="K16" s="1758">
        <f>(H16+I16)-J16</f>
        <v>2306443</v>
      </c>
      <c r="L16" s="1758">
        <f>F16-K16</f>
        <v>2115263</v>
      </c>
    </row>
    <row r="17" spans="1:12" ht="15" customHeight="1" thickTop="1" thickBot="1" x14ac:dyDescent="0.25">
      <c r="A17" s="1633" t="s">
        <v>290</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684</v>
      </c>
      <c r="B18" s="1766"/>
      <c r="C18" s="771"/>
      <c r="D18" s="771"/>
      <c r="E18" s="771"/>
      <c r="F18" s="850"/>
      <c r="G18" s="851"/>
      <c r="H18" s="773"/>
      <c r="I18" s="1758">
        <f>SUM(I16,I17)</f>
        <v>109330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57" activePane="bottomLeft" state="frozen"/>
      <selection activeCell="B31" sqref="B31"/>
      <selection pane="bottomLeft" activeCell="B31" sqref="B3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1972</v>
      </c>
      <c r="B1" s="2258"/>
      <c r="C1" s="2258"/>
      <c r="D1" s="2258"/>
      <c r="E1" s="2258"/>
      <c r="F1" s="2259"/>
      <c r="G1" s="855"/>
    </row>
    <row r="2" spans="1:7" ht="15" customHeight="1" thickBot="1" x14ac:dyDescent="0.25">
      <c r="A2" s="2260" t="s">
        <v>476</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3"/>
      <c r="B5" s="2264"/>
      <c r="C5" s="2264"/>
      <c r="D5" s="2264"/>
      <c r="E5" s="2264"/>
      <c r="F5" s="2264"/>
    </row>
    <row r="6" spans="1:7" ht="13.5" customHeight="1" thickBot="1" x14ac:dyDescent="0.25">
      <c r="A6" s="2254" t="s">
        <v>1103</v>
      </c>
      <c r="B6" s="2255"/>
      <c r="C6" s="2255"/>
      <c r="D6" s="2255"/>
      <c r="E6" s="2255"/>
      <c r="F6" s="2256"/>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5">
        <f>'Expenditures 15-22'!K114</f>
        <v>1948611</v>
      </c>
      <c r="G8" s="865"/>
    </row>
    <row r="9" spans="1:7" x14ac:dyDescent="0.2">
      <c r="A9" s="869" t="s">
        <v>459</v>
      </c>
      <c r="B9" s="870" t="s">
        <v>1875</v>
      </c>
      <c r="C9" s="871"/>
      <c r="D9" s="869" t="s">
        <v>500</v>
      </c>
      <c r="E9" s="868"/>
      <c r="F9" s="1906">
        <f>'Expenditures 15-22'!K151</f>
        <v>68650</v>
      </c>
      <c r="G9" s="872"/>
    </row>
    <row r="10" spans="1:7" x14ac:dyDescent="0.2">
      <c r="A10" s="869" t="s">
        <v>498</v>
      </c>
      <c r="B10" s="870" t="s">
        <v>1876</v>
      </c>
      <c r="C10" s="871"/>
      <c r="D10" s="869" t="s">
        <v>500</v>
      </c>
      <c r="E10" s="868"/>
      <c r="F10" s="1906">
        <f>'Expenditures 15-22'!K174</f>
        <v>18014</v>
      </c>
      <c r="G10" s="872"/>
    </row>
    <row r="11" spans="1:7" x14ac:dyDescent="0.2">
      <c r="A11" s="869" t="s">
        <v>460</v>
      </c>
      <c r="B11" s="870" t="s">
        <v>1877</v>
      </c>
      <c r="C11" s="871"/>
      <c r="D11" s="869" t="s">
        <v>500</v>
      </c>
      <c r="E11" s="868"/>
      <c r="F11" s="1906">
        <f>'Expenditures 15-22'!K210</f>
        <v>410547</v>
      </c>
      <c r="G11" s="872"/>
    </row>
    <row r="12" spans="1:7" x14ac:dyDescent="0.2">
      <c r="A12" s="869" t="s">
        <v>461</v>
      </c>
      <c r="B12" s="870" t="s">
        <v>1878</v>
      </c>
      <c r="C12" s="871"/>
      <c r="D12" s="869" t="s">
        <v>500</v>
      </c>
      <c r="E12" s="868"/>
      <c r="F12" s="1906">
        <f>'Expenditures 15-22'!K295</f>
        <v>71010</v>
      </c>
      <c r="G12" s="872"/>
    </row>
    <row r="13" spans="1:7" x14ac:dyDescent="0.2">
      <c r="A13" s="869" t="s">
        <v>106</v>
      </c>
      <c r="B13" s="870" t="s">
        <v>1879</v>
      </c>
      <c r="C13" s="871"/>
      <c r="D13" s="869" t="s">
        <v>500</v>
      </c>
      <c r="E13" s="868"/>
      <c r="F13" s="1906">
        <f>'Expenditures 15-22'!K342</f>
        <v>37423</v>
      </c>
      <c r="G13" s="873"/>
    </row>
    <row r="14" spans="1:7" ht="12" customHeight="1" thickBot="1" x14ac:dyDescent="0.25">
      <c r="A14" s="1768"/>
      <c r="B14" s="1769"/>
      <c r="C14" s="1770"/>
      <c r="D14" s="1771" t="s">
        <v>500</v>
      </c>
      <c r="E14" s="1772" t="s">
        <v>957</v>
      </c>
      <c r="F14" s="1773">
        <f>SUM(F8:F13)</f>
        <v>2554255</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7">
        <f>'Revenues 9-14'!F43</f>
        <v>0</v>
      </c>
      <c r="G18" s="865"/>
    </row>
    <row r="19" spans="1:7" x14ac:dyDescent="0.2">
      <c r="A19" s="869" t="s">
        <v>460</v>
      </c>
      <c r="B19" s="870" t="s">
        <v>1010</v>
      </c>
      <c r="C19" s="877">
        <f>'Revenues 9-14'!B47</f>
        <v>1421</v>
      </c>
      <c r="D19" s="878" t="str">
        <f>'Revenues 9-14'!A47</f>
        <v>Summer Sch - Transp. Fees from Pupils or Parents (In State)</v>
      </c>
      <c r="E19" s="879"/>
      <c r="F19" s="1908">
        <f>'Revenues 9-14'!F47</f>
        <v>0</v>
      </c>
      <c r="G19" s="865"/>
    </row>
    <row r="20" spans="1:7" x14ac:dyDescent="0.2">
      <c r="A20" s="869" t="s">
        <v>460</v>
      </c>
      <c r="B20" s="870" t="s">
        <v>1011</v>
      </c>
      <c r="C20" s="875">
        <f>'Revenues 9-14'!B48</f>
        <v>1422</v>
      </c>
      <c r="D20" s="876" t="str">
        <f>'Revenues 9-14'!A48</f>
        <v>Summer Sch - Transp. Fees from Other Districts (In State)</v>
      </c>
      <c r="E20" s="868"/>
      <c r="F20" s="1909">
        <f>'Revenues 9-14'!F48</f>
        <v>0</v>
      </c>
      <c r="G20" s="865"/>
    </row>
    <row r="21" spans="1:7" x14ac:dyDescent="0.2">
      <c r="A21" s="869" t="s">
        <v>460</v>
      </c>
      <c r="B21" s="870" t="s">
        <v>1012</v>
      </c>
      <c r="C21" s="877">
        <f>'Revenues 9-14'!B49</f>
        <v>1423</v>
      </c>
      <c r="D21" s="876" t="str">
        <f>'Revenues 9-14'!A49</f>
        <v>Summer Sch - Transp. Fees from Other Sources (In State)</v>
      </c>
      <c r="E21" s="868"/>
      <c r="F21" s="1910">
        <f>'Revenues 9-14'!F49</f>
        <v>0</v>
      </c>
      <c r="G21" s="865"/>
    </row>
    <row r="22" spans="1:7" x14ac:dyDescent="0.2">
      <c r="A22" s="869" t="s">
        <v>460</v>
      </c>
      <c r="B22" s="870" t="s">
        <v>1013</v>
      </c>
      <c r="C22" s="877">
        <f>'Revenues 9-14'!B50</f>
        <v>1424</v>
      </c>
      <c r="D22" s="876" t="str">
        <f>'Revenues 9-14'!A50</f>
        <v>Summer Sch - Transp. Fees from Other Sources (Out of State)</v>
      </c>
      <c r="E22" s="868"/>
      <c r="F22" s="1910">
        <f>'Revenues 9-14'!F50</f>
        <v>0</v>
      </c>
      <c r="G22" s="865"/>
    </row>
    <row r="23" spans="1:7" x14ac:dyDescent="0.2">
      <c r="A23" s="869" t="s">
        <v>460</v>
      </c>
      <c r="B23" s="870" t="s">
        <v>1014</v>
      </c>
      <c r="C23" s="875">
        <f>'Revenues 9-14'!B52</f>
        <v>1432</v>
      </c>
      <c r="D23" s="876" t="str">
        <f>'Revenues 9-14'!A52</f>
        <v>CTE - Transp Fees from Other Districts (In State)</v>
      </c>
      <c r="E23" s="868"/>
      <c r="F23" s="1910">
        <f>'Revenues 9-14'!F52</f>
        <v>0</v>
      </c>
      <c r="G23" s="865"/>
    </row>
    <row r="24" spans="1:7" x14ac:dyDescent="0.2">
      <c r="A24" s="869" t="s">
        <v>460</v>
      </c>
      <c r="B24" s="870" t="s">
        <v>1015</v>
      </c>
      <c r="C24" s="875">
        <f>'Revenues 9-14'!B56</f>
        <v>1442</v>
      </c>
      <c r="D24" s="876" t="str">
        <f>'Revenues 9-14'!A56</f>
        <v>Special Ed - Transp Fees from Other Districts (In State)</v>
      </c>
      <c r="E24" s="868"/>
      <c r="F24" s="1910">
        <f>'Revenues 9-14'!F56</f>
        <v>0</v>
      </c>
      <c r="G24" s="865"/>
    </row>
    <row r="25" spans="1:7" x14ac:dyDescent="0.2">
      <c r="A25" s="869" t="s">
        <v>460</v>
      </c>
      <c r="B25" s="870" t="s">
        <v>1016</v>
      </c>
      <c r="C25" s="875">
        <f>'Revenues 9-14'!B59</f>
        <v>1451</v>
      </c>
      <c r="D25" s="876" t="str">
        <f>'Revenues 9-14'!A59</f>
        <v>Adult - Transp Fees from Pupils or Parents (In State)</v>
      </c>
      <c r="E25" s="868"/>
      <c r="F25" s="1910">
        <f>'Revenues 9-14'!F59</f>
        <v>0</v>
      </c>
      <c r="G25" s="865"/>
    </row>
    <row r="26" spans="1:7" x14ac:dyDescent="0.2">
      <c r="A26" s="869" t="s">
        <v>460</v>
      </c>
      <c r="B26" s="870" t="s">
        <v>1017</v>
      </c>
      <c r="C26" s="875">
        <f>'Revenues 9-14'!B60</f>
        <v>1452</v>
      </c>
      <c r="D26" s="876" t="str">
        <f>'Revenues 9-14'!A60</f>
        <v>Adult - Transp Fees from Other Districts (In State)</v>
      </c>
      <c r="E26" s="868"/>
      <c r="F26" s="1910">
        <f>'Revenues 9-14'!F60</f>
        <v>0</v>
      </c>
      <c r="G26" s="865"/>
    </row>
    <row r="27" spans="1:7" x14ac:dyDescent="0.2">
      <c r="A27" s="869" t="s">
        <v>460</v>
      </c>
      <c r="B27" s="870" t="s">
        <v>1018</v>
      </c>
      <c r="C27" s="875">
        <f>'Revenues 9-14'!B61</f>
        <v>1453</v>
      </c>
      <c r="D27" s="876" t="str">
        <f>'Revenues 9-14'!A61</f>
        <v>Adult - Transp Fees from Other Sources (In State)</v>
      </c>
      <c r="E27" s="868"/>
      <c r="F27" s="1910">
        <f>'Revenues 9-14'!F61</f>
        <v>0</v>
      </c>
      <c r="G27" s="865"/>
    </row>
    <row r="28" spans="1:7" x14ac:dyDescent="0.2">
      <c r="A28" s="869" t="s">
        <v>460</v>
      </c>
      <c r="B28" s="870" t="s">
        <v>1019</v>
      </c>
      <c r="C28" s="875">
        <f>'Revenues 9-14'!B62</f>
        <v>1454</v>
      </c>
      <c r="D28" s="876" t="str">
        <f>'Revenues 9-14'!A62</f>
        <v>Adult - Transp Fees from Other Sources (Out of State)</v>
      </c>
      <c r="E28" s="868"/>
      <c r="F28" s="1910">
        <f>'Revenues 9-14'!F62</f>
        <v>0</v>
      </c>
      <c r="G28" s="865"/>
    </row>
    <row r="29" spans="1:7" x14ac:dyDescent="0.2">
      <c r="A29" s="869" t="s">
        <v>1096</v>
      </c>
      <c r="B29" s="870" t="s">
        <v>809</v>
      </c>
      <c r="C29" s="880">
        <f>'Revenues 9-14'!B149</f>
        <v>3410</v>
      </c>
      <c r="D29" s="881" t="str">
        <f>'Revenues 9-14'!A149</f>
        <v>Adult Ed (from ICCB)</v>
      </c>
      <c r="E29" s="868"/>
      <c r="F29" s="1910">
        <f>SUM('Revenues 9-14'!D149,'Revenues 9-14'!F149)</f>
        <v>0</v>
      </c>
      <c r="G29" s="865"/>
    </row>
    <row r="30" spans="1:7" x14ac:dyDescent="0.2">
      <c r="A30" s="869" t="s">
        <v>1096</v>
      </c>
      <c r="B30" s="870" t="s">
        <v>1996</v>
      </c>
      <c r="C30" s="880">
        <f>'Revenues 9-14'!B150</f>
        <v>3499</v>
      </c>
      <c r="D30" s="881" t="str">
        <f>'Revenues 9-14'!A150</f>
        <v>Adult Ed - Other (Describe &amp; Itemize)</v>
      </c>
      <c r="E30" s="868"/>
      <c r="F30" s="1911">
        <f>('Revenues 9-14'!D150+'Revenues 9-14'!F150)</f>
        <v>0</v>
      </c>
      <c r="G30" s="865"/>
    </row>
    <row r="31" spans="1:7" x14ac:dyDescent="0.2">
      <c r="A31" s="869" t="s">
        <v>1096</v>
      </c>
      <c r="B31" s="870" t="s">
        <v>1997</v>
      </c>
      <c r="C31" s="875">
        <f>'Revenues 9-14'!B211</f>
        <v>4600</v>
      </c>
      <c r="D31" s="883" t="str">
        <f>'Revenues 9-14'!A211</f>
        <v>Fed - Spec Education - Preschool Flow-Through</v>
      </c>
      <c r="E31" s="884"/>
      <c r="F31" s="1910">
        <f>SUM('Revenues 9-14'!D211,'Revenues 9-14'!F211)</f>
        <v>0</v>
      </c>
      <c r="G31" s="865"/>
    </row>
    <row r="32" spans="1:7" x14ac:dyDescent="0.2">
      <c r="A32" s="869" t="s">
        <v>1096</v>
      </c>
      <c r="B32" s="870" t="s">
        <v>1998</v>
      </c>
      <c r="C32" s="875">
        <f>'Revenues 9-14'!B212</f>
        <v>4605</v>
      </c>
      <c r="D32" s="885" t="str">
        <f>'Revenues 9-14'!A212</f>
        <v>Fed - Spec Education - Preschool Discretionary</v>
      </c>
      <c r="E32" s="884"/>
      <c r="F32" s="1910">
        <f>SUM('Revenues 9-14'!D212,'Revenues 9-14'!F212)</f>
        <v>0</v>
      </c>
      <c r="G32" s="865"/>
    </row>
    <row r="33" spans="1:7" x14ac:dyDescent="0.2">
      <c r="A33" s="869" t="s">
        <v>459</v>
      </c>
      <c r="B33" s="870" t="s">
        <v>1999</v>
      </c>
      <c r="C33" s="875">
        <f>'Revenues 9-14'!B222</f>
        <v>4810</v>
      </c>
      <c r="D33" s="883" t="str">
        <f>'Revenues 9-14'!A222</f>
        <v>Federal - Adult Education</v>
      </c>
      <c r="E33" s="868"/>
      <c r="F33" s="1910">
        <f>'Revenues 9-14'!D222</f>
        <v>0</v>
      </c>
      <c r="G33" s="865"/>
    </row>
    <row r="34" spans="1:7" x14ac:dyDescent="0.2">
      <c r="A34" s="869" t="s">
        <v>458</v>
      </c>
      <c r="B34" s="869" t="s">
        <v>1468</v>
      </c>
      <c r="C34" s="886" t="str">
        <f>'Expenditures 15-22'!B7</f>
        <v>1125</v>
      </c>
      <c r="D34" s="887" t="str">
        <f>'Expenditures 15-22'!A7</f>
        <v>Pre-K Programs</v>
      </c>
      <c r="E34" s="868"/>
      <c r="F34" s="1910">
        <f>'Expenditures 15-22'!K7-SUM('Expenditures 15-22'!G7,'Expenditures 15-22'!I7)</f>
        <v>25151</v>
      </c>
      <c r="G34" s="865"/>
    </row>
    <row r="35" spans="1:7" x14ac:dyDescent="0.2">
      <c r="A35" s="869" t="s">
        <v>458</v>
      </c>
      <c r="B35" s="869" t="s">
        <v>1469</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0">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0">
        <f>'Expenditures 15-22'!K20</f>
        <v>0</v>
      </c>
      <c r="G39" s="865"/>
    </row>
    <row r="40" spans="1:7" x14ac:dyDescent="0.2">
      <c r="A40" s="869" t="s">
        <v>458</v>
      </c>
      <c r="B40" s="869" t="s">
        <v>118</v>
      </c>
      <c r="C40" s="886" t="str">
        <f>'Expenditures 15-22'!B21</f>
        <v>1911</v>
      </c>
      <c r="D40" s="888" t="str">
        <f>'Expenditures 15-22'!A21</f>
        <v>Regular K-12 Programs - Private Tuition</v>
      </c>
      <c r="E40" s="868"/>
      <c r="F40" s="191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458</v>
      </c>
      <c r="B46" s="869" t="s">
        <v>124</v>
      </c>
      <c r="C46" s="886" t="str">
        <f>'Expenditures 15-22'!B27</f>
        <v>1917</v>
      </c>
      <c r="D46" s="888" t="str">
        <f>'Expenditures 15-22'!A27</f>
        <v>CTE Programs - Private Tuition</v>
      </c>
      <c r="E46" s="868"/>
      <c r="F46" s="191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458</v>
      </c>
      <c r="B49" s="869" t="s">
        <v>127</v>
      </c>
      <c r="C49" s="886" t="str">
        <f>'Expenditures 15-22'!B30</f>
        <v>1920</v>
      </c>
      <c r="D49" s="888" t="str">
        <f>'Expenditures 15-22'!A30</f>
        <v>Gifted Programs - Private Tuition</v>
      </c>
      <c r="E49" s="868"/>
      <c r="F49" s="1910">
        <f>'Expenditures 15-22'!K30</f>
        <v>0</v>
      </c>
      <c r="G49" s="865"/>
    </row>
    <row r="50" spans="1:7" x14ac:dyDescent="0.2">
      <c r="A50" s="869" t="s">
        <v>458</v>
      </c>
      <c r="B50" s="869" t="s">
        <v>128</v>
      </c>
      <c r="C50" s="886" t="str">
        <f>'Expenditures 15-22'!B31</f>
        <v>1921</v>
      </c>
      <c r="D50" s="888" t="str">
        <f>'Expenditures 15-22'!A31</f>
        <v>Bilingual Programs - Private Tuition</v>
      </c>
      <c r="E50" s="868"/>
      <c r="F50" s="191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0">
        <f>'Expenditures 15-22'!K32</f>
        <v>0</v>
      </c>
      <c r="G51" s="865"/>
    </row>
    <row r="52" spans="1:7" x14ac:dyDescent="0.2">
      <c r="A52" s="869" t="s">
        <v>458</v>
      </c>
      <c r="B52" s="869" t="s">
        <v>1473</v>
      </c>
      <c r="C52" s="889" t="str">
        <f>'Expenditures 15-22'!B75</f>
        <v>3000</v>
      </c>
      <c r="D52" s="888" t="s">
        <v>448</v>
      </c>
      <c r="E52" s="868"/>
      <c r="F52" s="1910">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0">
        <f>'Expenditures 15-22'!K102</f>
        <v>112878</v>
      </c>
      <c r="G53" s="865"/>
    </row>
    <row r="54" spans="1:7" x14ac:dyDescent="0.2">
      <c r="A54" s="869" t="s">
        <v>458</v>
      </c>
      <c r="B54" s="869" t="s">
        <v>1475</v>
      </c>
      <c r="C54" s="889" t="s">
        <v>981</v>
      </c>
      <c r="D54" s="885" t="s">
        <v>1094</v>
      </c>
      <c r="E54" s="868"/>
      <c r="F54" s="1910">
        <f>'Expenditures 15-22'!G114</f>
        <v>51237</v>
      </c>
      <c r="G54" s="865"/>
    </row>
    <row r="55" spans="1:7" x14ac:dyDescent="0.2">
      <c r="A55" s="869" t="s">
        <v>458</v>
      </c>
      <c r="B55" s="869" t="s">
        <v>1476</v>
      </c>
      <c r="C55" s="889" t="s">
        <v>981</v>
      </c>
      <c r="D55" s="885" t="s">
        <v>290</v>
      </c>
      <c r="E55" s="868"/>
      <c r="F55" s="1910">
        <f>'Expenditures 15-22'!I114</f>
        <v>0</v>
      </c>
      <c r="G55" s="865"/>
    </row>
    <row r="56" spans="1:7" x14ac:dyDescent="0.2">
      <c r="A56" s="869" t="s">
        <v>459</v>
      </c>
      <c r="B56" s="869" t="s">
        <v>1477</v>
      </c>
      <c r="C56" s="886" t="str">
        <f>'Expenditures 15-22'!B130</f>
        <v>3000</v>
      </c>
      <c r="D56" s="892" t="s">
        <v>448</v>
      </c>
      <c r="E56" s="868"/>
      <c r="F56" s="1910">
        <f>'Expenditures 15-22'!K130-SUM('Expenditures 15-22'!G130+'Expenditures 15-22'!I130)</f>
        <v>0</v>
      </c>
      <c r="G56" s="865"/>
    </row>
    <row r="57" spans="1:7" x14ac:dyDescent="0.2">
      <c r="A57" s="869" t="s">
        <v>459</v>
      </c>
      <c r="B57" s="869" t="s">
        <v>1880</v>
      </c>
      <c r="C57" s="889">
        <f>'Expenditures 15-22'!B139</f>
        <v>4000</v>
      </c>
      <c r="D57" s="887" t="str">
        <f>'Expenditures 15-22'!A139</f>
        <v>Total Payments to Other Govt Units</v>
      </c>
      <c r="E57" s="868"/>
      <c r="F57" s="1910">
        <f>'Expenditures 15-22'!K139</f>
        <v>0</v>
      </c>
      <c r="G57" s="865"/>
    </row>
    <row r="58" spans="1:7" x14ac:dyDescent="0.2">
      <c r="A58" s="869" t="s">
        <v>459</v>
      </c>
      <c r="B58" s="869" t="s">
        <v>1881</v>
      </c>
      <c r="C58" s="886" t="s">
        <v>981</v>
      </c>
      <c r="D58" s="885" t="s">
        <v>1094</v>
      </c>
      <c r="E58" s="868"/>
      <c r="F58" s="1912">
        <f>'Expenditures 15-22'!G151</f>
        <v>26311</v>
      </c>
      <c r="G58" s="865"/>
    </row>
    <row r="59" spans="1:7" x14ac:dyDescent="0.2">
      <c r="A59" s="893" t="s">
        <v>459</v>
      </c>
      <c r="B59" s="856" t="s">
        <v>1882</v>
      </c>
      <c r="C59" s="894" t="s">
        <v>981</v>
      </c>
      <c r="D59" s="856" t="s">
        <v>290</v>
      </c>
      <c r="F59" s="1913">
        <f>'Expenditures 15-22'!I151</f>
        <v>0</v>
      </c>
      <c r="G59" s="865"/>
    </row>
    <row r="60" spans="1:7" x14ac:dyDescent="0.2">
      <c r="A60" s="893" t="s">
        <v>498</v>
      </c>
      <c r="B60" s="856" t="s">
        <v>1883</v>
      </c>
      <c r="C60" s="894">
        <v>4000</v>
      </c>
      <c r="D60" s="856" t="s">
        <v>311</v>
      </c>
      <c r="F60" s="1911">
        <f>'Expenditures 15-22'!K160</f>
        <v>0</v>
      </c>
      <c r="G60" s="865"/>
    </row>
    <row r="61" spans="1:7" x14ac:dyDescent="0.2">
      <c r="A61" s="895" t="s">
        <v>498</v>
      </c>
      <c r="B61" s="895" t="s">
        <v>1884</v>
      </c>
      <c r="C61" s="896" t="str">
        <f>'Expenditures 15-22'!B170</f>
        <v>5300</v>
      </c>
      <c r="D61" s="897" t="s">
        <v>310</v>
      </c>
      <c r="E61" s="879"/>
      <c r="F61" s="1910">
        <f>'Expenditures 15-22'!K170</f>
        <v>17322</v>
      </c>
      <c r="G61" s="865"/>
    </row>
    <row r="62" spans="1:7" x14ac:dyDescent="0.2">
      <c r="A62" s="869" t="s">
        <v>460</v>
      </c>
      <c r="B62" s="869" t="s">
        <v>1885</v>
      </c>
      <c r="C62" s="886">
        <f>'Expenditures 15-22'!B185</f>
        <v>3000</v>
      </c>
      <c r="D62" s="876" t="s">
        <v>448</v>
      </c>
      <c r="E62" s="868"/>
      <c r="F62" s="1910">
        <f>'Expenditures 15-22'!K185-SUM('Expenditures 15-22'!G185,'Expenditures 15-22'!I185)</f>
        <v>0</v>
      </c>
      <c r="G62" s="865"/>
    </row>
    <row r="63" spans="1:7" x14ac:dyDescent="0.2">
      <c r="A63" s="869" t="s">
        <v>460</v>
      </c>
      <c r="B63" s="869" t="s">
        <v>1886</v>
      </c>
      <c r="C63" s="886" t="str">
        <f>'Expenditures 15-22'!B196</f>
        <v>4000</v>
      </c>
      <c r="D63" s="887" t="str">
        <f>'Expenditures 15-22'!A196</f>
        <v>Total Payments to Other Govt Units</v>
      </c>
      <c r="E63" s="868"/>
      <c r="F63" s="1910">
        <f>'Expenditures 15-22'!K196</f>
        <v>0</v>
      </c>
      <c r="G63" s="865"/>
    </row>
    <row r="64" spans="1:7" x14ac:dyDescent="0.2">
      <c r="A64" s="895" t="s">
        <v>460</v>
      </c>
      <c r="B64" s="895" t="s">
        <v>1887</v>
      </c>
      <c r="C64" s="896" t="str">
        <f>'Expenditures 15-22'!B206</f>
        <v>5300</v>
      </c>
      <c r="D64" s="892" t="s">
        <v>310</v>
      </c>
      <c r="E64" s="868"/>
      <c r="F64" s="1910">
        <f>'Expenditures 15-22'!K206</f>
        <v>24860</v>
      </c>
      <c r="G64" s="865"/>
    </row>
    <row r="65" spans="1:8" x14ac:dyDescent="0.2">
      <c r="A65" s="869" t="s">
        <v>460</v>
      </c>
      <c r="B65" s="869" t="s">
        <v>1888</v>
      </c>
      <c r="C65" s="886" t="s">
        <v>981</v>
      </c>
      <c r="D65" s="885" t="s">
        <v>1094</v>
      </c>
      <c r="E65" s="868"/>
      <c r="F65" s="1910">
        <f>'Expenditures 15-22'!G210</f>
        <v>158816</v>
      </c>
      <c r="G65" s="865"/>
    </row>
    <row r="66" spans="1:8" x14ac:dyDescent="0.2">
      <c r="A66" s="869" t="s">
        <v>460</v>
      </c>
      <c r="B66" s="869" t="s">
        <v>1889</v>
      </c>
      <c r="C66" s="886" t="s">
        <v>981</v>
      </c>
      <c r="D66" s="885" t="s">
        <v>290</v>
      </c>
      <c r="E66" s="868"/>
      <c r="F66" s="1910">
        <f>'Expenditures 15-22'!I210</f>
        <v>0</v>
      </c>
      <c r="G66" s="865"/>
    </row>
    <row r="67" spans="1:8" x14ac:dyDescent="0.2">
      <c r="A67" s="869" t="s">
        <v>461</v>
      </c>
      <c r="B67" s="869" t="s">
        <v>1890</v>
      </c>
      <c r="C67" s="886" t="str">
        <f>'Expenditures 15-22'!B216</f>
        <v>1125</v>
      </c>
      <c r="D67" s="892" t="str">
        <f>'Expenditures 15-22'!A216</f>
        <v>Pre-K Programs</v>
      </c>
      <c r="E67" s="868"/>
      <c r="F67" s="1910">
        <f>'Expenditures 15-22'!K216</f>
        <v>326</v>
      </c>
      <c r="G67" s="865"/>
    </row>
    <row r="68" spans="1:8" x14ac:dyDescent="0.2">
      <c r="A68" s="869" t="s">
        <v>461</v>
      </c>
      <c r="B68" s="869" t="s">
        <v>1478</v>
      </c>
      <c r="C68" s="886" t="str">
        <f>'Expenditures 15-22'!B218</f>
        <v>1225</v>
      </c>
      <c r="D68" s="892" t="str">
        <f>'Expenditures 15-22'!A218</f>
        <v>Special Education Programs - Pre-K</v>
      </c>
      <c r="E68" s="868"/>
      <c r="F68" s="1910">
        <f>'Expenditures 15-22'!K218</f>
        <v>0</v>
      </c>
      <c r="G68" s="865"/>
    </row>
    <row r="69" spans="1:8" x14ac:dyDescent="0.2">
      <c r="A69" s="869" t="s">
        <v>461</v>
      </c>
      <c r="B69" s="869" t="s">
        <v>1891</v>
      </c>
      <c r="C69" s="886" t="str">
        <f>'Expenditures 15-22'!B220</f>
        <v>1275</v>
      </c>
      <c r="D69" s="892" t="str">
        <f>'Expenditures 15-22'!A220</f>
        <v>Remedial and Supplemental Programs - Pre-K</v>
      </c>
      <c r="E69" s="868"/>
      <c r="F69" s="1910">
        <f>'Expenditures 15-22'!K220</f>
        <v>0</v>
      </c>
      <c r="G69" s="865"/>
    </row>
    <row r="70" spans="1:8" x14ac:dyDescent="0.2">
      <c r="A70" s="869" t="s">
        <v>461</v>
      </c>
      <c r="B70" s="869" t="s">
        <v>1892</v>
      </c>
      <c r="C70" s="886">
        <f>'Expenditures 15-22'!B221</f>
        <v>1300</v>
      </c>
      <c r="D70" s="887" t="str">
        <f>'Expenditures 15-22'!A221</f>
        <v>Adult/Continuing Education Programs</v>
      </c>
      <c r="E70" s="868"/>
      <c r="F70" s="1910">
        <f>'Expenditures 15-22'!K221</f>
        <v>0</v>
      </c>
      <c r="G70" s="865"/>
    </row>
    <row r="71" spans="1:8" x14ac:dyDescent="0.2">
      <c r="A71" s="869" t="s">
        <v>461</v>
      </c>
      <c r="B71" s="869" t="s">
        <v>1893</v>
      </c>
      <c r="C71" s="886">
        <f>'Expenditures 15-22'!B224</f>
        <v>1600</v>
      </c>
      <c r="D71" s="887" t="str">
        <f>'Expenditures 15-22'!A224</f>
        <v>Summer School Programs</v>
      </c>
      <c r="E71" s="868"/>
      <c r="F71" s="1910">
        <f>'Expenditures 15-22'!K224</f>
        <v>0</v>
      </c>
      <c r="G71" s="865"/>
    </row>
    <row r="72" spans="1:8" x14ac:dyDescent="0.2">
      <c r="A72" s="869" t="s">
        <v>461</v>
      </c>
      <c r="B72" s="869" t="s">
        <v>1894</v>
      </c>
      <c r="C72" s="886">
        <f>'Expenditures 15-22'!B280</f>
        <v>3000</v>
      </c>
      <c r="D72" s="876" t="s">
        <v>448</v>
      </c>
      <c r="E72" s="868"/>
      <c r="F72" s="1910">
        <f>'Expenditures 15-22'!K280</f>
        <v>0</v>
      </c>
      <c r="G72" s="865"/>
    </row>
    <row r="73" spans="1:8" x14ac:dyDescent="0.2">
      <c r="A73" s="869" t="s">
        <v>461</v>
      </c>
      <c r="B73" s="869" t="s">
        <v>1895</v>
      </c>
      <c r="C73" s="886" t="str">
        <f>'Expenditures 15-22'!B285</f>
        <v>4000</v>
      </c>
      <c r="D73" s="887" t="str">
        <f>'Expenditures 15-22'!A285</f>
        <v>Total Payments to Other Govt Units</v>
      </c>
      <c r="E73" s="868"/>
      <c r="F73" s="1910">
        <f>'Expenditures 15-22'!K285</f>
        <v>0</v>
      </c>
      <c r="G73" s="865"/>
    </row>
    <row r="74" spans="1:8" x14ac:dyDescent="0.2">
      <c r="A74" s="869" t="s">
        <v>435</v>
      </c>
      <c r="B74" s="869" t="s">
        <v>1896</v>
      </c>
      <c r="C74" s="886" t="s">
        <v>859</v>
      </c>
      <c r="D74" s="887" t="s">
        <v>1486</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1897</v>
      </c>
      <c r="E76" s="1772" t="s">
        <v>957</v>
      </c>
      <c r="F76" s="1776">
        <f>SUM(F18:F74)</f>
        <v>416901</v>
      </c>
      <c r="G76" s="865"/>
    </row>
    <row r="77" spans="1:8" s="893" customFormat="1" ht="12" customHeight="1" thickTop="1" thickBot="1" x14ac:dyDescent="0.25">
      <c r="A77" s="1777"/>
      <c r="B77" s="1774"/>
      <c r="C77" s="1770"/>
      <c r="D77" s="1775" t="s">
        <v>1898</v>
      </c>
      <c r="E77" s="1772"/>
      <c r="F77" s="1778">
        <f>(F14-F76)</f>
        <v>2137354</v>
      </c>
      <c r="G77" s="869"/>
    </row>
    <row r="78" spans="1:8" s="893" customFormat="1" ht="12" customHeight="1" thickTop="1" x14ac:dyDescent="0.2">
      <c r="A78" s="1779"/>
      <c r="B78" s="1774"/>
      <c r="C78" s="1770"/>
      <c r="D78" s="1775" t="s">
        <v>2059</v>
      </c>
      <c r="E78" s="1772"/>
      <c r="F78" s="898">
        <v>211.9</v>
      </c>
      <c r="G78" s="899"/>
      <c r="H78" s="869"/>
    </row>
    <row r="79" spans="1:8" s="893" customFormat="1" ht="12" customHeight="1" thickBot="1" x14ac:dyDescent="0.25">
      <c r="A79" s="1780"/>
      <c r="B79" s="1774"/>
      <c r="C79" s="1770"/>
      <c r="D79" s="1775" t="s">
        <v>1899</v>
      </c>
      <c r="E79" s="1772" t="s">
        <v>957</v>
      </c>
      <c r="F79" s="1781">
        <f>IF(F78&gt;0,F77/F78," Complete Line 78")</f>
        <v>10086.616328456819</v>
      </c>
      <c r="G79" s="869"/>
    </row>
    <row r="80" spans="1:8" s="893" customFormat="1" ht="8.25" customHeight="1" thickTop="1" x14ac:dyDescent="0.2">
      <c r="A80" s="900"/>
      <c r="B80" s="869"/>
      <c r="C80" s="871"/>
      <c r="D80" s="901"/>
      <c r="E80" s="868"/>
      <c r="F80" s="902"/>
      <c r="G80" s="869"/>
    </row>
    <row r="81" spans="1:7" s="893" customFormat="1" ht="12" thickBot="1" x14ac:dyDescent="0.25">
      <c r="A81" s="2254" t="s">
        <v>1104</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4">
        <f>'Revenues 9-14'!F42</f>
        <v>0</v>
      </c>
      <c r="G84" s="912"/>
    </row>
    <row r="85" spans="1:7" x14ac:dyDescent="0.2">
      <c r="A85" s="908" t="s">
        <v>460</v>
      </c>
      <c r="B85" s="908" t="s">
        <v>183</v>
      </c>
      <c r="C85" s="913">
        <f>'Revenues 9-14'!B44</f>
        <v>1413</v>
      </c>
      <c r="D85" s="911" t="str">
        <f>'Revenues 9-14'!A44</f>
        <v>Regular - Transp Fees from Other Sources (In State)</v>
      </c>
      <c r="E85" s="906"/>
      <c r="F85" s="1787">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460</v>
      </c>
      <c r="B87" s="908" t="s">
        <v>167</v>
      </c>
      <c r="C87" s="910">
        <v>1416</v>
      </c>
      <c r="D87" s="911" t="str">
        <f>'Revenues 9-14'!A46</f>
        <v>Regular Transp Fees from Other Sources (Out of State)</v>
      </c>
      <c r="E87" s="906"/>
      <c r="F87" s="1787">
        <f>'Revenues 9-14'!F46</f>
        <v>0</v>
      </c>
      <c r="G87" s="914"/>
    </row>
    <row r="88" spans="1:7" x14ac:dyDescent="0.2">
      <c r="A88" s="908" t="s">
        <v>460</v>
      </c>
      <c r="B88" s="908" t="s">
        <v>168</v>
      </c>
      <c r="C88" s="910">
        <f>'Revenues 9-14'!B51</f>
        <v>1431</v>
      </c>
      <c r="D88" s="911" t="str">
        <f>'Revenues 9-14'!A51</f>
        <v>CTE - Transp Fees from Pupils or Parents (In State)</v>
      </c>
      <c r="E88" s="906"/>
      <c r="F88" s="1787">
        <f>'Revenues 9-14'!F51</f>
        <v>0</v>
      </c>
      <c r="G88" s="914"/>
    </row>
    <row r="89" spans="1:7" x14ac:dyDescent="0.2">
      <c r="A89" s="908" t="s">
        <v>460</v>
      </c>
      <c r="B89" s="908" t="s">
        <v>169</v>
      </c>
      <c r="C89" s="910">
        <f>'Revenues 9-14'!B53</f>
        <v>1433</v>
      </c>
      <c r="D89" s="911" t="str">
        <f>'Revenues 9-14'!A53</f>
        <v>CTE - Transp Fees from Other Sources (In State)</v>
      </c>
      <c r="E89" s="906"/>
      <c r="F89" s="1787">
        <f>'Revenues 9-14'!F53</f>
        <v>0</v>
      </c>
      <c r="G89" s="914"/>
    </row>
    <row r="90" spans="1:7" x14ac:dyDescent="0.2">
      <c r="A90" s="908" t="s">
        <v>460</v>
      </c>
      <c r="B90" s="908" t="s">
        <v>170</v>
      </c>
      <c r="C90" s="910">
        <f>'Revenues 9-14'!B54</f>
        <v>1434</v>
      </c>
      <c r="D90" s="911" t="str">
        <f>'Revenues 9-14'!A54</f>
        <v>CTE - Transp Fees from Other Sources (Out of State)</v>
      </c>
      <c r="E90" s="906"/>
      <c r="F90" s="1787">
        <f>'Revenues 9-14'!F54</f>
        <v>0</v>
      </c>
      <c r="G90" s="914"/>
    </row>
    <row r="91" spans="1:7" x14ac:dyDescent="0.2">
      <c r="A91" s="908" t="s">
        <v>460</v>
      </c>
      <c r="B91" s="908" t="s">
        <v>171</v>
      </c>
      <c r="C91" s="915">
        <f>'Revenues 9-14'!B55</f>
        <v>1441</v>
      </c>
      <c r="D91" s="911" t="str">
        <f>'Revenues 9-14'!A55</f>
        <v>Special Ed - Transp Fees from Pupils or Parents (In State)</v>
      </c>
      <c r="E91" s="906"/>
      <c r="F91" s="1787">
        <f>'Revenues 9-14'!F55</f>
        <v>0</v>
      </c>
      <c r="G91" s="914"/>
    </row>
    <row r="92" spans="1:7" x14ac:dyDescent="0.2">
      <c r="A92" s="908" t="s">
        <v>460</v>
      </c>
      <c r="B92" s="908" t="s">
        <v>172</v>
      </c>
      <c r="C92" s="910">
        <f>'Revenues 9-14'!B57</f>
        <v>1443</v>
      </c>
      <c r="D92" s="911" t="str">
        <f>'Revenues 9-14'!A57</f>
        <v>Special Ed - Transp Fees from Other Sources (In State)</v>
      </c>
      <c r="E92" s="906"/>
      <c r="F92" s="1787">
        <f>'Revenues 9-14'!F57</f>
        <v>0</v>
      </c>
      <c r="G92" s="916"/>
    </row>
    <row r="93" spans="1:7" x14ac:dyDescent="0.2">
      <c r="A93" s="908" t="s">
        <v>460</v>
      </c>
      <c r="B93" s="908" t="s">
        <v>173</v>
      </c>
      <c r="C93" s="910">
        <f>'Revenues 9-14'!B58</f>
        <v>1444</v>
      </c>
      <c r="D93" s="911" t="str">
        <f>'Revenues 9-14'!A58</f>
        <v>Special Ed - Transp Fees from Other Sources (Out of State)</v>
      </c>
      <c r="E93" s="906"/>
      <c r="F93" s="1787">
        <f>'Revenues 9-14'!F58</f>
        <v>0</v>
      </c>
      <c r="G93" s="916"/>
    </row>
    <row r="94" spans="1:7" x14ac:dyDescent="0.2">
      <c r="A94" s="908" t="s">
        <v>458</v>
      </c>
      <c r="B94" s="908" t="s">
        <v>174</v>
      </c>
      <c r="C94" s="910">
        <v>1600</v>
      </c>
      <c r="D94" s="917" t="str">
        <f>'Revenues 9-14'!A75</f>
        <v>Total Food Service</v>
      </c>
      <c r="E94" s="906"/>
      <c r="F94" s="1787">
        <f>'Revenues 9-14'!C75</f>
        <v>43962</v>
      </c>
      <c r="G94" s="912"/>
    </row>
    <row r="95" spans="1:7" x14ac:dyDescent="0.2">
      <c r="A95" s="908" t="s">
        <v>140</v>
      </c>
      <c r="B95" s="908" t="s">
        <v>175</v>
      </c>
      <c r="C95" s="910">
        <v>1700</v>
      </c>
      <c r="D95" s="918" t="str">
        <f>'Revenues 9-14'!A82</f>
        <v>Total District/School Activity Income</v>
      </c>
      <c r="E95" s="906"/>
      <c r="F95" s="1787">
        <f>SUM('Revenues 9-14'!C82,'Revenues 9-14'!D82)</f>
        <v>5402</v>
      </c>
      <c r="G95" s="912"/>
    </row>
    <row r="96" spans="1:7" x14ac:dyDescent="0.2">
      <c r="A96" s="908" t="s">
        <v>458</v>
      </c>
      <c r="B96" s="908" t="s">
        <v>176</v>
      </c>
      <c r="C96" s="910">
        <f>'Revenues 9-14'!B84</f>
        <v>1811</v>
      </c>
      <c r="D96" s="911" t="str">
        <f>'Revenues 9-14'!A84</f>
        <v>Rentals - Regular Textbooks</v>
      </c>
      <c r="E96" s="906"/>
      <c r="F96" s="1787">
        <f>'Revenues 9-14'!C84</f>
        <v>1901</v>
      </c>
      <c r="G96" s="912"/>
    </row>
    <row r="97" spans="1:7" x14ac:dyDescent="0.2">
      <c r="A97" s="908" t="s">
        <v>458</v>
      </c>
      <c r="B97" s="908" t="s">
        <v>177</v>
      </c>
      <c r="C97" s="910">
        <f>'Revenues 9-14'!B87</f>
        <v>1819</v>
      </c>
      <c r="D97" s="911" t="str">
        <f>'Revenues 9-14'!A87</f>
        <v>Rentals - Other (Describe &amp; Itemize)</v>
      </c>
      <c r="E97" s="906"/>
      <c r="F97" s="1787">
        <f>'Revenues 9-14'!C87</f>
        <v>0</v>
      </c>
      <c r="G97" s="912"/>
    </row>
    <row r="98" spans="1:7" x14ac:dyDescent="0.2">
      <c r="A98" s="908" t="s">
        <v>458</v>
      </c>
      <c r="B98" s="908" t="s">
        <v>178</v>
      </c>
      <c r="C98" s="910">
        <f>'Revenues 9-14'!B88</f>
        <v>1821</v>
      </c>
      <c r="D98" s="911" t="str">
        <f>'Revenues 9-14'!A88</f>
        <v>Sales - Regular Textbooks</v>
      </c>
      <c r="E98" s="906"/>
      <c r="F98" s="1787">
        <f>'Revenues 9-14'!C88</f>
        <v>0</v>
      </c>
      <c r="G98" s="912"/>
    </row>
    <row r="99" spans="1:7" x14ac:dyDescent="0.2">
      <c r="A99" s="908" t="s">
        <v>458</v>
      </c>
      <c r="B99" s="908" t="s">
        <v>179</v>
      </c>
      <c r="C99" s="910">
        <f>'Revenues 9-14'!B91</f>
        <v>1829</v>
      </c>
      <c r="D99" s="911" t="str">
        <f>'Revenues 9-14'!A91</f>
        <v>Sales - Other (Describe &amp; Itemize)</v>
      </c>
      <c r="E99" s="906"/>
      <c r="F99" s="1787">
        <f>'Revenues 9-14'!C91</f>
        <v>0</v>
      </c>
      <c r="G99" s="912"/>
    </row>
    <row r="100" spans="1:7" x14ac:dyDescent="0.2">
      <c r="A100" s="908" t="s">
        <v>458</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502</v>
      </c>
      <c r="B102" s="908" t="s">
        <v>182</v>
      </c>
      <c r="C102" s="910">
        <f>'Revenues 9-14'!B98</f>
        <v>1940</v>
      </c>
      <c r="D102" s="911" t="str">
        <f>'Revenues 9-14'!A98</f>
        <v>Services Provided Other Districts</v>
      </c>
      <c r="E102" s="906"/>
      <c r="F102" s="1787">
        <f>SUM('Revenues 9-14'!C98,'Revenues 9-14'!D98,'Revenues 9-14'!F98)</f>
        <v>24250</v>
      </c>
      <c r="G102" s="912"/>
    </row>
    <row r="103" spans="1:7" x14ac:dyDescent="0.2">
      <c r="A103" s="908" t="s">
        <v>1008</v>
      </c>
      <c r="B103" s="908" t="s">
        <v>800</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7">
        <f>('Revenues 9-14'!C106)</f>
        <v>0</v>
      </c>
      <c r="G104" s="912"/>
    </row>
    <row r="105" spans="1:7" x14ac:dyDescent="0.2">
      <c r="A105" s="908" t="s">
        <v>502</v>
      </c>
      <c r="B105" s="908" t="s">
        <v>2000</v>
      </c>
      <c r="C105" s="913">
        <v>3100</v>
      </c>
      <c r="D105" s="919" t="str">
        <f>'Revenues 9-14'!A132</f>
        <v>Total Special Education</v>
      </c>
      <c r="E105" s="906"/>
      <c r="F105" s="1787">
        <f>SUM('Revenues 9-14'!C132:D132,'Revenues 9-14'!F132)</f>
        <v>0</v>
      </c>
      <c r="G105" s="912"/>
    </row>
    <row r="106" spans="1:7" x14ac:dyDescent="0.2">
      <c r="A106" s="908" t="s">
        <v>672</v>
      </c>
      <c r="B106" s="908" t="s">
        <v>2001</v>
      </c>
      <c r="C106" s="920">
        <v>3200</v>
      </c>
      <c r="D106" s="911" t="str">
        <f>'Revenues 9-14'!A141</f>
        <v>Total Career and Technical Education</v>
      </c>
      <c r="E106" s="906"/>
      <c r="F106" s="1787">
        <f>SUM('Revenues 9-14'!C141,'Revenues 9-14'!D141,'Revenues 9-14'!G141)</f>
        <v>0</v>
      </c>
      <c r="G106" s="912"/>
    </row>
    <row r="107" spans="1:7" x14ac:dyDescent="0.2">
      <c r="A107" s="921" t="s">
        <v>663</v>
      </c>
      <c r="B107" s="908" t="s">
        <v>2002</v>
      </c>
      <c r="C107" s="920">
        <v>3300</v>
      </c>
      <c r="D107" s="911" t="str">
        <f>'Revenues 9-14'!A145</f>
        <v>Total Bilingual Ed</v>
      </c>
      <c r="E107" s="906"/>
      <c r="F107" s="1787">
        <f>SUM('Revenues 9-14'!C145,'Revenues 9-14'!G145)</f>
        <v>0</v>
      </c>
      <c r="G107" s="912"/>
    </row>
    <row r="108" spans="1:7" x14ac:dyDescent="0.2">
      <c r="A108" s="908" t="s">
        <v>458</v>
      </c>
      <c r="B108" s="908" t="s">
        <v>2003</v>
      </c>
      <c r="C108" s="920">
        <f>'Revenues 9-14'!B146</f>
        <v>3360</v>
      </c>
      <c r="D108" s="911" t="str">
        <f>'Revenues 9-14'!A146</f>
        <v>State Free Lunch &amp; Breakfast</v>
      </c>
      <c r="E108" s="906"/>
      <c r="F108" s="1787">
        <f>'Revenues 9-14'!C146</f>
        <v>896</v>
      </c>
      <c r="G108" s="912"/>
    </row>
    <row r="109" spans="1:7" x14ac:dyDescent="0.2">
      <c r="A109" s="908" t="s">
        <v>672</v>
      </c>
      <c r="B109" s="908" t="s">
        <v>2004</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7">
        <f>SUM('Revenues 9-14'!C148,'Revenues 9-14'!D148)</f>
        <v>0</v>
      </c>
      <c r="G110" s="912"/>
    </row>
    <row r="111" spans="1:7" x14ac:dyDescent="0.2">
      <c r="A111" s="908" t="s">
        <v>667</v>
      </c>
      <c r="B111" s="908" t="s">
        <v>2006</v>
      </c>
      <c r="C111" s="922">
        <v>3500</v>
      </c>
      <c r="D111" s="911" t="str">
        <f>'Revenues 9-14'!A155</f>
        <v>Total Transportation</v>
      </c>
      <c r="E111" s="906"/>
      <c r="F111" s="1787">
        <f>SUM('Revenues 9-14'!C155,'Revenues 9-14'!D155,'Revenues 9-14'!F155,'Revenues 9-14'!G155)</f>
        <v>169633</v>
      </c>
      <c r="G111" s="912"/>
    </row>
    <row r="112" spans="1:7" x14ac:dyDescent="0.2">
      <c r="A112" s="908" t="s">
        <v>458</v>
      </c>
      <c r="B112" s="908" t="s">
        <v>2007</v>
      </c>
      <c r="C112" s="920">
        <f>'Revenues 9-14'!B156</f>
        <v>3610</v>
      </c>
      <c r="D112" s="911" t="str">
        <f>'Revenues 9-14'!A156</f>
        <v>Learning Improvement - Change Grants</v>
      </c>
      <c r="E112" s="906"/>
      <c r="F112" s="1787">
        <f>'Revenues 9-14'!C156</f>
        <v>0</v>
      </c>
      <c r="G112" s="912"/>
    </row>
    <row r="113" spans="1:7" x14ac:dyDescent="0.2">
      <c r="A113" s="908" t="s">
        <v>667</v>
      </c>
      <c r="B113" s="908" t="s">
        <v>2008</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667</v>
      </c>
      <c r="B115" s="908" t="s">
        <v>2010</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667</v>
      </c>
      <c r="B116" s="908" t="s">
        <v>2011</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1008</v>
      </c>
      <c r="B117" s="923" t="s">
        <v>2012</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1008</v>
      </c>
      <c r="B118" s="923" t="s">
        <v>2013</v>
      </c>
      <c r="C118" s="924">
        <f>'Revenues 9-14'!B163</f>
        <v>3780</v>
      </c>
      <c r="D118" s="925" t="str">
        <f>'Revenues 9-14'!A163</f>
        <v>Technology - Technology for Success</v>
      </c>
      <c r="E118" s="906"/>
      <c r="F118" s="1904">
        <f>SUM('Revenues 9-14'!C163:G163)</f>
        <v>0</v>
      </c>
      <c r="G118" s="912"/>
    </row>
    <row r="119" spans="1:7" x14ac:dyDescent="0.2">
      <c r="A119" s="923" t="s">
        <v>503</v>
      </c>
      <c r="B119" s="923" t="s">
        <v>2014</v>
      </c>
      <c r="C119" s="924">
        <f>'Revenues 9-14'!B164</f>
        <v>3815</v>
      </c>
      <c r="D119" s="925" t="str">
        <f>'Revenues 9-14'!A164</f>
        <v>State Charter Schools</v>
      </c>
      <c r="E119" s="906"/>
      <c r="F119" s="1904">
        <f>SUM('Revenues 9-14'!C164,'Revenues 9-14'!F164)</f>
        <v>0</v>
      </c>
      <c r="G119" s="912"/>
    </row>
    <row r="120" spans="1:7" x14ac:dyDescent="0.2">
      <c r="A120" s="927" t="s">
        <v>459</v>
      </c>
      <c r="B120" s="927" t="s">
        <v>2015</v>
      </c>
      <c r="C120" s="928">
        <f>'Revenues 9-14'!B167</f>
        <v>3925</v>
      </c>
      <c r="D120" s="929" t="str">
        <f>'Revenues 9-14'!A167</f>
        <v>School Infrastructure - Maintenance Projects</v>
      </c>
      <c r="E120" s="906"/>
      <c r="F120" s="1787">
        <f>'Revenues 9-14'!D167</f>
        <v>0</v>
      </c>
      <c r="G120" s="930"/>
    </row>
    <row r="121" spans="1:7" x14ac:dyDescent="0.2">
      <c r="A121" s="927" t="s">
        <v>499</v>
      </c>
      <c r="B121" s="927" t="s">
        <v>2016</v>
      </c>
      <c r="C121" s="928">
        <f>'Revenues 9-14'!B168</f>
        <v>3999</v>
      </c>
      <c r="D121" s="929" t="s">
        <v>542</v>
      </c>
      <c r="E121" s="931"/>
      <c r="F121" s="1787">
        <f>SUM('Revenues 9-14'!C168:G168,'Revenues 9-14'!J168)</f>
        <v>3593</v>
      </c>
      <c r="G121" s="930"/>
    </row>
    <row r="122" spans="1:7" x14ac:dyDescent="0.2">
      <c r="A122" s="927" t="s">
        <v>458</v>
      </c>
      <c r="B122" s="927" t="s">
        <v>2017</v>
      </c>
      <c r="C122" s="932">
        <f>'Revenues 9-14'!B177</f>
        <v>4045</v>
      </c>
      <c r="D122" s="929" t="str">
        <f>'Revenues 9-14'!A177 &amp; " (Subtract)"</f>
        <v>Head Start (Subtract)</v>
      </c>
      <c r="E122" s="906"/>
      <c r="F122" s="1787">
        <f>SUM(-'Revenues 9-14'!C177)</f>
        <v>0</v>
      </c>
      <c r="G122" s="930"/>
    </row>
    <row r="123" spans="1:7" x14ac:dyDescent="0.2">
      <c r="A123" s="927" t="s">
        <v>667</v>
      </c>
      <c r="B123" s="927" t="s">
        <v>2018</v>
      </c>
      <c r="C123" s="932" t="s">
        <v>981</v>
      </c>
      <c r="D123" s="929" t="str">
        <f>('Revenues 9-14'!A181)</f>
        <v>Total Restricted Grants-In-Aid Received Directly from Federal Govt</v>
      </c>
      <c r="E123" s="906"/>
      <c r="F123" s="1787">
        <f>SUM('Revenues 9-14'!C181,'Revenues 9-14'!D181,'Revenues 9-14'!F181,'Revenues 9-14'!G181)</f>
        <v>23399</v>
      </c>
      <c r="G123" s="930"/>
    </row>
    <row r="124" spans="1:7" x14ac:dyDescent="0.2">
      <c r="A124" s="927" t="s">
        <v>667</v>
      </c>
      <c r="B124" s="927" t="s">
        <v>2019</v>
      </c>
      <c r="C124" s="932">
        <v>4100</v>
      </c>
      <c r="D124" s="933" t="str">
        <f>'Revenues 9-14'!A188</f>
        <v>Total Title V</v>
      </c>
      <c r="E124" s="906"/>
      <c r="F124" s="1787">
        <f>SUM('Revenues 9-14'!C188,'Revenues 9-14'!D188,'Revenues 9-14'!F188,'Revenues 9-14'!G188)</f>
        <v>0</v>
      </c>
      <c r="G124" s="930"/>
    </row>
    <row r="125" spans="1:7" x14ac:dyDescent="0.2">
      <c r="A125" s="927" t="s">
        <v>663</v>
      </c>
      <c r="B125" s="927" t="s">
        <v>2020</v>
      </c>
      <c r="C125" s="932">
        <v>4200</v>
      </c>
      <c r="D125" s="929" t="str">
        <f>'Revenues 9-14'!A198</f>
        <v>Total Food Service</v>
      </c>
      <c r="E125" s="906"/>
      <c r="F125" s="1787">
        <f>SUM('Revenues 9-14'!C198,'Revenues 9-14'!G198)</f>
        <v>57991</v>
      </c>
      <c r="G125" s="930"/>
    </row>
    <row r="126" spans="1:7" x14ac:dyDescent="0.2">
      <c r="A126" s="927" t="s">
        <v>667</v>
      </c>
      <c r="B126" s="927" t="s">
        <v>2021</v>
      </c>
      <c r="C126" s="932">
        <v>4300</v>
      </c>
      <c r="D126" s="933" t="str">
        <f>'Revenues 9-14'!A204</f>
        <v>Total Title I</v>
      </c>
      <c r="E126" s="906"/>
      <c r="F126" s="1787">
        <f>SUM('Revenues 9-14'!C204,'Revenues 9-14'!D204,'Revenues 9-14'!F204,'Revenues 9-14'!G204)</f>
        <v>66348</v>
      </c>
      <c r="G126" s="930"/>
    </row>
    <row r="127" spans="1:7" x14ac:dyDescent="0.2">
      <c r="A127" s="927" t="s">
        <v>667</v>
      </c>
      <c r="B127" s="927" t="s">
        <v>2022</v>
      </c>
      <c r="C127" s="932">
        <v>4400</v>
      </c>
      <c r="D127" s="933" t="str">
        <f>'Revenues 9-14'!A209</f>
        <v>Total Title IV</v>
      </c>
      <c r="E127" s="906"/>
      <c r="F127" s="1787">
        <f>SUM('Revenues 9-14'!C209,'Revenues 9-14'!D209,'Revenues 9-14'!F209,'Revenues 9-14'!G209)</f>
        <v>0</v>
      </c>
      <c r="G127" s="930"/>
    </row>
    <row r="128" spans="1:7" x14ac:dyDescent="0.2">
      <c r="A128" s="927" t="s">
        <v>667</v>
      </c>
      <c r="B128" s="927" t="s">
        <v>2023</v>
      </c>
      <c r="C128" s="932">
        <f>'Revenues 9-14'!B213</f>
        <v>4620</v>
      </c>
      <c r="D128" s="933" t="str">
        <f>'Revenues 9-14'!A213</f>
        <v>Fed - Spec Education - IDEA - Flow Through</v>
      </c>
      <c r="E128" s="906"/>
      <c r="F128" s="1787">
        <f>SUM('Revenues 9-14'!C213:D213,'Revenues 9-14'!F213:G213)</f>
        <v>14835</v>
      </c>
      <c r="G128" s="930"/>
    </row>
    <row r="129" spans="1:7" x14ac:dyDescent="0.2">
      <c r="A129" s="927" t="s">
        <v>667</v>
      </c>
      <c r="B129" s="927" t="s">
        <v>2024</v>
      </c>
      <c r="C129" s="932">
        <f>'Revenues 9-14'!B214</f>
        <v>4625</v>
      </c>
      <c r="D129" s="933" t="str">
        <f>'Revenues 9-14'!A214</f>
        <v>Fed - Spec Education - IDEA - Room &amp; Board</v>
      </c>
      <c r="E129" s="906"/>
      <c r="F129" s="1787">
        <f>SUM('Revenues 9-14'!C214,'Revenues 9-14'!D214,'Revenues 9-14'!F214,'Revenues 9-14'!G214)</f>
        <v>431</v>
      </c>
      <c r="G129" s="930"/>
    </row>
    <row r="130" spans="1:7" x14ac:dyDescent="0.2">
      <c r="A130" s="927" t="s">
        <v>667</v>
      </c>
      <c r="B130" s="927" t="s">
        <v>2025</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672</v>
      </c>
      <c r="B132" s="927" t="s">
        <v>2026</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7">
        <v>0</v>
      </c>
      <c r="G138" s="905"/>
    </row>
    <row r="139" spans="1:7" s="867" customFormat="1" hidden="1" x14ac:dyDescent="0.2">
      <c r="A139" s="934" t="s">
        <v>206</v>
      </c>
      <c r="B139" s="934" t="s">
        <v>2033</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667</v>
      </c>
      <c r="B142" s="934" t="s">
        <v>2036</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1416</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499</v>
      </c>
      <c r="B157" s="939" t="s">
        <v>2041</v>
      </c>
      <c r="C157" s="940" t="s">
        <v>840</v>
      </c>
      <c r="D157" s="941" t="s">
        <v>776</v>
      </c>
      <c r="E157" s="942"/>
      <c r="F157" s="1787">
        <f>SUM(F133:F156)</f>
        <v>0</v>
      </c>
      <c r="G157" s="905"/>
    </row>
    <row r="158" spans="1:7" s="867" customFormat="1" x14ac:dyDescent="0.2">
      <c r="A158" s="938" t="s">
        <v>458</v>
      </c>
      <c r="B158" s="939" t="s">
        <v>2042</v>
      </c>
      <c r="C158" s="940" t="s">
        <v>1426</v>
      </c>
      <c r="D158" s="941" t="s">
        <v>1427</v>
      </c>
      <c r="E158" s="942"/>
      <c r="F158" s="1787">
        <f>SUM('Revenues 9-14'!C253)</f>
        <v>0</v>
      </c>
      <c r="G158" s="905"/>
    </row>
    <row r="159" spans="1:7" s="867" customFormat="1" x14ac:dyDescent="0.2">
      <c r="A159" s="938" t="s">
        <v>499</v>
      </c>
      <c r="B159" s="939" t="s">
        <v>2043</v>
      </c>
      <c r="C159" s="940" t="s">
        <v>1465</v>
      </c>
      <c r="D159" s="941" t="s">
        <v>1466</v>
      </c>
      <c r="E159" s="942"/>
      <c r="F159" s="1787">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667</v>
      </c>
      <c r="B162" s="927" t="s">
        <v>2046</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667</v>
      </c>
      <c r="B163" s="944" t="s">
        <v>2047</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667</v>
      </c>
      <c r="B164" s="927" t="s">
        <v>2048</v>
      </c>
      <c r="C164" s="932">
        <f>'Revenues 9-14'!B259</f>
        <v>4932</v>
      </c>
      <c r="D164" s="933" t="str">
        <f>'Revenues 9-14'!A259</f>
        <v>Title II - Teacher Quality</v>
      </c>
      <c r="E164" s="906"/>
      <c r="F164" s="1904">
        <f>SUM('Revenues 9-14'!C259,'Revenues 9-14'!D259,'Revenues 9-14'!F259,'Revenues 9-14'!G259)</f>
        <v>21517</v>
      </c>
      <c r="G164" s="930"/>
    </row>
    <row r="165" spans="1:7" x14ac:dyDescent="0.2">
      <c r="A165" s="927" t="s">
        <v>667</v>
      </c>
      <c r="B165" s="927" t="s">
        <v>2049</v>
      </c>
      <c r="C165" s="932">
        <f>'Revenues 9-14'!B260</f>
        <v>4960</v>
      </c>
      <c r="D165" s="929" t="str">
        <f>'Revenues 9-14'!A260</f>
        <v>Federal Charter Schools</v>
      </c>
      <c r="E165" s="906"/>
      <c r="F165" s="1787">
        <f>SUM('Revenues 9-14'!C260:D260,'Revenues 9-14'!F260:G260)</f>
        <v>0</v>
      </c>
      <c r="G165" s="930"/>
    </row>
    <row r="166" spans="1:7" x14ac:dyDescent="0.2">
      <c r="A166" s="927" t="s">
        <v>667</v>
      </c>
      <c r="B166" s="927" t="s">
        <v>1994</v>
      </c>
      <c r="C166" s="932">
        <f>'Revenues 9-14'!B261</f>
        <v>4981</v>
      </c>
      <c r="D166" s="929" t="str">
        <f>'Revenues 9-14'!A261</f>
        <v>State Assessment Grants</v>
      </c>
      <c r="E166" s="906"/>
      <c r="F166" s="1787">
        <f>SUM('Revenues 9-14'!C261:D261,'Revenues 9-14'!F261:G261)</f>
        <v>0</v>
      </c>
      <c r="G166" s="930"/>
    </row>
    <row r="167" spans="1:7" x14ac:dyDescent="0.2">
      <c r="A167" s="927" t="s">
        <v>667</v>
      </c>
      <c r="B167" s="927" t="s">
        <v>1995</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667</v>
      </c>
      <c r="B168" s="927" t="s">
        <v>2050</v>
      </c>
      <c r="C168" s="932">
        <f>'Revenues 9-14'!B263</f>
        <v>4991</v>
      </c>
      <c r="D168" s="933" t="str">
        <f>'Revenues 9-14'!A263</f>
        <v>Medicaid Matching Funds - Administrative Outreach</v>
      </c>
      <c r="E168" s="906"/>
      <c r="F168" s="1787">
        <f>SUM('Revenues 9-14'!C263:D263,'Revenues 9-14'!F263:G263)</f>
        <v>780</v>
      </c>
      <c r="G168" s="947">
        <v>6320</v>
      </c>
    </row>
    <row r="169" spans="1:7" x14ac:dyDescent="0.2">
      <c r="A169" s="927" t="s">
        <v>667</v>
      </c>
      <c r="B169" s="927" t="s">
        <v>2051</v>
      </c>
      <c r="C169" s="932">
        <f>'Revenues 9-14'!B264</f>
        <v>4992</v>
      </c>
      <c r="D169" s="933" t="str">
        <f>'Revenues 9-14'!A264</f>
        <v>Medicaid Matching Funds - Fee-for-Service Program</v>
      </c>
      <c r="E169" s="906"/>
      <c r="F169" s="1787">
        <f>SUM('Revenues 9-14'!C264:D264,'Revenues 9-14'!F264:G264)</f>
        <v>0</v>
      </c>
      <c r="G169" s="947"/>
    </row>
    <row r="170" spans="1:7" x14ac:dyDescent="0.2">
      <c r="A170" s="948" t="s">
        <v>667</v>
      </c>
      <c r="B170" s="944" t="s">
        <v>2052</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1918</v>
      </c>
      <c r="C171" s="1917">
        <v>3100</v>
      </c>
      <c r="D171" s="1918" t="s">
        <v>1920</v>
      </c>
      <c r="E171" s="906"/>
      <c r="F171" s="1903">
        <v>75948</v>
      </c>
      <c r="G171" s="927"/>
    </row>
    <row r="172" spans="1:7" x14ac:dyDescent="0.2">
      <c r="A172" s="1915" t="s">
        <v>663</v>
      </c>
      <c r="B172" s="1916" t="s">
        <v>1918</v>
      </c>
      <c r="C172" s="1917">
        <v>3300</v>
      </c>
      <c r="D172" s="1918" t="s">
        <v>1921</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2053</v>
      </c>
      <c r="E174" s="1785" t="s">
        <v>957</v>
      </c>
      <c r="F174" s="1786">
        <f>SUM(F84:F132,F157:F172)</f>
        <v>510886</v>
      </c>
    </row>
    <row r="175" spans="1:7" ht="12" customHeight="1" x14ac:dyDescent="0.2">
      <c r="A175" s="1768"/>
      <c r="B175" s="1782"/>
      <c r="C175" s="1783"/>
      <c r="D175" s="1784" t="s">
        <v>2054</v>
      </c>
      <c r="E175" s="1785"/>
      <c r="F175" s="1787">
        <f>'PCTC-OEPP 27-28'!F77-F174</f>
        <v>1626468</v>
      </c>
    </row>
    <row r="176" spans="1:7" ht="12" customHeight="1" x14ac:dyDescent="0.2">
      <c r="A176" s="1768"/>
      <c r="B176" s="1782"/>
      <c r="C176" s="1783"/>
      <c r="D176" s="1784" t="s">
        <v>1816</v>
      </c>
      <c r="E176" s="1785"/>
      <c r="F176" s="1787">
        <f>'Cap Outlay Deprec 26'!I18</f>
        <v>109330</v>
      </c>
    </row>
    <row r="177" spans="1:7" ht="12" customHeight="1" x14ac:dyDescent="0.2">
      <c r="A177" s="1768"/>
      <c r="B177" s="1782"/>
      <c r="C177" s="1783"/>
      <c r="D177" s="1784" t="s">
        <v>2055</v>
      </c>
      <c r="E177" s="1785"/>
      <c r="F177" s="1787">
        <f>F175+F176</f>
        <v>1735798</v>
      </c>
    </row>
    <row r="178" spans="1:7" ht="12" customHeight="1" x14ac:dyDescent="0.2">
      <c r="A178" s="1768"/>
      <c r="B178" s="1788"/>
      <c r="C178" s="1783"/>
      <c r="D178" s="1784" t="str">
        <f>D78</f>
        <v>9 Month ADA from District Average Daily Attendance/Prior General State Aid Inquiry 2018-2019</v>
      </c>
      <c r="E178" s="1785"/>
      <c r="F178" s="1789">
        <f>'PCTC-OEPP 27-28'!F78</f>
        <v>211.9</v>
      </c>
      <c r="G178" s="930"/>
    </row>
    <row r="179" spans="1:7" ht="12" customHeight="1" thickBot="1" x14ac:dyDescent="0.25">
      <c r="A179" s="1768"/>
      <c r="B179" s="1788"/>
      <c r="C179" s="1783"/>
      <c r="D179" s="1784" t="s">
        <v>2056</v>
      </c>
      <c r="E179" s="1785" t="s">
        <v>1544</v>
      </c>
      <c r="F179" s="1790">
        <f>F177/F178</f>
        <v>8191.5903728173662</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9"/>
      <c r="D184" s="930"/>
      <c r="E184" s="949"/>
      <c r="F184" s="930"/>
      <c r="G184" s="930"/>
    </row>
    <row r="185" spans="1:7" x14ac:dyDescent="0.2">
      <c r="A185" s="1923" t="s">
        <v>1923</v>
      </c>
      <c r="B185" s="1924"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topLeftCell="A11" zoomScaleNormal="100" workbookViewId="0">
      <selection activeCell="B31" sqref="B3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1831</v>
      </c>
      <c r="B1" s="1658"/>
      <c r="C1" s="1658"/>
      <c r="D1" s="1658"/>
      <c r="E1" s="1658"/>
      <c r="F1" s="1658"/>
      <c r="G1" s="1658"/>
    </row>
    <row r="2" spans="1:7" x14ac:dyDescent="0.25">
      <c r="A2" s="1655"/>
      <c r="B2" s="1655"/>
      <c r="C2" s="1656" t="s">
        <v>978</v>
      </c>
      <c r="D2" s="1655"/>
      <c r="E2" s="1655"/>
      <c r="F2" s="1655"/>
      <c r="G2" s="1655"/>
    </row>
    <row r="3" spans="1:7" ht="5.25" customHeight="1" x14ac:dyDescent="0.25">
      <c r="A3" s="1545"/>
      <c r="B3" s="1545"/>
      <c r="C3" s="1545"/>
      <c r="D3" s="1545"/>
      <c r="E3" s="1545"/>
      <c r="F3" s="1545"/>
      <c r="G3" s="1545"/>
    </row>
    <row r="4" spans="1:7" ht="18.75" customHeight="1" x14ac:dyDescent="0.25">
      <c r="A4" s="2268" t="s">
        <v>1817</v>
      </c>
      <c r="B4" s="2269"/>
      <c r="C4" s="2269"/>
      <c r="D4" s="2269"/>
      <c r="E4" s="2269"/>
      <c r="F4" s="2269"/>
      <c r="G4" s="2270"/>
    </row>
    <row r="5" spans="1:7" x14ac:dyDescent="0.25">
      <c r="A5" s="2271"/>
      <c r="B5" s="2272"/>
      <c r="C5" s="2272"/>
      <c r="D5" s="2272"/>
      <c r="E5" s="2272"/>
      <c r="F5" s="2272"/>
      <c r="G5" s="2273"/>
    </row>
    <row r="6" spans="1:7" ht="18.75" x14ac:dyDescent="0.25">
      <c r="A6" s="1932" t="s">
        <v>2063</v>
      </c>
      <c r="B6" s="1933"/>
      <c r="C6" s="1933"/>
      <c r="D6" s="1933"/>
      <c r="E6" s="1933"/>
      <c r="F6" s="1933"/>
      <c r="G6" s="1934"/>
    </row>
    <row r="7" spans="1:7" ht="18.75" x14ac:dyDescent="0.25">
      <c r="A7" s="1534" t="s">
        <v>1818</v>
      </c>
      <c r="B7" s="1535"/>
      <c r="C7" s="1535"/>
      <c r="D7" s="1535"/>
      <c r="E7" s="1535"/>
      <c r="F7" s="1535"/>
      <c r="G7" s="1536"/>
    </row>
    <row r="8" spans="1:7" ht="30.75" customHeight="1" x14ac:dyDescent="0.25">
      <c r="A8" s="2274" t="s">
        <v>1930</v>
      </c>
      <c r="B8" s="2275"/>
      <c r="C8" s="2275"/>
      <c r="D8" s="2275"/>
      <c r="E8" s="2275"/>
      <c r="F8" s="2275"/>
      <c r="G8" s="2276"/>
    </row>
    <row r="9" spans="1:7" ht="15.75" customHeight="1" x14ac:dyDescent="0.25">
      <c r="A9" s="2277" t="s">
        <v>1905</v>
      </c>
      <c r="B9" s="2278"/>
      <c r="C9" s="2278"/>
      <c r="D9" s="2278"/>
      <c r="E9" s="2278"/>
      <c r="F9" s="2278"/>
      <c r="G9" s="2279"/>
    </row>
    <row r="10" spans="1:7" ht="35.25" customHeight="1" x14ac:dyDescent="0.25">
      <c r="A10" s="2274" t="s">
        <v>2062</v>
      </c>
      <c r="B10" s="2275"/>
      <c r="C10" s="2275"/>
      <c r="D10" s="2275"/>
      <c r="E10" s="2275"/>
      <c r="F10" s="2275"/>
      <c r="G10" s="2276"/>
    </row>
    <row r="11" spans="1:7" ht="15" customHeight="1" x14ac:dyDescent="0.25">
      <c r="A11" s="1537" t="s">
        <v>1819</v>
      </c>
      <c r="B11" s="1538"/>
      <c r="C11" s="1538"/>
      <c r="D11" s="1538"/>
      <c r="E11" s="1538"/>
      <c r="F11" s="1538"/>
      <c r="G11" s="1539"/>
    </row>
    <row r="12" spans="1:7" ht="17.25" customHeight="1" x14ac:dyDescent="0.25">
      <c r="A12" s="2274" t="s">
        <v>1932</v>
      </c>
      <c r="B12" s="2275"/>
      <c r="C12" s="2275"/>
      <c r="D12" s="2275"/>
      <c r="E12" s="2275"/>
      <c r="F12" s="2275"/>
      <c r="G12" s="2276"/>
    </row>
    <row r="13" spans="1:7" ht="15" customHeight="1" x14ac:dyDescent="0.25">
      <c r="A13" s="1537" t="s">
        <v>1824</v>
      </c>
      <c r="B13" s="1538"/>
      <c r="C13" s="1538"/>
      <c r="D13" s="1538"/>
      <c r="E13" s="1538"/>
      <c r="F13" s="1538"/>
      <c r="G13" s="1539"/>
    </row>
    <row r="14" spans="1:7" ht="32.25" customHeight="1" x14ac:dyDescent="0.25">
      <c r="A14" s="2265" t="s">
        <v>1973</v>
      </c>
      <c r="B14" s="2266"/>
      <c r="C14" s="2266"/>
      <c r="D14" s="2266"/>
      <c r="E14" s="2266"/>
      <c r="F14" s="2266"/>
      <c r="G14" s="2267"/>
    </row>
    <row r="15" spans="1:7" x14ac:dyDescent="0.25">
      <c r="A15" s="1659" t="s">
        <v>1832</v>
      </c>
      <c r="B15" s="1660"/>
      <c r="C15" s="1660"/>
      <c r="D15" s="1660"/>
      <c r="E15" s="1660"/>
      <c r="F15" s="1660"/>
      <c r="G15" s="1661"/>
    </row>
    <row r="16" spans="1:7" ht="61.5" customHeight="1" x14ac:dyDescent="0.25">
      <c r="A16" s="1546" t="s">
        <v>1825</v>
      </c>
      <c r="B16" s="1546" t="s">
        <v>1826</v>
      </c>
      <c r="C16" s="1546" t="s">
        <v>1827</v>
      </c>
      <c r="D16" s="1547" t="s">
        <v>1828</v>
      </c>
      <c r="E16" s="1547" t="s">
        <v>1820</v>
      </c>
      <c r="F16" s="1547" t="s">
        <v>1829</v>
      </c>
      <c r="G16" s="1547" t="s">
        <v>1830</v>
      </c>
    </row>
    <row r="17" spans="1:8" x14ac:dyDescent="0.25">
      <c r="A17" s="1648" t="s">
        <v>1833</v>
      </c>
      <c r="B17" s="1649" t="s">
        <v>1823</v>
      </c>
      <c r="C17" s="1650" t="s">
        <v>1821</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2098</v>
      </c>
      <c r="B18" s="1937" t="s">
        <v>2099</v>
      </c>
      <c r="C18" s="1938" t="s">
        <v>2100</v>
      </c>
      <c r="D18" s="1841">
        <v>6000</v>
      </c>
      <c r="E18" s="1540">
        <f t="shared" ref="E18:E37" si="0">IF(D18&lt;=25000,D18,IF(D18&gt;25000,25000,0))</f>
        <v>6000</v>
      </c>
      <c r="F18" s="1931">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6000</v>
      </c>
      <c r="G18" s="1791">
        <f>IF(F18=0,0,D18-F18)</f>
        <v>0</v>
      </c>
      <c r="H18" s="1647"/>
    </row>
    <row r="19" spans="1:8" x14ac:dyDescent="0.25">
      <c r="A19" s="1936" t="s">
        <v>2098</v>
      </c>
      <c r="B19" s="1937" t="s">
        <v>2099</v>
      </c>
      <c r="C19" s="1938" t="s">
        <v>2101</v>
      </c>
      <c r="D19" s="1841">
        <v>5214</v>
      </c>
      <c r="E19" s="1540">
        <f t="shared" ref="E19:E36" si="2">IF(D19&lt;=25000,D19,IF(D19&gt;25000,25000,0))</f>
        <v>5214</v>
      </c>
      <c r="F19" s="1931">
        <f t="shared" si="1"/>
        <v>5214</v>
      </c>
      <c r="G19" s="1791">
        <f t="shared" ref="G19:G36" si="3">IF(F19=0,0,D19-F19)</f>
        <v>0</v>
      </c>
    </row>
    <row r="20" spans="1:8" x14ac:dyDescent="0.25">
      <c r="A20" s="1653"/>
      <c r="B20" s="1665"/>
      <c r="C20" s="1654"/>
      <c r="D20" s="1841"/>
      <c r="E20" s="1540">
        <f t="shared" si="2"/>
        <v>0</v>
      </c>
      <c r="F20" s="1931">
        <f t="shared" si="1"/>
        <v>0</v>
      </c>
      <c r="G20" s="1791">
        <f t="shared" si="3"/>
        <v>0</v>
      </c>
    </row>
    <row r="21" spans="1:8" x14ac:dyDescent="0.25">
      <c r="A21" s="1653"/>
      <c r="B21" s="1665"/>
      <c r="C21" s="1654"/>
      <c r="D21" s="1841"/>
      <c r="E21" s="1540">
        <f t="shared" si="2"/>
        <v>0</v>
      </c>
      <c r="F21" s="1931">
        <f t="shared" si="1"/>
        <v>0</v>
      </c>
      <c r="G21" s="1791">
        <f t="shared" si="3"/>
        <v>0</v>
      </c>
    </row>
    <row r="22" spans="1:8" x14ac:dyDescent="0.25">
      <c r="A22" s="1653"/>
      <c r="B22" s="1665"/>
      <c r="C22" s="1654"/>
      <c r="D22" s="1841"/>
      <c r="E22" s="1540">
        <f t="shared" si="2"/>
        <v>0</v>
      </c>
      <c r="F22" s="1931">
        <f t="shared" si="1"/>
        <v>0</v>
      </c>
      <c r="G22" s="1791">
        <f t="shared" si="3"/>
        <v>0</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si="1"/>
        <v>0</v>
      </c>
      <c r="G26" s="1791">
        <f t="shared" si="3"/>
        <v>0</v>
      </c>
    </row>
    <row r="27" spans="1:8" x14ac:dyDescent="0.25">
      <c r="A27" s="1653"/>
      <c r="B27" s="1665"/>
      <c r="C27" s="1654"/>
      <c r="D27" s="1841"/>
      <c r="E27" s="1540">
        <f t="shared" ref="E27" si="4">IF(D27&lt;=25000,D27,IF(D27&gt;25000,25000,0))</f>
        <v>0</v>
      </c>
      <c r="F27" s="1931">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1">
        <f t="shared" ref="G27" si="6">IF(F27=0,0,D27-F27)</f>
        <v>0</v>
      </c>
    </row>
    <row r="28" spans="1:8" x14ac:dyDescent="0.25">
      <c r="A28" s="1653"/>
      <c r="B28" s="1665"/>
      <c r="C28" s="1654"/>
      <c r="D28" s="1841"/>
      <c r="E28" s="1540">
        <f t="shared" si="2"/>
        <v>0</v>
      </c>
      <c r="F28" s="1931">
        <f t="shared" si="5"/>
        <v>0</v>
      </c>
      <c r="G28" s="1791">
        <f t="shared" si="3"/>
        <v>0</v>
      </c>
    </row>
    <row r="29" spans="1:8" x14ac:dyDescent="0.25">
      <c r="A29" s="1653"/>
      <c r="B29" s="1665"/>
      <c r="C29" s="1654"/>
      <c r="D29" s="1841"/>
      <c r="E29" s="1540">
        <f t="shared" si="2"/>
        <v>0</v>
      </c>
      <c r="F29" s="1931">
        <f t="shared" si="5"/>
        <v>0</v>
      </c>
      <c r="G29" s="1791">
        <f t="shared" si="3"/>
        <v>0</v>
      </c>
    </row>
    <row r="30" spans="1:8" x14ac:dyDescent="0.25">
      <c r="A30" s="1653"/>
      <c r="B30" s="1665"/>
      <c r="C30" s="1654"/>
      <c r="D30" s="1841"/>
      <c r="E30" s="1540">
        <f t="shared" si="2"/>
        <v>0</v>
      </c>
      <c r="F30" s="1931">
        <f t="shared" si="5"/>
        <v>0</v>
      </c>
      <c r="G30" s="1791">
        <f t="shared" si="3"/>
        <v>0</v>
      </c>
    </row>
    <row r="31" spans="1:8" x14ac:dyDescent="0.25">
      <c r="A31" s="1653"/>
      <c r="B31" s="1665"/>
      <c r="C31" s="1654"/>
      <c r="D31" s="1841"/>
      <c r="E31" s="1540">
        <f t="shared" si="2"/>
        <v>0</v>
      </c>
      <c r="F31" s="1931">
        <f t="shared" si="5"/>
        <v>0</v>
      </c>
      <c r="G31" s="1791">
        <f t="shared" si="3"/>
        <v>0</v>
      </c>
    </row>
    <row r="32" spans="1:8" x14ac:dyDescent="0.25">
      <c r="A32" s="1653"/>
      <c r="B32" s="1665"/>
      <c r="C32" s="1654"/>
      <c r="D32" s="1841"/>
      <c r="E32" s="1540"/>
      <c r="F32" s="1931"/>
      <c r="G32" s="1791"/>
    </row>
    <row r="33" spans="1:7" x14ac:dyDescent="0.25">
      <c r="A33" s="1653"/>
      <c r="B33" s="1665"/>
      <c r="C33" s="1654"/>
      <c r="D33" s="1841"/>
      <c r="E33" s="1540">
        <f t="shared" si="2"/>
        <v>0</v>
      </c>
      <c r="F33" s="1931">
        <f t="shared" si="5"/>
        <v>0</v>
      </c>
      <c r="G33" s="1791">
        <f t="shared" si="3"/>
        <v>0</v>
      </c>
    </row>
    <row r="34" spans="1:7" x14ac:dyDescent="0.25">
      <c r="A34" s="1653"/>
      <c r="B34" s="1665"/>
      <c r="C34" s="1654"/>
      <c r="D34" s="1841"/>
      <c r="E34" s="1540">
        <f t="shared" si="2"/>
        <v>0</v>
      </c>
      <c r="F34" s="1931">
        <f t="shared" si="5"/>
        <v>0</v>
      </c>
      <c r="G34" s="1791">
        <f t="shared" si="3"/>
        <v>0</v>
      </c>
    </row>
    <row r="35" spans="1:7" x14ac:dyDescent="0.25">
      <c r="A35" s="1653"/>
      <c r="B35" s="1665"/>
      <c r="C35" s="1654"/>
      <c r="D35" s="1841"/>
      <c r="E35" s="1540">
        <f t="shared" ref="E35" si="7">IF(D35&lt;=25000,D35,IF(D35&gt;25000,25000,0))</f>
        <v>0</v>
      </c>
      <c r="F35" s="1931">
        <f t="shared" si="5"/>
        <v>0</v>
      </c>
      <c r="G35" s="1791">
        <f t="shared" ref="G35" si="8">IF(F35=0,0,D35-F35)</f>
        <v>0</v>
      </c>
    </row>
    <row r="36" spans="1:7" x14ac:dyDescent="0.25">
      <c r="A36" s="1653"/>
      <c r="B36" s="1664"/>
      <c r="C36" s="1654"/>
      <c r="D36" s="1841"/>
      <c r="E36" s="1540">
        <f t="shared" si="2"/>
        <v>0</v>
      </c>
      <c r="F36" s="1931">
        <f t="shared" si="5"/>
        <v>0</v>
      </c>
      <c r="G36" s="1791">
        <f t="shared" si="3"/>
        <v>0</v>
      </c>
    </row>
    <row r="37" spans="1:7" x14ac:dyDescent="0.25">
      <c r="A37" s="1794" t="s">
        <v>156</v>
      </c>
      <c r="B37" s="1795"/>
      <c r="C37" s="1796"/>
      <c r="D37" s="1792">
        <f>SUM(D18:D36)</f>
        <v>11214</v>
      </c>
      <c r="E37" s="1541">
        <f t="shared" si="0"/>
        <v>11214</v>
      </c>
      <c r="F37" s="1929">
        <f>SUM(F18:F36)</f>
        <v>11214</v>
      </c>
      <c r="G37" s="1793">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B31" sqref="B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0" t="s">
        <v>1678</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1931</v>
      </c>
      <c r="B10" s="971"/>
      <c r="C10" s="976"/>
      <c r="D10" s="972"/>
      <c r="E10" s="973">
        <v>46578</v>
      </c>
      <c r="F10" s="974"/>
      <c r="G10" s="975"/>
      <c r="H10" s="162"/>
      <c r="I10" s="162"/>
    </row>
    <row r="11" spans="1:9" s="668" customFormat="1" ht="22.5" customHeight="1" x14ac:dyDescent="0.2">
      <c r="A11" s="2285" t="s">
        <v>1974</v>
      </c>
      <c r="B11" s="2286"/>
      <c r="C11" s="2286"/>
      <c r="D11" s="2287"/>
      <c r="E11" s="977">
        <v>8857</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7"/>
      <c r="E19" s="1798">
        <f>'Expenditures 15-22'!K33-SUM('Expenditures 15-22'!G33,'Expenditures 15-22'!I33)+'Expenditures 15-22'!D229</f>
        <v>1283661</v>
      </c>
      <c r="F19" s="1797"/>
      <c r="G19" s="1799">
        <f>'Expenditures 15-22'!K33-SUM('Expenditures 15-22'!G33,'Expenditures 15-22'!I33)+'Expenditures 15-22'!D229</f>
        <v>1283661</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400</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48677</v>
      </c>
      <c r="F21" s="1800"/>
      <c r="G21" s="1803">
        <f>'Expenditures 15-22'!K42-SUM('Expenditures 15-22'!G42,'Expenditures 15-22'!I42)+'Expenditures 15-22'!K120-SUM('Expenditures 15-22'!G120,'Expenditures 15-22'!I120)+'Expenditures 15-22'!K180-SUM('Expenditures 15-22'!G180,'Expenditures 15-22'!I180)+'Expenditures 15-22'!D238</f>
        <v>48677</v>
      </c>
      <c r="H21" s="987"/>
      <c r="I21" s="162"/>
    </row>
    <row r="22" spans="1:9" s="668" customFormat="1" ht="12" customHeight="1" x14ac:dyDescent="0.2">
      <c r="A22" s="994" t="s">
        <v>563</v>
      </c>
      <c r="B22" s="995"/>
      <c r="C22" s="993">
        <v>2200</v>
      </c>
      <c r="D22" s="1800"/>
      <c r="E22" s="1802">
        <f>'Expenditures 15-22'!K47-SUM('Expenditures 15-22'!G47,'Expenditures 15-22'!I47)+'Expenditures 15-22'!D243</f>
        <v>617</v>
      </c>
      <c r="F22" s="1800"/>
      <c r="G22" s="1803">
        <f>'Expenditures 15-22'!K47-SUM('Expenditures 15-22'!G47,'Expenditures 15-22'!I47)+'Expenditures 15-22'!D243</f>
        <v>617</v>
      </c>
      <c r="H22" s="987"/>
      <c r="I22" s="162"/>
    </row>
    <row r="23" spans="1:9" s="668" customFormat="1" ht="12" customHeight="1" x14ac:dyDescent="0.2">
      <c r="A23" s="994" t="s">
        <v>564</v>
      </c>
      <c r="B23" s="995"/>
      <c r="C23" s="993">
        <v>2300</v>
      </c>
      <c r="D23" s="1800"/>
      <c r="E23" s="1802">
        <f>'Expenditures 15-22'!K53-SUM('Expenditures 15-22'!G53,'Expenditures 15-22'!I53)+'Expenditures 15-22'!D257+'Expenditures 15-22'!K330-SUM('Expenditures 15-22'!G330,'Expenditures 15-22'!I330)</f>
        <v>175021</v>
      </c>
      <c r="F23" s="1800"/>
      <c r="G23" s="1802">
        <f>'Expenditures 15-22'!K53-SUM('Expenditures 15-22'!G53,'Expenditures 15-22'!I53)+'Expenditures 15-22'!D257+'Expenditures 15-22'!K330-SUM('Expenditures 15-22'!G330,'Expenditures 15-22'!I330)</f>
        <v>175021</v>
      </c>
      <c r="H23" s="987"/>
      <c r="I23" s="162"/>
    </row>
    <row r="24" spans="1:9" s="668" customFormat="1" ht="12" customHeight="1" x14ac:dyDescent="0.2">
      <c r="A24" s="994" t="s">
        <v>565</v>
      </c>
      <c r="B24" s="995"/>
      <c r="C24" s="993">
        <v>2400</v>
      </c>
      <c r="D24" s="1800"/>
      <c r="E24" s="1802">
        <f>'Expenditures 15-22'!K57-SUM('Expenditures 15-22'!G57,'Expenditures 15-22'!I57)+'Expenditures 15-22'!D261</f>
        <v>64953</v>
      </c>
      <c r="F24" s="1800"/>
      <c r="G24" s="1803">
        <f>'Expenditures 15-22'!K57-SUM('Expenditures 15-22'!G57,'Expenditures 15-22'!I57)+'Expenditures 15-22'!D261</f>
        <v>64953</v>
      </c>
      <c r="H24" s="987"/>
      <c r="I24" s="162"/>
    </row>
    <row r="25" spans="1:9" s="668" customFormat="1" ht="12" customHeight="1" x14ac:dyDescent="0.2">
      <c r="A25" s="990" t="s">
        <v>566</v>
      </c>
      <c r="B25" s="996"/>
      <c r="C25" s="993"/>
      <c r="D25" s="1800"/>
      <c r="E25" s="1802"/>
      <c r="F25" s="1800"/>
      <c r="G25" s="1803"/>
      <c r="H25" s="987"/>
      <c r="I25" s="162"/>
    </row>
    <row r="26" spans="1:9" s="668" customFormat="1" ht="12" customHeight="1" x14ac:dyDescent="0.2">
      <c r="A26" s="994" t="s">
        <v>514</v>
      </c>
      <c r="B26" s="997"/>
      <c r="C26" s="993">
        <v>2510</v>
      </c>
      <c r="D26" s="1802">
        <f>'Expenditures 15-22'!K59-SUM('Expenditures 15-22'!G59,'Expenditures 15-22'!I59)+'Expenditures 15-22'!D263-E7</f>
        <v>39012</v>
      </c>
      <c r="E26" s="1802">
        <f>'Expenditures 15-22'!K122-SUM('Expenditures 15-22'!G122,'Expenditures 15-22'!I122)+E7</f>
        <v>0</v>
      </c>
      <c r="F26" s="1802">
        <f>'Expenditures 15-22'!K59-SUM('Expenditures 15-22'!G59,'Expenditures 15-22'!I59)+'Expenditures 15-22'!D263-E7</f>
        <v>39012</v>
      </c>
      <c r="G26" s="1803">
        <f>'Expenditures 15-22'!K122-SUM('Expenditures 15-22'!G122,'Expenditures 15-22'!I122)+E7</f>
        <v>0</v>
      </c>
      <c r="H26" s="987"/>
      <c r="I26" s="162"/>
    </row>
    <row r="27" spans="1:9" s="668" customFormat="1" ht="12" customHeight="1" x14ac:dyDescent="0.2">
      <c r="A27" s="994" t="s">
        <v>462</v>
      </c>
      <c r="B27" s="997"/>
      <c r="C27" s="993">
        <v>2520</v>
      </c>
      <c r="D27" s="1802">
        <f>'Expenditures 15-22'!K60-SUM('Expenditures 15-22'!G60,'Expenditures 15-22'!I60)+'Expenditures 15-22'!D264-E8</f>
        <v>0</v>
      </c>
      <c r="E27" s="1802">
        <f>E8</f>
        <v>0</v>
      </c>
      <c r="F27" s="1802">
        <f>'Expenditures 15-22'!K60-SUM('Expenditures 15-22'!G60,'Expenditures 15-22'!I60)+'Expenditures 15-22'!D264-E8</f>
        <v>0</v>
      </c>
      <c r="G27" s="1803">
        <f>E8</f>
        <v>0</v>
      </c>
      <c r="H27" s="987"/>
      <c r="I27" s="162"/>
    </row>
    <row r="28" spans="1:9" s="668" customFormat="1" ht="12" customHeight="1" x14ac:dyDescent="0.2">
      <c r="A28" s="994" t="s">
        <v>515</v>
      </c>
      <c r="B28" s="997"/>
      <c r="C28" s="993">
        <v>2540</v>
      </c>
      <c r="D28" s="1804"/>
      <c r="E28" s="1802">
        <f>'Expenditures 15-22'!K61-SUM('Expenditures 15-22'!G61,'Expenditures 15-22'!I61)+'Expenditures 15-22'!K124-SUM('Expenditures 15-22'!G124,'Expenditures 15-22'!I124)+'Expenditures 15-22'!D266</f>
        <v>183142</v>
      </c>
      <c r="F28" s="1804">
        <f>'Expenditures 15-22'!K61-SUM('Expenditures 15-22'!G61,'Expenditures 15-22'!I61)+'Expenditures 15-22'!K124-SUM('Expenditures 15-22'!G124,'Expenditures 15-22'!I124)+'Expenditures 15-22'!D266-E9</f>
        <v>183142</v>
      </c>
      <c r="G28" s="1803">
        <f>E9</f>
        <v>0</v>
      </c>
      <c r="H28" s="987"/>
      <c r="I28" s="162"/>
    </row>
    <row r="29" spans="1:9" ht="12" customHeight="1" x14ac:dyDescent="0.2">
      <c r="A29" s="994" t="s">
        <v>516</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240258</v>
      </c>
      <c r="F29" s="1800"/>
      <c r="G29" s="1803">
        <f>'Expenditures 15-22'!K62-SUM('Expenditures 15-22'!G62,'Expenditures 15-22'!I62)+'Expenditures 15-22'!K125-SUM('Expenditures 15-22'!G125,'Expenditures 15-22'!I125)+'Expenditures 15-22'!K182-SUM('Expenditures 15-22'!G182,'Expenditures 15-22'!I182)+'Expenditures 15-22'!D267</f>
        <v>240258</v>
      </c>
      <c r="H29" s="985"/>
    </row>
    <row r="30" spans="1:9" ht="12" customHeight="1" x14ac:dyDescent="0.2">
      <c r="A30" s="994" t="s">
        <v>100</v>
      </c>
      <c r="B30" s="997"/>
      <c r="C30" s="993">
        <v>2560</v>
      </c>
      <c r="D30" s="1800"/>
      <c r="E30" s="1802">
        <f>'Expenditures 15-22'!K63-SUM('Expenditures 15-22'!G63,'Expenditures 15-22'!I63)+'Expenditures 15-22'!D268-E10</f>
        <v>76541</v>
      </c>
      <c r="F30" s="1800"/>
      <c r="G30" s="1802">
        <f>'Expenditures 15-22'!K63-SUM('Expenditures 15-22'!G63,'Expenditures 15-22'!I63)+'Expenditures 15-22'!D268-E10</f>
        <v>76541</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517</v>
      </c>
      <c r="B32" s="996"/>
      <c r="C32" s="993"/>
      <c r="D32" s="1800"/>
      <c r="E32" s="1800"/>
      <c r="F32" s="1800"/>
      <c r="G32" s="1800"/>
    </row>
    <row r="33" spans="1:7" ht="12" customHeight="1" x14ac:dyDescent="0.2">
      <c r="A33" s="994" t="s">
        <v>518</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519</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1060</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402</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403</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520</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0"/>
      <c r="E40" s="1804">
        <f>-'Contracts Paid in CY 29'!G37</f>
        <v>0</v>
      </c>
      <c r="F40" s="1800"/>
      <c r="G40" s="1804">
        <f>-'Contracts Paid in CY 29'!G37</f>
        <v>0</v>
      </c>
    </row>
    <row r="41" spans="1:7" ht="12" customHeight="1" x14ac:dyDescent="0.2">
      <c r="A41" s="998" t="s">
        <v>156</v>
      </c>
      <c r="B41" s="999"/>
      <c r="C41" s="1000"/>
      <c r="D41" s="1804">
        <f>SUM(D19:D39)</f>
        <v>39012</v>
      </c>
      <c r="E41" s="1804">
        <f>SUM(E19:E40)</f>
        <v>2072870</v>
      </c>
      <c r="F41" s="1804">
        <f>SUM(F19:F39)</f>
        <v>222154</v>
      </c>
      <c r="G41" s="1804">
        <f>SUM(G19:G40)</f>
        <v>1889728</v>
      </c>
    </row>
    <row r="42" spans="1:7" x14ac:dyDescent="0.2">
      <c r="A42" s="987"/>
      <c r="B42" s="162"/>
      <c r="C42" s="1001"/>
      <c r="D42" s="2283" t="s">
        <v>521</v>
      </c>
      <c r="E42" s="2284"/>
      <c r="F42" s="1002" t="s">
        <v>522</v>
      </c>
      <c r="G42" s="1003"/>
    </row>
    <row r="43" spans="1:7" ht="12" customHeight="1" x14ac:dyDescent="0.2">
      <c r="A43" s="987"/>
      <c r="B43" s="162"/>
      <c r="C43" s="1001"/>
      <c r="D43" s="1805" t="s">
        <v>472</v>
      </c>
      <c r="E43" s="1806">
        <f>D41</f>
        <v>39012</v>
      </c>
      <c r="F43" s="1805" t="s">
        <v>472</v>
      </c>
      <c r="G43" s="1806">
        <f>F41</f>
        <v>222154</v>
      </c>
    </row>
    <row r="44" spans="1:7" ht="12" customHeight="1" x14ac:dyDescent="0.2">
      <c r="A44" s="987"/>
      <c r="B44" s="162"/>
      <c r="C44" s="1001"/>
      <c r="D44" s="1805" t="s">
        <v>473</v>
      </c>
      <c r="E44" s="1806">
        <f>E41</f>
        <v>2072870</v>
      </c>
      <c r="F44" s="1805" t="s">
        <v>473</v>
      </c>
      <c r="G44" s="1806">
        <f>G41</f>
        <v>1889728</v>
      </c>
    </row>
    <row r="45" spans="1:7" ht="12" customHeight="1" x14ac:dyDescent="0.2">
      <c r="A45" s="987"/>
      <c r="B45" s="162"/>
      <c r="C45" s="162"/>
      <c r="D45" s="1807" t="s">
        <v>1005</v>
      </c>
      <c r="E45" s="1808">
        <f>(E43/E44)</f>
        <v>1.8820282989285387E-2</v>
      </c>
      <c r="F45" s="1807" t="s">
        <v>1005</v>
      </c>
      <c r="G45" s="1808">
        <f>(G43/G44)</f>
        <v>0.1175587174450503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B31" sqref="B31"/>
      <selection pane="bottomLeft" activeCell="B31" sqref="B3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3" t="s">
        <v>1378</v>
      </c>
      <c r="B1" s="2303"/>
      <c r="C1" s="2303"/>
      <c r="D1" s="2303"/>
      <c r="E1" s="2303"/>
      <c r="F1" s="2303"/>
    </row>
    <row r="2" spans="1:10" x14ac:dyDescent="0.2">
      <c r="A2" s="1884" t="s">
        <v>1910</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304" t="s">
        <v>1545</v>
      </c>
      <c r="B5" s="2305"/>
      <c r="C5" s="2306"/>
      <c r="D5" s="2306"/>
      <c r="E5" s="2306"/>
      <c r="F5" s="2306"/>
    </row>
    <row r="6" spans="1:10" ht="12" customHeight="1" x14ac:dyDescent="0.25">
      <c r="A6" s="1847"/>
      <c r="B6" s="1848"/>
      <c r="C6" s="2307" t="str">
        <f>COVER!A17</f>
        <v>Field CCSD 3</v>
      </c>
      <c r="D6" s="2307"/>
      <c r="E6" s="2307"/>
      <c r="F6" s="1849"/>
    </row>
    <row r="7" spans="1:10" ht="11.25" customHeight="1" thickBot="1" x14ac:dyDescent="0.3">
      <c r="A7" s="1847"/>
      <c r="B7" s="1848"/>
      <c r="C7" s="2308">
        <f>COVER!A13</f>
        <v>13041003004</v>
      </c>
      <c r="D7" s="2308"/>
      <c r="E7" s="2308"/>
      <c r="F7" s="1849"/>
    </row>
    <row r="8" spans="1:10" ht="25.5" customHeight="1" thickBot="1" x14ac:dyDescent="0.25">
      <c r="A8" s="1890" t="s">
        <v>1906</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t="s">
        <v>2082</v>
      </c>
      <c r="D13" s="1862" t="s">
        <v>2082</v>
      </c>
      <c r="E13" s="1865" t="s">
        <v>2082</v>
      </c>
      <c r="F13" s="1864" t="s">
        <v>2103</v>
      </c>
      <c r="H13" s="1875">
        <f t="shared" si="0"/>
        <v>5</v>
      </c>
      <c r="I13" s="1875">
        <f t="shared" si="1"/>
        <v>5</v>
      </c>
      <c r="J13" s="1875">
        <f t="shared" si="2"/>
        <v>5</v>
      </c>
    </row>
    <row r="14" spans="1:10" ht="12" customHeight="1" x14ac:dyDescent="0.2">
      <c r="A14" s="1860" t="s">
        <v>1385</v>
      </c>
      <c r="B14" s="1861"/>
      <c r="C14" s="1862" t="s">
        <v>2082</v>
      </c>
      <c r="D14" s="1862" t="s">
        <v>2082</v>
      </c>
      <c r="E14" s="1865" t="s">
        <v>2082</v>
      </c>
      <c r="F14" s="1864" t="s">
        <v>2102</v>
      </c>
      <c r="H14" s="1875">
        <f t="shared" si="0"/>
        <v>5</v>
      </c>
      <c r="I14" s="1875">
        <f t="shared" si="1"/>
        <v>5</v>
      </c>
      <c r="J14" s="1875">
        <f t="shared" si="2"/>
        <v>5</v>
      </c>
    </row>
    <row r="15" spans="1:10" ht="12" customHeight="1" x14ac:dyDescent="0.2">
      <c r="A15" s="1860" t="s">
        <v>1386</v>
      </c>
      <c r="B15" s="1861"/>
      <c r="C15" s="1862"/>
      <c r="D15" s="1862"/>
      <c r="E15" s="1865"/>
      <c r="F15" s="1864"/>
      <c r="H15" s="1875">
        <f t="shared" si="0"/>
        <v>0</v>
      </c>
      <c r="I15" s="1875">
        <f t="shared" si="1"/>
        <v>0</v>
      </c>
      <c r="J15" s="1875">
        <f t="shared" si="2"/>
        <v>0</v>
      </c>
    </row>
    <row r="16" spans="1:10" ht="12" customHeight="1" x14ac:dyDescent="0.2">
      <c r="A16" s="1860" t="s">
        <v>1387</v>
      </c>
      <c r="B16" s="1861"/>
      <c r="C16" s="1862" t="s">
        <v>2082</v>
      </c>
      <c r="D16" s="1862" t="s">
        <v>2082</v>
      </c>
      <c r="E16" s="1865" t="s">
        <v>2082</v>
      </c>
      <c r="F16" s="1864" t="s">
        <v>2104</v>
      </c>
      <c r="H16" s="1875">
        <f t="shared" si="0"/>
        <v>5</v>
      </c>
      <c r="I16" s="1875">
        <f t="shared" si="1"/>
        <v>5</v>
      </c>
      <c r="J16" s="1875">
        <f t="shared" si="2"/>
        <v>5</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t="s">
        <v>2082</v>
      </c>
      <c r="D19" s="1862" t="s">
        <v>2082</v>
      </c>
      <c r="E19" s="1865" t="s">
        <v>2082</v>
      </c>
      <c r="F19" s="1864" t="s">
        <v>2105</v>
      </c>
      <c r="H19" s="1875">
        <f t="shared" si="0"/>
        <v>5</v>
      </c>
      <c r="I19" s="1875">
        <f t="shared" si="1"/>
        <v>5</v>
      </c>
      <c r="J19" s="1875">
        <f t="shared" si="2"/>
        <v>5</v>
      </c>
    </row>
    <row r="20" spans="1:12" ht="12" customHeight="1" x14ac:dyDescent="0.2">
      <c r="A20" s="1860" t="s">
        <v>1527</v>
      </c>
      <c r="B20" s="1861"/>
      <c r="C20" s="1862"/>
      <c r="D20" s="1862"/>
      <c r="E20" s="1865"/>
      <c r="F20" s="1864"/>
      <c r="H20" s="1875">
        <f t="shared" si="0"/>
        <v>0</v>
      </c>
      <c r="I20" s="1875">
        <f t="shared" si="1"/>
        <v>0</v>
      </c>
      <c r="J20" s="1875">
        <f t="shared" si="2"/>
        <v>0</v>
      </c>
    </row>
    <row r="21" spans="1:12" ht="12" customHeight="1" x14ac:dyDescent="0.2">
      <c r="A21" s="1860" t="s">
        <v>1528</v>
      </c>
      <c r="B21" s="1861"/>
      <c r="C21" s="1862"/>
      <c r="D21" s="1862"/>
      <c r="E21" s="1865"/>
      <c r="F21" s="1864"/>
      <c r="H21" s="1875">
        <f t="shared" si="0"/>
        <v>0</v>
      </c>
      <c r="I21" s="1875">
        <f t="shared" si="1"/>
        <v>0</v>
      </c>
      <c r="J21" s="1875">
        <f t="shared" si="2"/>
        <v>0</v>
      </c>
    </row>
    <row r="22" spans="1:12" ht="12" customHeight="1" x14ac:dyDescent="0.2">
      <c r="A22" s="1860" t="s">
        <v>1529</v>
      </c>
      <c r="B22" s="1861"/>
      <c r="C22" s="1862"/>
      <c r="D22" s="1862"/>
      <c r="E22" s="1865"/>
      <c r="F22" s="1864"/>
      <c r="H22" s="1875">
        <f t="shared" si="0"/>
        <v>0</v>
      </c>
      <c r="I22" s="1875">
        <f t="shared" si="1"/>
        <v>0</v>
      </c>
      <c r="J22" s="1875">
        <f t="shared" si="2"/>
        <v>0</v>
      </c>
    </row>
    <row r="23" spans="1:12" ht="12" customHeight="1" x14ac:dyDescent="0.2">
      <c r="A23" s="1860" t="s">
        <v>1530</v>
      </c>
      <c r="B23" s="1861"/>
      <c r="C23" s="1862"/>
      <c r="D23" s="1862"/>
      <c r="E23" s="1865"/>
      <c r="F23" s="1864"/>
      <c r="H23" s="1875">
        <f t="shared" si="0"/>
        <v>0</v>
      </c>
      <c r="I23" s="1875">
        <f t="shared" si="1"/>
        <v>0</v>
      </c>
      <c r="J23" s="1875">
        <f t="shared" si="2"/>
        <v>0</v>
      </c>
    </row>
    <row r="24" spans="1:12" ht="12" customHeight="1" x14ac:dyDescent="0.2">
      <c r="A24" s="1860" t="s">
        <v>1531</v>
      </c>
      <c r="B24" s="1861"/>
      <c r="C24" s="1862"/>
      <c r="D24" s="1862"/>
      <c r="E24" s="1865"/>
      <c r="F24" s="1864"/>
      <c r="H24" s="1875">
        <f t="shared" si="0"/>
        <v>0</v>
      </c>
      <c r="I24" s="1875">
        <f t="shared" si="1"/>
        <v>0</v>
      </c>
      <c r="J24" s="1875">
        <f t="shared" si="2"/>
        <v>0</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t="s">
        <v>2082</v>
      </c>
      <c r="D26" s="1862" t="s">
        <v>2082</v>
      </c>
      <c r="E26" s="1865" t="s">
        <v>2082</v>
      </c>
      <c r="F26" s="1864" t="s">
        <v>2106</v>
      </c>
      <c r="H26" s="1875">
        <f t="shared" si="0"/>
        <v>5</v>
      </c>
      <c r="I26" s="1875">
        <f t="shared" si="1"/>
        <v>5</v>
      </c>
      <c r="J26" s="1875">
        <f t="shared" si="2"/>
        <v>5</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c r="D28" s="1862"/>
      <c r="E28" s="1865"/>
      <c r="F28" s="1864"/>
      <c r="H28" s="1875">
        <f t="shared" si="0"/>
        <v>0</v>
      </c>
      <c r="I28" s="1875">
        <f t="shared" si="1"/>
        <v>0</v>
      </c>
      <c r="J28" s="1875">
        <f t="shared" si="2"/>
        <v>0</v>
      </c>
    </row>
    <row r="29" spans="1:12" ht="12" customHeight="1" x14ac:dyDescent="0.2">
      <c r="A29" s="1860" t="s">
        <v>1536</v>
      </c>
      <c r="B29" s="1861"/>
      <c r="C29" s="1862"/>
      <c r="D29" s="1862"/>
      <c r="E29" s="1865"/>
      <c r="F29" s="1864"/>
      <c r="H29" s="1875">
        <f t="shared" si="0"/>
        <v>0</v>
      </c>
      <c r="I29" s="1875">
        <f t="shared" si="1"/>
        <v>0</v>
      </c>
      <c r="J29" s="1875">
        <f t="shared" si="2"/>
        <v>0</v>
      </c>
    </row>
    <row r="30" spans="1:12" ht="12" customHeight="1" x14ac:dyDescent="0.2">
      <c r="A30" s="1860" t="s">
        <v>1537</v>
      </c>
      <c r="B30" s="1861"/>
      <c r="C30" s="1862" t="s">
        <v>2082</v>
      </c>
      <c r="D30" s="1862" t="s">
        <v>2082</v>
      </c>
      <c r="E30" s="1865" t="s">
        <v>2082</v>
      </c>
      <c r="F30" s="1864" t="s">
        <v>2107</v>
      </c>
      <c r="H30" s="1875">
        <f t="shared" si="0"/>
        <v>5</v>
      </c>
      <c r="I30" s="1875">
        <f t="shared" si="1"/>
        <v>5</v>
      </c>
      <c r="J30" s="1875">
        <f t="shared" si="2"/>
        <v>5</v>
      </c>
    </row>
    <row r="31" spans="1:12" ht="12" customHeight="1" x14ac:dyDescent="0.2">
      <c r="A31" s="1860" t="s">
        <v>1538</v>
      </c>
      <c r="B31" s="1861"/>
      <c r="C31" s="1862"/>
      <c r="D31" s="1862"/>
      <c r="E31" s="1865"/>
      <c r="F31" s="1864"/>
      <c r="H31" s="1875">
        <f t="shared" si="0"/>
        <v>0</v>
      </c>
      <c r="I31" s="1875">
        <f t="shared" si="1"/>
        <v>0</v>
      </c>
      <c r="J31" s="1875">
        <f t="shared" si="2"/>
        <v>0</v>
      </c>
      <c r="L31" s="1866"/>
    </row>
    <row r="32" spans="1:12" ht="12" customHeight="1" x14ac:dyDescent="0.2">
      <c r="A32" s="1860" t="s">
        <v>1539</v>
      </c>
      <c r="B32" s="1861"/>
      <c r="C32" s="1862"/>
      <c r="D32" s="1862"/>
      <c r="E32" s="1865"/>
      <c r="F32" s="1864"/>
      <c r="H32" s="1875">
        <f t="shared" si="0"/>
        <v>0</v>
      </c>
      <c r="I32" s="1875">
        <f t="shared" si="1"/>
        <v>0</v>
      </c>
      <c r="J32" s="1875">
        <f t="shared" si="2"/>
        <v>0</v>
      </c>
    </row>
    <row r="33" spans="1:11" ht="12" customHeight="1" x14ac:dyDescent="0.2">
      <c r="A33" s="1860" t="s">
        <v>1540</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30</v>
      </c>
      <c r="I34" s="1875">
        <f>SUM(I11:I32)</f>
        <v>30</v>
      </c>
      <c r="J34" s="1875">
        <f>SUM(J11:J32)</f>
        <v>30</v>
      </c>
      <c r="K34" s="1875">
        <f>SUM(H34:J34)</f>
        <v>90</v>
      </c>
    </row>
    <row r="35" spans="1:11" ht="12" customHeight="1" x14ac:dyDescent="0.2">
      <c r="A35" s="1868" t="s">
        <v>1391</v>
      </c>
      <c r="B35" s="1869"/>
      <c r="C35" s="2309"/>
      <c r="D35" s="2309"/>
      <c r="E35" s="2309"/>
      <c r="F35" s="2310"/>
    </row>
    <row r="36" spans="1:11" ht="12" customHeight="1" x14ac:dyDescent="0.2">
      <c r="A36" s="2302" t="s">
        <v>2108</v>
      </c>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0"/>
      <c r="B39" s="1870"/>
      <c r="C39" s="1870"/>
      <c r="D39" s="1870"/>
      <c r="E39" s="1870"/>
      <c r="F39" s="1870"/>
    </row>
    <row r="40" spans="1:11" s="1867" customFormat="1" ht="12" customHeight="1" x14ac:dyDescent="0.25">
      <c r="A40" s="1871" t="s">
        <v>1390</v>
      </c>
      <c r="B40" s="1872"/>
      <c r="C40" s="2297"/>
      <c r="D40" s="2297"/>
      <c r="E40" s="2297"/>
      <c r="F40" s="2298"/>
      <c r="H40" s="1876"/>
      <c r="I40" s="1876"/>
      <c r="J40" s="1876"/>
      <c r="K40" s="1876"/>
    </row>
    <row r="41" spans="1:11" s="1867" customFormat="1" ht="12" customHeight="1" x14ac:dyDescent="0.25">
      <c r="A41" s="2299"/>
      <c r="B41" s="2300"/>
      <c r="C41" s="2300"/>
      <c r="D41" s="2300"/>
      <c r="E41" s="2300"/>
      <c r="F41" s="2301"/>
      <c r="H41" s="1876"/>
      <c r="I41" s="1876"/>
      <c r="J41" s="1876"/>
      <c r="K41" s="1876"/>
    </row>
    <row r="42" spans="1:11" s="1867" customFormat="1" ht="12" customHeight="1" x14ac:dyDescent="0.25">
      <c r="A42" s="2299"/>
      <c r="B42" s="2300"/>
      <c r="C42" s="2300"/>
      <c r="D42" s="2300"/>
      <c r="E42" s="2300"/>
      <c r="F42" s="2301"/>
      <c r="H42" s="1876"/>
      <c r="I42" s="1876"/>
      <c r="J42" s="1876"/>
      <c r="K42" s="1876"/>
    </row>
    <row r="43" spans="1:11" s="1867" customFormat="1" ht="15" x14ac:dyDescent="0.25">
      <c r="A43" s="2288"/>
      <c r="B43" s="2289"/>
      <c r="C43" s="2289"/>
      <c r="D43" s="2289"/>
      <c r="E43" s="2289"/>
      <c r="F43" s="2290"/>
      <c r="H43" s="1876"/>
      <c r="I43" s="1876"/>
      <c r="J43" s="1876"/>
      <c r="K43" s="1876"/>
    </row>
    <row r="44" spans="1:11" s="1867" customFormat="1" ht="12" hidden="1" customHeight="1" x14ac:dyDescent="0.25">
      <c r="A44" s="2288"/>
      <c r="B44" s="2289"/>
      <c r="C44" s="2289"/>
      <c r="D44" s="2289"/>
      <c r="E44" s="2289"/>
      <c r="F44" s="229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31" sqref="B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1" t="s">
        <v>671</v>
      </c>
      <c r="B6" s="1642"/>
      <c r="C6" s="1642"/>
      <c r="D6" s="1642"/>
      <c r="E6" s="1643"/>
      <c r="F6" s="1015"/>
      <c r="G6" s="1009"/>
      <c r="H6" s="1016" t="s">
        <v>1027</v>
      </c>
      <c r="I6" s="2316" t="str">
        <f>COVER!A17</f>
        <v>Field CCSD 3</v>
      </c>
      <c r="J6" s="2317"/>
      <c r="Q6" s="1662"/>
    </row>
    <row r="7" spans="1:17" x14ac:dyDescent="0.2">
      <c r="A7" s="2318" t="s">
        <v>868</v>
      </c>
      <c r="B7" s="2319"/>
      <c r="C7" s="2319"/>
      <c r="D7" s="2319"/>
      <c r="E7" s="2320"/>
      <c r="F7" s="1017"/>
      <c r="G7" s="1009"/>
      <c r="H7" s="1016" t="s">
        <v>371</v>
      </c>
      <c r="I7" s="2321">
        <f>COVER!A13</f>
        <v>13041003004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1976</v>
      </c>
      <c r="F9" s="1023"/>
      <c r="G9" s="1023"/>
      <c r="H9" s="1893" t="s">
        <v>1977</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2" t="s">
        <v>480</v>
      </c>
      <c r="B11" s="2323"/>
      <c r="C11" s="2324"/>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9">
        <f>'Expenditures 15-22'!K50</f>
        <v>97451</v>
      </c>
      <c r="F12" s="1039"/>
      <c r="G12" s="1809">
        <f t="shared" ref="G12:G18" si="0">SUM(E12:F12)</f>
        <v>97451</v>
      </c>
      <c r="H12" s="1040">
        <v>98455</v>
      </c>
      <c r="I12" s="1039"/>
      <c r="J12" s="1809">
        <f t="shared" ref="J12:J18" si="1">SUM(H12:I12)</f>
        <v>98455</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1067</v>
      </c>
      <c r="C15" s="1037"/>
      <c r="D15" s="1038">
        <v>2510</v>
      </c>
      <c r="E15" s="1809">
        <f>'Expenditures 15-22'!K59</f>
        <v>35064</v>
      </c>
      <c r="F15" s="1809">
        <f>'Expenditures 15-22'!K122</f>
        <v>0</v>
      </c>
      <c r="G15" s="1809">
        <f t="shared" si="0"/>
        <v>35064</v>
      </c>
      <c r="H15" s="1040">
        <v>36138</v>
      </c>
      <c r="I15" s="1040"/>
      <c r="J15" s="1809">
        <f t="shared" si="1"/>
        <v>36138</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1059</v>
      </c>
      <c r="C17" s="1037"/>
      <c r="D17" s="1038">
        <v>2610</v>
      </c>
      <c r="E17" s="1809">
        <f>'Expenditures 15-22'!K67</f>
        <v>0</v>
      </c>
      <c r="F17" s="1039"/>
      <c r="G17" s="1809">
        <f t="shared" si="0"/>
        <v>0</v>
      </c>
      <c r="H17" s="1040"/>
      <c r="I17" s="1039"/>
      <c r="J17" s="1809">
        <f t="shared" si="1"/>
        <v>0</v>
      </c>
    </row>
    <row r="18" spans="1:10" ht="22.5" customHeight="1" x14ac:dyDescent="0.2">
      <c r="A18" s="1042">
        <v>7</v>
      </c>
      <c r="B18" s="2325" t="s">
        <v>7</v>
      </c>
      <c r="C18" s="2326"/>
      <c r="D18" s="2327"/>
      <c r="E18" s="1043"/>
      <c r="F18" s="1043"/>
      <c r="G18" s="1810">
        <f t="shared" si="0"/>
        <v>0</v>
      </c>
      <c r="H18" s="1040"/>
      <c r="I18" s="1040"/>
      <c r="J18" s="1809">
        <f t="shared" si="1"/>
        <v>0</v>
      </c>
    </row>
    <row r="19" spans="1:10" ht="12.75" customHeight="1" thickBot="1" x14ac:dyDescent="0.25">
      <c r="A19" s="1035">
        <v>8</v>
      </c>
      <c r="B19" s="1044" t="s">
        <v>1160</v>
      </c>
      <c r="D19" s="1045"/>
      <c r="E19" s="1811">
        <f t="shared" ref="E19:J19" si="2">SUM(E12:E17)-E18</f>
        <v>132515</v>
      </c>
      <c r="F19" s="1811">
        <f t="shared" si="2"/>
        <v>0</v>
      </c>
      <c r="G19" s="1811">
        <f t="shared" si="2"/>
        <v>132515</v>
      </c>
      <c r="H19" s="1811">
        <f t="shared" si="2"/>
        <v>134593</v>
      </c>
      <c r="I19" s="1811">
        <f t="shared" si="2"/>
        <v>0</v>
      </c>
      <c r="J19" s="1811">
        <f t="shared" si="2"/>
        <v>134593</v>
      </c>
    </row>
    <row r="20" spans="1:10" ht="13.5" thickTop="1" x14ac:dyDescent="0.2">
      <c r="A20" s="1035">
        <v>9</v>
      </c>
      <c r="B20" s="2328" t="s">
        <v>1978</v>
      </c>
      <c r="C20" s="2328"/>
      <c r="D20" s="2329"/>
      <c r="E20" s="1046"/>
      <c r="F20" s="1046"/>
      <c r="G20" s="1046"/>
      <c r="H20" s="1046"/>
      <c r="I20" s="1046"/>
      <c r="J20" s="1812">
        <f>IF(AND(G19&gt;0,J19&gt;0),(((J19-G19)/G19)),"Enter Budget Data")</f>
        <v>1.5681243632796289E-2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1032</v>
      </c>
      <c r="D27" s="1052"/>
      <c r="E27" s="1053"/>
      <c r="F27" s="2330" t="s">
        <v>1508</v>
      </c>
      <c r="G27" s="2330"/>
    </row>
    <row r="28" spans="1:10" ht="28.5" customHeight="1" x14ac:dyDescent="0.2">
      <c r="B28" s="1047"/>
      <c r="C28" s="2332"/>
      <c r="D28" s="2332"/>
      <c r="E28" s="1054"/>
      <c r="F28" s="2332"/>
      <c r="G28" s="2332"/>
    </row>
    <row r="29" spans="1:10" x14ac:dyDescent="0.2">
      <c r="B29" s="1047"/>
      <c r="C29" s="1055" t="s">
        <v>1560</v>
      </c>
      <c r="E29" s="1056"/>
      <c r="F29" s="2331" t="s">
        <v>1509</v>
      </c>
      <c r="G29" s="2331"/>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881</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31" sqref="B3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2109</v>
      </c>
    </row>
    <row r="6" spans="1:2" x14ac:dyDescent="0.2">
      <c r="A6" s="1068"/>
    </row>
    <row r="7" spans="1:2" x14ac:dyDescent="0.2">
      <c r="A7" s="1068">
        <v>2</v>
      </c>
      <c r="B7" s="329" t="s">
        <v>2110</v>
      </c>
    </row>
    <row r="8" spans="1:2" x14ac:dyDescent="0.2">
      <c r="A8" s="1069" t="s">
        <v>2111</v>
      </c>
    </row>
    <row r="9" spans="1:2" x14ac:dyDescent="0.2">
      <c r="A9" s="1069"/>
    </row>
    <row r="10" spans="1:2" x14ac:dyDescent="0.2">
      <c r="A10" s="1069">
        <v>3</v>
      </c>
      <c r="B10" s="329" t="s">
        <v>2112</v>
      </c>
    </row>
    <row r="11" spans="1:2" x14ac:dyDescent="0.2">
      <c r="A11" s="1069"/>
    </row>
    <row r="12" spans="1:2" x14ac:dyDescent="0.2">
      <c r="A12" s="1069">
        <v>4</v>
      </c>
      <c r="B12" s="329" t="s">
        <v>2113</v>
      </c>
    </row>
    <row r="13" spans="1:2" x14ac:dyDescent="0.2">
      <c r="A13" s="1069"/>
    </row>
    <row r="14" spans="1:2" x14ac:dyDescent="0.2">
      <c r="A14" s="1069">
        <v>5</v>
      </c>
      <c r="B14" s="329" t="s">
        <v>2114</v>
      </c>
    </row>
    <row r="15" spans="1:2" x14ac:dyDescent="0.2">
      <c r="A15" s="1069"/>
      <c r="B15" s="329" t="s">
        <v>2122</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Field CCSD 3</v>
      </c>
    </row>
    <row r="65" spans="2:2" x14ac:dyDescent="0.2">
      <c r="B65" s="1070">
        <f>COVER!A13</f>
        <v>13041003004</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31" sqref="B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34" t="s">
        <v>1610</v>
      </c>
    </row>
    <row r="23" spans="1:5" x14ac:dyDescent="0.2">
      <c r="A23" s="168"/>
      <c r="B23" s="162" t="s">
        <v>1855</v>
      </c>
      <c r="D23" s="167" t="s">
        <v>636</v>
      </c>
      <c r="E23" s="1834"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1" t="s">
        <v>1064</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690</v>
      </c>
      <c r="B40" s="2048"/>
      <c r="C40" s="2048"/>
      <c r="D40" s="2048"/>
      <c r="E40" s="2048"/>
    </row>
    <row r="41" spans="1:5" x14ac:dyDescent="0.2">
      <c r="A41" s="2049" t="s">
        <v>1607</v>
      </c>
      <c r="B41" s="2049"/>
      <c r="C41" s="2049"/>
      <c r="D41" s="2049"/>
      <c r="E41" s="2049"/>
    </row>
    <row r="42" spans="1:5" ht="12.75" customHeight="1" x14ac:dyDescent="0.2">
      <c r="A42" s="2050" t="s">
        <v>1021</v>
      </c>
      <c r="B42" s="2050"/>
      <c r="C42" s="2050"/>
      <c r="D42" s="2050"/>
      <c r="E42" s="2050"/>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B31" sqref="B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5" t="s">
        <v>1684</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1695450</xdr:colOff>
                <xdr:row>4</xdr:row>
                <xdr:rowOff>123825</xdr:rowOff>
              </from>
              <to>
                <xdr:col>1</xdr:col>
                <xdr:colOff>2609850</xdr:colOff>
                <xdr:row>9</xdr:row>
                <xdr:rowOff>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B31" sqref="B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1689</v>
      </c>
      <c r="B1" s="2337"/>
      <c r="C1" s="2337"/>
      <c r="D1" s="2337"/>
      <c r="E1" s="2337"/>
      <c r="F1" s="2338"/>
    </row>
    <row r="2" spans="1:8" ht="45" customHeight="1" x14ac:dyDescent="0.2">
      <c r="A2" s="2346" t="s">
        <v>1984</v>
      </c>
      <c r="B2" s="2347"/>
      <c r="C2" s="2347"/>
      <c r="D2" s="2347"/>
      <c r="E2" s="2347"/>
      <c r="F2" s="2348"/>
      <c r="G2" s="1074"/>
      <c r="H2" s="1074"/>
    </row>
    <row r="3" spans="1:8" ht="57" customHeight="1" x14ac:dyDescent="0.2">
      <c r="A3" s="2349" t="s">
        <v>1685</v>
      </c>
      <c r="B3" s="2350"/>
      <c r="C3" s="2350"/>
      <c r="D3" s="2350"/>
      <c r="E3" s="2350"/>
      <c r="F3" s="2351"/>
      <c r="G3" s="1074"/>
      <c r="H3" s="1074"/>
    </row>
    <row r="4" spans="1:8" ht="14.25" customHeight="1" x14ac:dyDescent="0.2">
      <c r="A4" s="2355" t="s">
        <v>1985</v>
      </c>
      <c r="B4" s="2356"/>
      <c r="C4" s="2356"/>
      <c r="D4" s="2356"/>
      <c r="E4" s="2356"/>
      <c r="F4" s="2357"/>
      <c r="G4" s="1074"/>
      <c r="H4" s="1074"/>
    </row>
    <row r="5" spans="1:8" ht="14.25" customHeight="1" x14ac:dyDescent="0.2">
      <c r="A5" s="2358" t="s">
        <v>1981</v>
      </c>
      <c r="B5" s="2359"/>
      <c r="C5" s="2359"/>
      <c r="D5" s="2359"/>
      <c r="E5" s="2359"/>
      <c r="F5" s="2360"/>
      <c r="G5" s="1074"/>
      <c r="H5" s="1074"/>
    </row>
    <row r="6" spans="1:8" s="1075" customFormat="1" ht="41.25" customHeight="1" x14ac:dyDescent="0.2">
      <c r="A6" s="2352" t="s">
        <v>1690</v>
      </c>
      <c r="B6" s="2353"/>
      <c r="C6" s="2353"/>
      <c r="D6" s="2353"/>
      <c r="E6" s="2353"/>
      <c r="F6" s="2354"/>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3">
        <f>'Acct Summary 7-8'!C8</f>
        <v>1894341</v>
      </c>
      <c r="C8" s="1813">
        <f>'Acct Summary 7-8'!D8</f>
        <v>62265</v>
      </c>
      <c r="D8" s="1813">
        <f>'Acct Summary 7-8'!F8</f>
        <v>282998</v>
      </c>
      <c r="E8" s="1813">
        <f>'Acct Summary 7-8'!I8</f>
        <v>11866</v>
      </c>
      <c r="F8" s="1813">
        <f>SUM(B8:E8)</f>
        <v>2251470</v>
      </c>
    </row>
    <row r="9" spans="1:8" s="1079" customFormat="1" ht="14.25" customHeight="1" thickBot="1" x14ac:dyDescent="0.25">
      <c r="A9" s="1078" t="s">
        <v>1368</v>
      </c>
      <c r="B9" s="1814">
        <f>'Acct Summary 7-8'!C17</f>
        <v>1948611</v>
      </c>
      <c r="C9" s="1814">
        <f>'Acct Summary 7-8'!D17</f>
        <v>68650</v>
      </c>
      <c r="D9" s="1814">
        <f>'Acct Summary 7-8'!F17</f>
        <v>410547</v>
      </c>
      <c r="E9" s="1813"/>
      <c r="F9" s="1813">
        <f>SUM(B9:E9)</f>
        <v>2427808</v>
      </c>
    </row>
    <row r="10" spans="1:8" s="1079" customFormat="1" ht="14.25" thickTop="1" thickBot="1" x14ac:dyDescent="0.25">
      <c r="A10" s="1080" t="s">
        <v>1369</v>
      </c>
      <c r="B10" s="1815">
        <f>(B8-B9)</f>
        <v>-54270</v>
      </c>
      <c r="C10" s="1815">
        <f>(C8-C9)</f>
        <v>-6385</v>
      </c>
      <c r="D10" s="1815">
        <f>(D8-D9)</f>
        <v>-127549</v>
      </c>
      <c r="E10" s="1814">
        <f>(E8-E9)</f>
        <v>11866</v>
      </c>
      <c r="F10" s="1816">
        <f>SUM(F8-F9)</f>
        <v>-176338</v>
      </c>
    </row>
    <row r="11" spans="1:8" s="1079" customFormat="1" ht="14.25" thickTop="1" thickBot="1" x14ac:dyDescent="0.25">
      <c r="A11" s="1081" t="s">
        <v>1982</v>
      </c>
      <c r="B11" s="1817">
        <f>'Acct Summary 7-8'!C81</f>
        <v>428289</v>
      </c>
      <c r="C11" s="1817">
        <f>'Acct Summary 7-8'!D81</f>
        <v>172600</v>
      </c>
      <c r="D11" s="1817">
        <f>'Acct Summary 7-8'!F81</f>
        <v>149621</v>
      </c>
      <c r="E11" s="1817">
        <f>'Acct Summary 7-8'!I81</f>
        <v>131627</v>
      </c>
      <c r="F11" s="1818">
        <f>SUM(B11:E11)</f>
        <v>882137</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1686</v>
      </c>
      <c r="B16" s="2339"/>
      <c r="C16" s="2339"/>
      <c r="D16" s="2339"/>
      <c r="E16" s="2339"/>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C43" sqref="C43:D4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664</v>
      </c>
      <c r="B3" s="2362"/>
      <c r="C3" s="2362"/>
      <c r="D3" s="2363"/>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2" t="s">
        <v>1503</v>
      </c>
      <c r="D7" s="2373"/>
    </row>
    <row r="8" spans="1:4" s="668" customFormat="1" ht="12.75" x14ac:dyDescent="0.2">
      <c r="A8" s="1138"/>
      <c r="B8" s="1093"/>
      <c r="C8" s="1096" t="s">
        <v>1502</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4" t="s">
        <v>1007</v>
      </c>
      <c r="B15" s="2365"/>
      <c r="C15" s="2365"/>
      <c r="D15" s="2366"/>
    </row>
    <row r="16" spans="1:4" s="668" customFormat="1" ht="24" customHeight="1" x14ac:dyDescent="0.2">
      <c r="A16" s="2367" t="s">
        <v>662</v>
      </c>
      <c r="B16" s="2368"/>
      <c r="C16" s="2368"/>
      <c r="D16" s="2369"/>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6" t="s">
        <v>313</v>
      </c>
      <c r="D21" s="2377"/>
    </row>
    <row r="22" spans="1:10" ht="12.75" x14ac:dyDescent="0.2">
      <c r="A22" s="1139"/>
      <c r="B22" s="1140">
        <v>2</v>
      </c>
      <c r="C22" s="2374" t="s">
        <v>1523</v>
      </c>
      <c r="D22" s="2375"/>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8" t="s">
        <v>535</v>
      </c>
      <c r="D43" s="2379"/>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0" t="s">
        <v>783</v>
      </c>
      <c r="D56" s="2371"/>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1020</v>
      </c>
      <c r="D67" s="1125"/>
    </row>
    <row r="68" spans="1:4" x14ac:dyDescent="0.2">
      <c r="A68" s="1100"/>
      <c r="B68" s="1110"/>
      <c r="C68" s="1102" t="s">
        <v>1913</v>
      </c>
      <c r="D68" s="1124" t="str">
        <f>IF('Short-Term Long-Term Debt 24'!F49=SUM(,'Acct Summary 7-8'!C33:K33),"OK","ERROR!")</f>
        <v>ERROR!</v>
      </c>
    </row>
    <row r="69" spans="1:4" x14ac:dyDescent="0.2">
      <c r="A69" s="1100"/>
      <c r="B69" s="1110"/>
      <c r="C69" s="1102" t="s">
        <v>1914</v>
      </c>
      <c r="D69" s="1124" t="str">
        <f>IF('Expenditures 15-22'!H170&lt;&gt;'Short-Term Long-Term Debt 24'!H49,"ERROR!","OK")</f>
        <v>ERROR!</v>
      </c>
    </row>
    <row r="70" spans="1:4" x14ac:dyDescent="0.2">
      <c r="A70" s="1098"/>
      <c r="B70" s="1120">
        <f>B66+1</f>
        <v>9</v>
      </c>
      <c r="C70" s="2370" t="s">
        <v>1695</v>
      </c>
      <c r="D70" s="2371"/>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29'!D37&gt;0,"OK","PLEASE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13041003004</v>
      </c>
    </row>
    <row r="3" spans="1:2" x14ac:dyDescent="0.2">
      <c r="A3" t="s">
        <v>955</v>
      </c>
      <c r="B3" s="138" t="str">
        <f>COVER!A15</f>
        <v>JEFFERSON</v>
      </c>
    </row>
    <row r="4" spans="1:2" x14ac:dyDescent="0.2">
      <c r="A4" t="s">
        <v>1006</v>
      </c>
      <c r="B4" s="138" t="str">
        <f>COVER!A17</f>
        <v>Field CCSD 3</v>
      </c>
    </row>
    <row r="5" spans="1:2" x14ac:dyDescent="0.2">
      <c r="A5" t="s">
        <v>703</v>
      </c>
      <c r="B5" s="138" t="str">
        <f>COVER!A38</f>
        <v>WAYNE STONE</v>
      </c>
    </row>
    <row r="6" spans="1:2" x14ac:dyDescent="0.2">
      <c r="A6" t="s">
        <v>708</v>
      </c>
      <c r="B6" s="138">
        <f>COVER!P35</f>
        <v>0</v>
      </c>
    </row>
    <row r="7" spans="1:2" x14ac:dyDescent="0.2">
      <c r="A7" t="s">
        <v>704</v>
      </c>
      <c r="B7" s="138">
        <f>COVER!I38</f>
        <v>0</v>
      </c>
    </row>
    <row r="8" spans="1:2" x14ac:dyDescent="0.2">
      <c r="A8" t="s">
        <v>705</v>
      </c>
      <c r="B8" s="138" t="str">
        <f>COVER!T38</f>
        <v>Ron Daniels</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f>IF(COVER!J30="x","Yes",IF(COVER!L30="x","No",0))</f>
        <v>0</v>
      </c>
    </row>
    <row r="14" spans="1:2" x14ac:dyDescent="0.2">
      <c r="A14" t="s">
        <v>475</v>
      </c>
      <c r="B14" s="138" t="str">
        <f>IF(COVER!J31="x","Yes",IF(COVER!L31="x","No",0))</f>
        <v>Yes</v>
      </c>
    </row>
    <row r="15" spans="1:2" x14ac:dyDescent="0.2">
      <c r="A15" t="s">
        <v>576</v>
      </c>
      <c r="B15" s="138" t="str">
        <f>COVER!T23</f>
        <v>066-004957</v>
      </c>
    </row>
    <row r="16" spans="1:2" x14ac:dyDescent="0.2">
      <c r="A16" t="s">
        <v>421</v>
      </c>
      <c r="B16" s="138" t="str">
        <f>COVER!T13</f>
        <v>SUSAN J. LYONS, CPA, P.C.</v>
      </c>
    </row>
    <row r="17" spans="1:2" x14ac:dyDescent="0.2">
      <c r="A17" t="s">
        <v>883</v>
      </c>
      <c r="B17" s="138" t="str">
        <f>COVER!T15</f>
        <v>SUSAN J. LYONS</v>
      </c>
    </row>
    <row r="18" spans="1:2" x14ac:dyDescent="0.2">
      <c r="A18" t="s">
        <v>1149</v>
      </c>
      <c r="B18" s="138" t="str">
        <f>COVER!T17</f>
        <v>5859 U.S. HIGHWAY 51</v>
      </c>
    </row>
    <row r="19" spans="1:2" x14ac:dyDescent="0.2">
      <c r="A19" t="s">
        <v>885</v>
      </c>
      <c r="B19" s="138" t="str">
        <f>COVER!T25</f>
        <v>slyons1007@gmail.com</v>
      </c>
    </row>
    <row r="20" spans="1:2" x14ac:dyDescent="0.2">
      <c r="A20" t="s">
        <v>886</v>
      </c>
      <c r="B20" s="138" t="str">
        <f>COVER!T19</f>
        <v>ODIN</v>
      </c>
    </row>
    <row r="21" spans="1:2" x14ac:dyDescent="0.2">
      <c r="A21" t="s">
        <v>478</v>
      </c>
      <c r="B21" s="138" t="str">
        <f>COVER!X19</f>
        <v>IL</v>
      </c>
    </row>
    <row r="22" spans="1:2" x14ac:dyDescent="0.2">
      <c r="A22" t="s">
        <v>887</v>
      </c>
      <c r="B22" s="138">
        <f>COVER!Z19</f>
        <v>62870</v>
      </c>
    </row>
    <row r="23" spans="1:2" x14ac:dyDescent="0.2">
      <c r="A23" t="s">
        <v>1151</v>
      </c>
      <c r="B23" s="138" t="str">
        <f>COVER!T21</f>
        <v>618-267-3213</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t="str">
        <f>COVER!U34</f>
        <v>X</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36161</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42990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428289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428289</v>
      </c>
      <c r="D92" s="2" t="str">
        <f t="shared" si="0"/>
        <v>Error?</v>
      </c>
    </row>
    <row r="93" spans="1:4" x14ac:dyDescent="0.2">
      <c r="A93" s="5">
        <v>32</v>
      </c>
      <c r="B93" s="138">
        <f>'Assets-Liab 5-6'!C41</f>
        <v>428289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172600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172600</v>
      </c>
      <c r="D123" s="2" t="str">
        <f t="shared" si="0"/>
        <v>Error?</v>
      </c>
    </row>
    <row r="124" spans="1:4" x14ac:dyDescent="0.2">
      <c r="A124" s="5">
        <v>63</v>
      </c>
      <c r="B124" s="138">
        <f>'Assets-Liab 5-6'!D41</f>
        <v>172600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1922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1922</v>
      </c>
      <c r="D140" s="2" t="str">
        <f t="shared" si="1"/>
        <v>Error?</v>
      </c>
    </row>
    <row r="141" spans="1:4" x14ac:dyDescent="0.2">
      <c r="A141" s="5">
        <v>80</v>
      </c>
      <c r="B141" s="138">
        <f>'Assets-Liab 5-6'!E41</f>
        <v>1922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149621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149621</v>
      </c>
      <c r="D170" s="2" t="str">
        <f t="shared" si="1"/>
        <v>Error?</v>
      </c>
    </row>
    <row r="171" spans="1:4" x14ac:dyDescent="0.2">
      <c r="A171" s="5">
        <v>110</v>
      </c>
      <c r="B171" s="138">
        <f>'Assets-Liab 5-6'!F41</f>
        <v>149621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78846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32987</v>
      </c>
      <c r="D189" s="2" t="str">
        <f t="shared" si="1"/>
        <v>Error?</v>
      </c>
    </row>
    <row r="190" spans="1:4" x14ac:dyDescent="0.2">
      <c r="A190" s="5">
        <v>129</v>
      </c>
      <c r="B190" s="138">
        <f>'Assets-Liab 5-6'!G41</f>
        <v>78846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39949</v>
      </c>
      <c r="D273" s="2" t="str">
        <f t="shared" si="3"/>
        <v>Error?</v>
      </c>
    </row>
    <row r="274" spans="1:4" x14ac:dyDescent="0.2">
      <c r="A274" s="5">
        <v>213</v>
      </c>
      <c r="B274" s="138">
        <f>'Assets-Liab 5-6'!M17</f>
        <v>3254830</v>
      </c>
      <c r="D274" s="2" t="str">
        <f t="shared" si="3"/>
        <v>Error?</v>
      </c>
    </row>
    <row r="275" spans="1:4" x14ac:dyDescent="0.2">
      <c r="A275" s="5">
        <v>214</v>
      </c>
      <c r="B275" s="138">
        <f>'Assets-Liab 5-6'!M18</f>
        <v>89995</v>
      </c>
      <c r="D275" s="2" t="str">
        <f t="shared" si="3"/>
        <v>Error?</v>
      </c>
    </row>
    <row r="276" spans="1:4" x14ac:dyDescent="0.2">
      <c r="A276" s="5">
        <v>215</v>
      </c>
      <c r="B276" s="138">
        <f>'Assets-Liab 5-6'!M19</f>
        <v>1036932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4421706</v>
      </c>
      <c r="C279" s="2" t="s">
        <v>572</v>
      </c>
      <c r="D279" s="2" t="str">
        <f t="shared" si="3"/>
        <v>Error?</v>
      </c>
    </row>
    <row r="280" spans="1:4" x14ac:dyDescent="0.2">
      <c r="A280" s="5">
        <v>219</v>
      </c>
      <c r="B280" s="138">
        <f>'Assets-Liab 5-6'!M40</f>
        <v>4421706</v>
      </c>
      <c r="D280" s="2" t="str">
        <f t="shared" si="3"/>
        <v>Error?</v>
      </c>
    </row>
    <row r="281" spans="1:4" x14ac:dyDescent="0.2">
      <c r="A281" s="5">
        <v>220</v>
      </c>
      <c r="B281" s="138">
        <f>'Assets-Liab 5-6'!M41</f>
        <v>4421706</v>
      </c>
      <c r="C281" s="2" t="s">
        <v>572</v>
      </c>
      <c r="D281" s="2" t="str">
        <f t="shared" si="3"/>
        <v>Error?</v>
      </c>
    </row>
    <row r="282" spans="1:4" x14ac:dyDescent="0.2">
      <c r="A282" s="5">
        <v>221</v>
      </c>
      <c r="B282" s="138">
        <f>'Assets-Liab 5-6'!N21</f>
        <v>1922</v>
      </c>
      <c r="D282" s="2" t="str">
        <f t="shared" si="3"/>
        <v>Error?</v>
      </c>
    </row>
    <row r="283" spans="1:4" x14ac:dyDescent="0.2">
      <c r="A283" s="5">
        <v>222</v>
      </c>
      <c r="B283" s="138">
        <f>'Assets-Liab 5-6'!N22</f>
        <v>217529</v>
      </c>
      <c r="D283" s="2" t="str">
        <f t="shared" si="3"/>
        <v>Error?</v>
      </c>
    </row>
    <row r="284" spans="1:4" x14ac:dyDescent="0.2">
      <c r="A284" s="5">
        <v>223</v>
      </c>
      <c r="B284" s="138">
        <f>'Assets-Liab 5-6'!N23</f>
        <v>219451</v>
      </c>
      <c r="C284" s="2" t="s">
        <v>572</v>
      </c>
      <c r="D284" s="2" t="str">
        <f t="shared" si="3"/>
        <v>Error?</v>
      </c>
    </row>
    <row r="285" spans="1:4" x14ac:dyDescent="0.2">
      <c r="A285" s="5">
        <v>224</v>
      </c>
      <c r="B285" s="138">
        <f>'Assets-Liab 5-6'!N36</f>
        <v>219451</v>
      </c>
      <c r="D285" s="2" t="str">
        <f t="shared" si="3"/>
        <v>Error?</v>
      </c>
    </row>
    <row r="286" spans="1:4" x14ac:dyDescent="0.2">
      <c r="A286" s="10">
        <v>225</v>
      </c>
      <c r="D286" s="2" t="str">
        <f t="shared" si="3"/>
        <v>OK</v>
      </c>
    </row>
    <row r="287" spans="1:4" x14ac:dyDescent="0.2">
      <c r="A287" s="5">
        <v>226</v>
      </c>
      <c r="B287" s="138">
        <f>'Assets-Liab 5-6'!N37</f>
        <v>219451</v>
      </c>
      <c r="C287" s="2" t="s">
        <v>572</v>
      </c>
      <c r="D287" s="2" t="str">
        <f t="shared" si="3"/>
        <v>Error?</v>
      </c>
    </row>
    <row r="288" spans="1:4" x14ac:dyDescent="0.2">
      <c r="A288" s="5">
        <v>227</v>
      </c>
      <c r="B288" s="138">
        <f>'Assets-Liab 5-6'!N41</f>
        <v>219451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721033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19935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964045</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10246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10246</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572</v>
      </c>
      <c r="D731" s="2" t="str">
        <f t="shared" si="10"/>
        <v>Error?</v>
      </c>
    </row>
    <row r="732" spans="1:4" x14ac:dyDescent="0.2">
      <c r="A732" s="5">
        <v>671</v>
      </c>
      <c r="B732" s="138">
        <f>'Expenditures 15-22'!C49</f>
        <v>3060</v>
      </c>
      <c r="D732" s="2" t="str">
        <f t="shared" si="10"/>
        <v>Error?</v>
      </c>
    </row>
    <row r="733" spans="1:4" x14ac:dyDescent="0.2">
      <c r="A733" s="5">
        <v>672</v>
      </c>
      <c r="B733" s="138">
        <f>'Expenditures 15-22'!C50</f>
        <v>83553</v>
      </c>
      <c r="D733" s="2" t="str">
        <f t="shared" si="10"/>
        <v>Error?</v>
      </c>
    </row>
    <row r="734" spans="1:4" x14ac:dyDescent="0.2">
      <c r="A734" s="5">
        <v>673</v>
      </c>
      <c r="B734" s="138">
        <f>'Expenditures 15-22'!C53</f>
        <v>86613</v>
      </c>
      <c r="C734" s="2" t="s">
        <v>572</v>
      </c>
      <c r="D734" s="2" t="str">
        <f t="shared" si="10"/>
        <v>Error?</v>
      </c>
    </row>
    <row r="735" spans="1:4" x14ac:dyDescent="0.2">
      <c r="A735" s="5">
        <v>674</v>
      </c>
      <c r="B735" s="138">
        <f>'Expenditures 15-22'!C55</f>
        <v>51478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51478</v>
      </c>
      <c r="C737" s="2" t="s">
        <v>572</v>
      </c>
      <c r="D737" s="2" t="str">
        <f t="shared" si="10"/>
        <v>Error?</v>
      </c>
    </row>
    <row r="738" spans="1:4" x14ac:dyDescent="0.2">
      <c r="A738" s="5">
        <v>677</v>
      </c>
      <c r="B738" s="138">
        <f>'Expenditures 15-22'!C59</f>
        <v>27707</v>
      </c>
      <c r="D738" s="2" t="str">
        <f t="shared" si="10"/>
        <v>Error?</v>
      </c>
    </row>
    <row r="739" spans="1:4" x14ac:dyDescent="0.2">
      <c r="A739" s="5">
        <v>678</v>
      </c>
      <c r="B739" s="138">
        <f>'Expenditures 15-22'!C60</f>
        <v>0</v>
      </c>
      <c r="D739" s="2" t="str">
        <f t="shared" si="10"/>
        <v>Error?</v>
      </c>
    </row>
    <row r="740" spans="1:4" x14ac:dyDescent="0.2">
      <c r="A740" s="5">
        <v>679</v>
      </c>
      <c r="B740" s="138">
        <f>'Expenditures 15-22'!C61</f>
        <v>60612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57368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145687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294024</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1258069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146666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828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184074</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13587</v>
      </c>
      <c r="D791" s="2" t="str">
        <f t="shared" si="11"/>
        <v>Error?</v>
      </c>
    </row>
    <row r="792" spans="1:4" x14ac:dyDescent="0.2">
      <c r="A792" s="5">
        <v>731</v>
      </c>
      <c r="B792" s="138">
        <f>'Expenditures 15-22'!D53</f>
        <v>13587</v>
      </c>
      <c r="C792" s="2" t="s">
        <v>572</v>
      </c>
      <c r="D792" s="2" t="str">
        <f t="shared" si="11"/>
        <v>Error?</v>
      </c>
    </row>
    <row r="793" spans="1:4" x14ac:dyDescent="0.2">
      <c r="A793" s="5">
        <v>732</v>
      </c>
      <c r="B793" s="138">
        <f>'Expenditures 15-22'!D55</f>
        <v>11790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11790</v>
      </c>
      <c r="C795" s="2" t="s">
        <v>572</v>
      </c>
      <c r="D795" s="2" t="str">
        <f t="shared" si="11"/>
        <v>Error?</v>
      </c>
    </row>
    <row r="796" spans="1:4" x14ac:dyDescent="0.2">
      <c r="A796" s="5">
        <v>735</v>
      </c>
      <c r="B796" s="138">
        <f>'Expenditures 15-22'!D59</f>
        <v>5375</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10750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7880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24005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49382</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233456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41799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43515</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37101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37101</v>
      </c>
      <c r="C843" s="2" t="s">
        <v>572</v>
      </c>
      <c r="D843" s="2" t="str">
        <f t="shared" si="12"/>
        <v>Error?</v>
      </c>
    </row>
    <row r="844" spans="1:4" x14ac:dyDescent="0.2">
      <c r="A844" s="5">
        <v>783</v>
      </c>
      <c r="B844" s="138">
        <f>'Expenditures 15-22'!E44</f>
        <v>125</v>
      </c>
      <c r="D844" s="2" t="str">
        <f t="shared" si="12"/>
        <v>Error?</v>
      </c>
    </row>
    <row r="845" spans="1:4" x14ac:dyDescent="0.2">
      <c r="A845" s="5">
        <v>784</v>
      </c>
      <c r="B845" s="138">
        <f>'Expenditures 15-22'!E45</f>
        <v>492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617</v>
      </c>
      <c r="C847" s="2" t="s">
        <v>572</v>
      </c>
      <c r="D847" s="2" t="str">
        <f t="shared" si="12"/>
        <v>Error?</v>
      </c>
    </row>
    <row r="848" spans="1:4" x14ac:dyDescent="0.2">
      <c r="A848" s="5">
        <v>787</v>
      </c>
      <c r="B848" s="138">
        <f>'Expenditures 15-22'!E49</f>
        <v>32434</v>
      </c>
      <c r="D848" s="2" t="str">
        <f t="shared" si="12"/>
        <v>Error?</v>
      </c>
    </row>
    <row r="849" spans="1:4" x14ac:dyDescent="0.2">
      <c r="A849" s="5">
        <v>788</v>
      </c>
      <c r="B849" s="138">
        <f>'Expenditures 15-22'!E50</f>
        <v>16</v>
      </c>
      <c r="D849" s="2" t="str">
        <f t="shared" si="12"/>
        <v>Error?</v>
      </c>
    </row>
    <row r="850" spans="1:4" x14ac:dyDescent="0.2">
      <c r="A850" s="5">
        <v>789</v>
      </c>
      <c r="B850" s="138">
        <f>'Expenditures 15-22'!E53</f>
        <v>32450</v>
      </c>
      <c r="C850" s="2" t="s">
        <v>572</v>
      </c>
      <c r="D850" s="2" t="str">
        <f t="shared" si="12"/>
        <v>Error?</v>
      </c>
    </row>
    <row r="851" spans="1:4" x14ac:dyDescent="0.2">
      <c r="A851" s="5">
        <v>790</v>
      </c>
      <c r="B851" s="138">
        <f>'Expenditures 15-22'!E55</f>
        <v>1070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1070</v>
      </c>
      <c r="C853" s="2" t="s">
        <v>572</v>
      </c>
      <c r="D853" s="2" t="str">
        <f t="shared" si="12"/>
        <v>Error?</v>
      </c>
    </row>
    <row r="854" spans="1:4" x14ac:dyDescent="0.2">
      <c r="A854" s="5">
        <v>793</v>
      </c>
      <c r="B854" s="138">
        <f>'Expenditures 15-22'!E59</f>
        <v>1102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53459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57541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128779</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198950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50974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61120</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546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546</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572</v>
      </c>
      <c r="D905" s="2" t="str">
        <f t="shared" si="13"/>
        <v>Error?</v>
      </c>
    </row>
    <row r="906" spans="1:4" x14ac:dyDescent="0.2">
      <c r="A906" s="5">
        <v>845</v>
      </c>
      <c r="B906" s="138">
        <f>'Expenditures 15-22'!F49</f>
        <v>2897</v>
      </c>
      <c r="D906" s="2" t="str">
        <f t="shared" si="13"/>
        <v>Error?</v>
      </c>
    </row>
    <row r="907" spans="1:4" x14ac:dyDescent="0.2">
      <c r="A907" s="5">
        <v>846</v>
      </c>
      <c r="B907" s="138">
        <f>'Expenditures 15-22'!F50</f>
        <v>295</v>
      </c>
      <c r="D907" s="2" t="str">
        <f t="shared" si="13"/>
        <v>Error?</v>
      </c>
    </row>
    <row r="908" spans="1:4" x14ac:dyDescent="0.2">
      <c r="A908" s="5">
        <v>847</v>
      </c>
      <c r="B908" s="138">
        <f>'Expenditures 15-22'!F53</f>
        <v>3192</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880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8361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46578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55819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59557</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120677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48317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48317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837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837</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2083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2083</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2920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51237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86222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86222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1008789</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22613</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1301071</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10792</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37101</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47893</v>
      </c>
      <c r="C1115" s="2" t="s">
        <v>572</v>
      </c>
      <c r="D1115" s="2" t="str">
        <f t="shared" si="16"/>
        <v>Error?</v>
      </c>
    </row>
    <row r="1116" spans="1:4" x14ac:dyDescent="0.2">
      <c r="A1116" s="5">
        <v>1055</v>
      </c>
      <c r="B1116" s="138">
        <f>'Expenditures 15-22'!K44</f>
        <v>125</v>
      </c>
      <c r="C1116" s="2" t="s">
        <v>572</v>
      </c>
      <c r="D1116" s="2" t="str">
        <f t="shared" si="16"/>
        <v>Error?</v>
      </c>
    </row>
    <row r="1117" spans="1:4" x14ac:dyDescent="0.2">
      <c r="A1117" s="5">
        <v>1056</v>
      </c>
      <c r="B1117" s="138">
        <f>'Expenditures 15-22'!K45</f>
        <v>492</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617</v>
      </c>
      <c r="C1119" s="2" t="s">
        <v>572</v>
      </c>
      <c r="D1119" s="2" t="str">
        <f t="shared" si="16"/>
        <v>Error?</v>
      </c>
    </row>
    <row r="1120" spans="1:4" x14ac:dyDescent="0.2">
      <c r="A1120" s="5">
        <v>1059</v>
      </c>
      <c r="B1120" s="138">
        <f>'Expenditures 15-22'!K49</f>
        <v>38391</v>
      </c>
      <c r="C1120" s="2" t="s">
        <v>572</v>
      </c>
      <c r="D1120" s="2" t="str">
        <f t="shared" si="16"/>
        <v>Error?</v>
      </c>
    </row>
    <row r="1121" spans="1:4" x14ac:dyDescent="0.2">
      <c r="A1121" s="5">
        <v>1060</v>
      </c>
      <c r="B1121" s="138">
        <f>'Expenditures 15-22'!K50</f>
        <v>97451</v>
      </c>
      <c r="C1121" s="2" t="s">
        <v>572</v>
      </c>
      <c r="D1121" s="2" t="str">
        <f t="shared" si="16"/>
        <v>Error?</v>
      </c>
    </row>
    <row r="1122" spans="1:4" x14ac:dyDescent="0.2">
      <c r="A1122" s="5">
        <v>1061</v>
      </c>
      <c r="B1122" s="138">
        <f>'Expenditures 15-22'!K53</f>
        <v>135842</v>
      </c>
      <c r="C1122" s="2" t="s">
        <v>572</v>
      </c>
      <c r="D1122" s="2" t="str">
        <f t="shared" si="16"/>
        <v>Error?</v>
      </c>
    </row>
    <row r="1123" spans="1:4" x14ac:dyDescent="0.2">
      <c r="A1123" s="5">
        <v>1062</v>
      </c>
      <c r="B1123" s="138">
        <f>'Expenditures 15-22'!K55</f>
        <v>65175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65175</v>
      </c>
      <c r="C1125" s="2" t="s">
        <v>572</v>
      </c>
      <c r="D1125" s="2" t="str">
        <f t="shared" si="16"/>
        <v>Error?</v>
      </c>
    </row>
    <row r="1126" spans="1:4" x14ac:dyDescent="0.2">
      <c r="A1126" s="5">
        <v>1065</v>
      </c>
      <c r="B1126" s="138">
        <f>'Expenditures 15-22'!K59</f>
        <v>35064</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133182</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116889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285135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534662</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112878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1948611</v>
      </c>
      <c r="C1152" s="2" t="s">
        <v>572</v>
      </c>
      <c r="D1152" s="2" t="str">
        <f t="shared" si="17"/>
        <v>Error?</v>
      </c>
    </row>
    <row r="1153" spans="1:4" x14ac:dyDescent="0.2">
      <c r="A1153" s="5">
        <v>1092</v>
      </c>
      <c r="B1153" s="138">
        <f>'Expenditures 15-22'!K115</f>
        <v>-54270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20831</v>
      </c>
      <c r="D1237" s="2" t="str">
        <f t="shared" si="18"/>
        <v>Error?</v>
      </c>
    </row>
    <row r="1238" spans="1:4" x14ac:dyDescent="0.2">
      <c r="A1238" s="10">
        <v>1177</v>
      </c>
      <c r="D1238" s="2" t="str">
        <f t="shared" si="18"/>
        <v>OK</v>
      </c>
    </row>
    <row r="1239" spans="1:4" x14ac:dyDescent="0.2">
      <c r="A1239" s="5">
        <v>1178</v>
      </c>
      <c r="B1239" s="138">
        <f>'Expenditures 15-22'!E127</f>
        <v>20831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20831</v>
      </c>
      <c r="C1241" s="2" t="s">
        <v>572</v>
      </c>
      <c r="D1241" s="2" t="str">
        <f t="shared" si="18"/>
        <v>Error?</v>
      </c>
    </row>
    <row r="1242" spans="1:4" x14ac:dyDescent="0.2">
      <c r="A1242" s="5">
        <v>1181</v>
      </c>
      <c r="B1242" s="138">
        <f>'Expenditures 15-22'!E151</f>
        <v>20831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21508</v>
      </c>
      <c r="D1245" s="2" t="str">
        <f t="shared" si="18"/>
        <v>Error?</v>
      </c>
    </row>
    <row r="1246" spans="1:4" x14ac:dyDescent="0.2">
      <c r="A1246" s="10">
        <v>1185</v>
      </c>
      <c r="D1246" s="2" t="str">
        <f t="shared" si="18"/>
        <v>OK</v>
      </c>
    </row>
    <row r="1247" spans="1:4" x14ac:dyDescent="0.2">
      <c r="A1247" s="5">
        <v>1186</v>
      </c>
      <c r="B1247" s="138">
        <f>'Expenditures 15-22'!F127</f>
        <v>21508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21508</v>
      </c>
      <c r="C1249" s="2" t="s">
        <v>572</v>
      </c>
      <c r="D1249" s="2" t="str">
        <f t="shared" si="18"/>
        <v>Error?</v>
      </c>
    </row>
    <row r="1250" spans="1:4" x14ac:dyDescent="0.2">
      <c r="A1250" s="5">
        <v>1189</v>
      </c>
      <c r="B1250" s="138">
        <f>'Expenditures 15-22'!F151</f>
        <v>21508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26311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26311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26311</v>
      </c>
      <c r="C1258" s="2" t="s">
        <v>572</v>
      </c>
      <c r="D1258" s="2" t="str">
        <f t="shared" si="18"/>
        <v>Error?</v>
      </c>
    </row>
    <row r="1259" spans="1:4" x14ac:dyDescent="0.2">
      <c r="A1259" s="5">
        <v>1198</v>
      </c>
      <c r="B1259" s="138">
        <f>'Expenditures 15-22'!G151</f>
        <v>26311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68650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68650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68650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68650</v>
      </c>
      <c r="C1288" s="2" t="s">
        <v>572</v>
      </c>
      <c r="D1288" s="2" t="str">
        <f t="shared" si="19"/>
        <v>Error?</v>
      </c>
    </row>
    <row r="1289" spans="1:4" x14ac:dyDescent="0.2">
      <c r="A1289" s="5">
        <v>1228</v>
      </c>
      <c r="B1289" s="138">
        <f>'Expenditures 15-22'!K152</f>
        <v>-6385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17322</v>
      </c>
      <c r="D1315" s="2" t="str">
        <f t="shared" si="19"/>
        <v>Error?</v>
      </c>
    </row>
    <row r="1316" spans="1:4" x14ac:dyDescent="0.2">
      <c r="A1316" s="5">
        <v>1255</v>
      </c>
      <c r="B1316" s="138">
        <f>'Expenditures 15-22'!H171</f>
        <v>250</v>
      </c>
      <c r="D1316" s="2" t="str">
        <f t="shared" si="19"/>
        <v>Error?</v>
      </c>
    </row>
    <row r="1317" spans="1:4" x14ac:dyDescent="0.2">
      <c r="A1317" s="5">
        <v>1256</v>
      </c>
      <c r="B1317" s="138">
        <f>'Expenditures 15-22'!H172</f>
        <v>18014</v>
      </c>
      <c r="C1317" s="2" t="s">
        <v>572</v>
      </c>
      <c r="D1317" s="2" t="str">
        <f t="shared" si="19"/>
        <v>Error?</v>
      </c>
    </row>
    <row r="1318" spans="1:4" x14ac:dyDescent="0.2">
      <c r="A1318" s="5">
        <v>1257</v>
      </c>
      <c r="B1318" s="138">
        <f>'Expenditures 15-22'!H174</f>
        <v>18014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442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17322</v>
      </c>
      <c r="C1329" s="2" t="s">
        <v>572</v>
      </c>
      <c r="D1329" s="2" t="str">
        <f t="shared" si="19"/>
        <v>Error?</v>
      </c>
    </row>
    <row r="1330" spans="1:4" x14ac:dyDescent="0.2">
      <c r="A1330" s="5">
        <v>1269</v>
      </c>
      <c r="B1330" s="138">
        <f>'Expenditures 15-22'!K171</f>
        <v>250</v>
      </c>
      <c r="C1330" s="2" t="s">
        <v>572</v>
      </c>
      <c r="D1330" s="2" t="str">
        <f t="shared" si="19"/>
        <v>Error?</v>
      </c>
    </row>
    <row r="1331" spans="1:4" x14ac:dyDescent="0.2">
      <c r="A1331" s="5">
        <v>1270</v>
      </c>
      <c r="B1331" s="138">
        <f>'Expenditures 15-22'!K172</f>
        <v>18014</v>
      </c>
      <c r="C1331" s="2" t="s">
        <v>572</v>
      </c>
      <c r="D1331" s="2" t="str">
        <f t="shared" si="19"/>
        <v>Error?</v>
      </c>
    </row>
    <row r="1332" spans="1:4" x14ac:dyDescent="0.2">
      <c r="A1332" s="5">
        <v>1271</v>
      </c>
      <c r="B1332" s="138">
        <f>'Expenditures 15-22'!K174</f>
        <v>18014</v>
      </c>
      <c r="C1332" s="2" t="s">
        <v>572</v>
      </c>
      <c r="D1332" s="2" t="str">
        <f t="shared" si="19"/>
        <v>Error?</v>
      </c>
    </row>
    <row r="1333" spans="1:4" x14ac:dyDescent="0.2">
      <c r="A1333" s="5">
        <v>1272</v>
      </c>
      <c r="B1333" s="138">
        <f>'Expenditures 15-22'!K175</f>
        <v>-130</v>
      </c>
      <c r="C1333" s="2" t="s">
        <v>572</v>
      </c>
      <c r="D1333" s="2" t="str">
        <f t="shared" si="19"/>
        <v>Error?</v>
      </c>
    </row>
    <row r="1334" spans="1:4" x14ac:dyDescent="0.2">
      <c r="A1334" s="10">
        <v>1273</v>
      </c>
      <c r="D1334" s="2" t="str">
        <f t="shared" si="19"/>
        <v>OK</v>
      </c>
    </row>
    <row r="1335" spans="1:4" x14ac:dyDescent="0.2">
      <c r="A1335" s="5">
        <v>1274</v>
      </c>
      <c r="B1335" s="138">
        <f>'Expenditures 15-22'!C182</f>
        <v>176292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176292</v>
      </c>
      <c r="C1339" s="2" t="s">
        <v>572</v>
      </c>
      <c r="D1339" s="2" t="str">
        <f t="shared" si="19"/>
        <v>Error?</v>
      </c>
    </row>
    <row r="1340" spans="1:4" x14ac:dyDescent="0.2">
      <c r="A1340" s="5">
        <v>1279</v>
      </c>
      <c r="B1340" s="138">
        <f>'Expenditures 15-22'!C210</f>
        <v>176292</v>
      </c>
      <c r="C1340" s="2" t="s">
        <v>572</v>
      </c>
      <c r="D1340" s="2" t="str">
        <f t="shared" si="19"/>
        <v>Error?</v>
      </c>
    </row>
    <row r="1341" spans="1:4" x14ac:dyDescent="0.2">
      <c r="A1341" s="5">
        <v>1280</v>
      </c>
      <c r="B1341" s="138">
        <f>'Expenditures 15-22'!D182</f>
        <v>10247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10247</v>
      </c>
      <c r="C1345" s="2" t="s">
        <v>572</v>
      </c>
      <c r="D1345" s="2" t="str">
        <f t="shared" si="20"/>
        <v>Error?</v>
      </c>
    </row>
    <row r="1346" spans="1:4" x14ac:dyDescent="0.2">
      <c r="A1346" s="5">
        <v>1285</v>
      </c>
      <c r="B1346" s="138">
        <f>'Expenditures 15-22'!D210</f>
        <v>10247</v>
      </c>
      <c r="C1346" s="2" t="s">
        <v>572</v>
      </c>
      <c r="D1346" s="2" t="str">
        <f t="shared" si="20"/>
        <v>Error?</v>
      </c>
    </row>
    <row r="1347" spans="1:4" x14ac:dyDescent="0.2">
      <c r="A1347" s="5">
        <v>1286</v>
      </c>
      <c r="B1347" s="138">
        <f>'Expenditures 15-22'!E182</f>
        <v>13218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13218</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13218</v>
      </c>
      <c r="C1353" s="2" t="s">
        <v>572</v>
      </c>
      <c r="D1353" s="2" t="str">
        <f t="shared" si="20"/>
        <v>Error?</v>
      </c>
    </row>
    <row r="1354" spans="1:4" x14ac:dyDescent="0.2">
      <c r="A1354" s="5">
        <v>1293</v>
      </c>
      <c r="B1354" s="138">
        <f>'Expenditures 15-22'!F182</f>
        <v>23435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23435</v>
      </c>
      <c r="C1358" s="2" t="s">
        <v>572</v>
      </c>
      <c r="D1358" s="2" t="str">
        <f t="shared" si="20"/>
        <v>Error?</v>
      </c>
    </row>
    <row r="1359" spans="1:4" x14ac:dyDescent="0.2">
      <c r="A1359" s="5">
        <v>1298</v>
      </c>
      <c r="B1359" s="138">
        <f>'Expenditures 15-22'!F210</f>
        <v>23435</v>
      </c>
      <c r="C1359" s="2" t="s">
        <v>572</v>
      </c>
      <c r="D1359" s="2" t="str">
        <f t="shared" si="20"/>
        <v>Error?</v>
      </c>
    </row>
    <row r="1360" spans="1:4" x14ac:dyDescent="0.2">
      <c r="A1360" s="5">
        <v>1299</v>
      </c>
      <c r="B1360" s="138">
        <f>'Expenditures 15-22'!G182</f>
        <v>158816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158816</v>
      </c>
      <c r="C1364" s="2" t="s">
        <v>572</v>
      </c>
      <c r="D1364" s="2" t="str">
        <f t="shared" si="20"/>
        <v>Error?</v>
      </c>
    </row>
    <row r="1365" spans="1:4" x14ac:dyDescent="0.2">
      <c r="A1365" s="5">
        <v>1304</v>
      </c>
      <c r="B1365" s="138">
        <f>'Expenditures 15-22'!G210</f>
        <v>158816</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28539</v>
      </c>
      <c r="C1375" s="2" t="s">
        <v>572</v>
      </c>
      <c r="D1375" s="2" t="str">
        <f t="shared" si="20"/>
        <v>Error?</v>
      </c>
    </row>
    <row r="1376" spans="1:4" x14ac:dyDescent="0.2">
      <c r="A1376" s="5">
        <v>1315</v>
      </c>
      <c r="B1376" s="138">
        <f>'Expenditures 15-22'!H210</f>
        <v>28539</v>
      </c>
      <c r="C1376" s="2" t="s">
        <v>572</v>
      </c>
      <c r="D1376" s="2" t="str">
        <f t="shared" si="20"/>
        <v>Error?</v>
      </c>
    </row>
    <row r="1377" spans="1:4" x14ac:dyDescent="0.2">
      <c r="A1377" s="5">
        <v>1316</v>
      </c>
      <c r="B1377" s="138">
        <f>'Expenditures 15-22'!K182</f>
        <v>382008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382008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28539</v>
      </c>
      <c r="C1387" s="2" t="s">
        <v>572</v>
      </c>
      <c r="D1387" s="2" t="str">
        <f t="shared" si="20"/>
        <v>Error?</v>
      </c>
    </row>
    <row r="1388" spans="1:4" x14ac:dyDescent="0.2">
      <c r="A1388" s="5">
        <v>1327</v>
      </c>
      <c r="B1388" s="138">
        <f>'Expenditures 15-22'!K210</f>
        <v>410547</v>
      </c>
      <c r="C1388" s="2" t="s">
        <v>572</v>
      </c>
      <c r="D1388" s="2" t="str">
        <f t="shared" si="20"/>
        <v>Error?</v>
      </c>
    </row>
    <row r="1389" spans="1:4" x14ac:dyDescent="0.2">
      <c r="A1389" s="5">
        <v>1328</v>
      </c>
      <c r="B1389" s="138">
        <f>'Expenditures 15-22'!K211</f>
        <v>-127549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30907</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784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784</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572</v>
      </c>
      <c r="D1421" s="2" t="str">
        <f t="shared" si="21"/>
        <v>Error?</v>
      </c>
    </row>
    <row r="1422" spans="1:4" x14ac:dyDescent="0.2">
      <c r="A1422" s="5">
        <v>1361</v>
      </c>
      <c r="B1422" s="138">
        <f>'Expenditures 15-22'!D245</f>
        <v>467</v>
      </c>
      <c r="D1422" s="2" t="str">
        <f t="shared" si="21"/>
        <v>Error?</v>
      </c>
    </row>
    <row r="1423" spans="1:4" x14ac:dyDescent="0.2">
      <c r="A1423" s="5">
        <v>1362</v>
      </c>
      <c r="B1423" s="138">
        <f>'Expenditures 15-22'!D246</f>
        <v>1289</v>
      </c>
      <c r="D1423" s="2" t="str">
        <f t="shared" si="21"/>
        <v>Error?</v>
      </c>
    </row>
    <row r="1424" spans="1:4" x14ac:dyDescent="0.2">
      <c r="A1424" s="5">
        <v>1363</v>
      </c>
      <c r="B1424" s="138">
        <f>'Expenditures 15-22'!D257</f>
        <v>1756</v>
      </c>
      <c r="C1424" s="2" t="s">
        <v>572</v>
      </c>
      <c r="D1424" s="2" t="str">
        <f t="shared" si="21"/>
        <v>Error?</v>
      </c>
    </row>
    <row r="1425" spans="1:4" x14ac:dyDescent="0.2">
      <c r="A1425" s="5">
        <v>1364</v>
      </c>
      <c r="B1425" s="138">
        <f>'Expenditures 15-22'!D259</f>
        <v>615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615</v>
      </c>
      <c r="C1427" s="2" t="s">
        <v>572</v>
      </c>
      <c r="D1427" s="2" t="str">
        <f t="shared" si="21"/>
        <v>Error?</v>
      </c>
    </row>
    <row r="1428" spans="1:4" x14ac:dyDescent="0.2">
      <c r="A1428" s="5">
        <v>1367</v>
      </c>
      <c r="B1428" s="138">
        <f>'Expenditures 15-22'!D263</f>
        <v>3948</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7621</v>
      </c>
      <c r="D1431" s="2" t="str">
        <f t="shared" si="21"/>
        <v>Error?</v>
      </c>
    </row>
    <row r="1432" spans="1:4" x14ac:dyDescent="0.2">
      <c r="A1432" s="5">
        <v>1371</v>
      </c>
      <c r="B1432" s="138">
        <f>'Expenditures 15-22'!D267</f>
        <v>17066</v>
      </c>
      <c r="D1432" s="2" t="str">
        <f t="shared" si="21"/>
        <v>Error?</v>
      </c>
    </row>
    <row r="1433" spans="1:4" x14ac:dyDescent="0.2">
      <c r="A1433" s="5">
        <v>1372</v>
      </c>
      <c r="B1433" s="138">
        <f>'Expenditures 15-22'!D268</f>
        <v>8313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36948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40103</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71010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1332</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30907</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784</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784</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0</v>
      </c>
      <c r="C1485" s="2" t="s">
        <v>572</v>
      </c>
      <c r="D1485" s="2" t="str">
        <f t="shared" si="22"/>
        <v>Error?</v>
      </c>
    </row>
    <row r="1486" spans="1:4" x14ac:dyDescent="0.2">
      <c r="A1486" s="5">
        <v>1425</v>
      </c>
      <c r="B1486" s="138">
        <f>'Expenditures 15-22'!K245</f>
        <v>467</v>
      </c>
      <c r="C1486" s="2" t="s">
        <v>572</v>
      </c>
      <c r="D1486" s="2" t="str">
        <f t="shared" si="22"/>
        <v>Error?</v>
      </c>
    </row>
    <row r="1487" spans="1:4" x14ac:dyDescent="0.2">
      <c r="A1487" s="5">
        <v>1426</v>
      </c>
      <c r="B1487" s="138">
        <f>'Expenditures 15-22'!K246</f>
        <v>1289</v>
      </c>
      <c r="C1487" s="2" t="s">
        <v>572</v>
      </c>
      <c r="D1487" s="2" t="str">
        <f t="shared" si="22"/>
        <v>Error?</v>
      </c>
    </row>
    <row r="1488" spans="1:4" x14ac:dyDescent="0.2">
      <c r="A1488" s="5">
        <v>1427</v>
      </c>
      <c r="B1488" s="138">
        <f>'Expenditures 15-22'!K257</f>
        <v>1756</v>
      </c>
      <c r="C1488" s="2" t="s">
        <v>572</v>
      </c>
      <c r="D1488" s="2" t="str">
        <f t="shared" si="22"/>
        <v>Error?</v>
      </c>
    </row>
    <row r="1489" spans="1:4" x14ac:dyDescent="0.2">
      <c r="A1489" s="5">
        <v>1428</v>
      </c>
      <c r="B1489" s="138">
        <f>'Expenditures 15-22'!K259</f>
        <v>615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615</v>
      </c>
      <c r="C1491" s="2" t="s">
        <v>572</v>
      </c>
      <c r="D1491" s="2" t="str">
        <f t="shared" si="22"/>
        <v>Error?</v>
      </c>
    </row>
    <row r="1492" spans="1:4" x14ac:dyDescent="0.2">
      <c r="A1492" s="5">
        <v>1431</v>
      </c>
      <c r="B1492" s="138">
        <f>'Expenditures 15-22'!K263</f>
        <v>3948</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7621</v>
      </c>
      <c r="C1495" s="2" t="s">
        <v>572</v>
      </c>
      <c r="D1495" s="2" t="str">
        <f t="shared" si="22"/>
        <v>Error?</v>
      </c>
    </row>
    <row r="1496" spans="1:4" x14ac:dyDescent="0.2">
      <c r="A1496" s="5">
        <v>1435</v>
      </c>
      <c r="B1496" s="138">
        <f>'Expenditures 15-22'!K267</f>
        <v>17066</v>
      </c>
      <c r="C1496" s="2" t="s">
        <v>572</v>
      </c>
      <c r="D1496" s="2" t="str">
        <f t="shared" si="22"/>
        <v>Error?</v>
      </c>
    </row>
    <row r="1497" spans="1:4" x14ac:dyDescent="0.2">
      <c r="A1497" s="5">
        <v>1436</v>
      </c>
      <c r="B1497" s="138">
        <f>'Expenditures 15-22'!K268</f>
        <v>8313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36948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40103</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71010</v>
      </c>
      <c r="C1517" s="2" t="s">
        <v>572</v>
      </c>
      <c r="D1517" s="2" t="str">
        <f t="shared" si="22"/>
        <v>Error?</v>
      </c>
    </row>
    <row r="1518" spans="1:4" x14ac:dyDescent="0.2">
      <c r="A1518" s="5">
        <v>1457</v>
      </c>
      <c r="B1518" s="138">
        <f>'Expenditures 15-22'!K296</f>
        <v>-411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434242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428289</v>
      </c>
      <c r="C1630" s="2" t="s">
        <v>572</v>
      </c>
      <c r="D1630" s="2" t="str">
        <f t="shared" si="24"/>
        <v>Error?</v>
      </c>
    </row>
    <row r="1631" spans="1:4" x14ac:dyDescent="0.2">
      <c r="A1631" s="5">
        <v>1570</v>
      </c>
      <c r="B1631" s="138">
        <f>'Acct Summary 7-8'!D79</f>
        <v>178985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172600</v>
      </c>
      <c r="C1644" s="2" t="s">
        <v>572</v>
      </c>
      <c r="D1644" s="2" t="str">
        <f t="shared" si="24"/>
        <v>Error?</v>
      </c>
    </row>
    <row r="1645" spans="1:4" x14ac:dyDescent="0.2">
      <c r="A1645" s="5">
        <v>1584</v>
      </c>
      <c r="B1645" s="138">
        <f>'Acct Summary 7-8'!E79</f>
        <v>2052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1922</v>
      </c>
      <c r="C1658" s="2" t="s">
        <v>572</v>
      </c>
      <c r="D1658" s="2" t="str">
        <f t="shared" si="24"/>
        <v>Error?</v>
      </c>
    </row>
    <row r="1659" spans="1:4" x14ac:dyDescent="0.2">
      <c r="A1659" s="5">
        <v>1598</v>
      </c>
      <c r="B1659" s="138">
        <f>'Acct Summary 7-8'!F79</f>
        <v>118354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149621</v>
      </c>
      <c r="C1672" s="2" t="s">
        <v>572</v>
      </c>
      <c r="D1672" s="2" t="str">
        <f t="shared" si="25"/>
        <v>Error?</v>
      </c>
    </row>
    <row r="1673" spans="1:4" x14ac:dyDescent="0.2">
      <c r="A1673" s="5">
        <v>1612</v>
      </c>
      <c r="B1673" s="138">
        <f>'Acct Summary 7-8'!G79</f>
        <v>79257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78846</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301377</v>
      </c>
      <c r="C1744" s="2" t="s">
        <v>572</v>
      </c>
      <c r="D1744" s="2" t="str">
        <f t="shared" si="26"/>
        <v>Error?</v>
      </c>
    </row>
    <row r="1745" spans="1:5" x14ac:dyDescent="0.2">
      <c r="A1745" s="5">
        <v>1684</v>
      </c>
      <c r="B1745" s="138">
        <f>'Tax Sched 23'!B5</f>
        <v>61595</v>
      </c>
      <c r="C1745" s="2" t="s">
        <v>572</v>
      </c>
      <c r="D1745" s="2" t="str">
        <f t="shared" si="26"/>
        <v>Error?</v>
      </c>
    </row>
    <row r="1746" spans="1:5" x14ac:dyDescent="0.2">
      <c r="A1746" s="5">
        <v>1685</v>
      </c>
      <c r="B1746" s="138">
        <f>'Tax Sched 23'!B6</f>
        <v>15459</v>
      </c>
      <c r="C1746" s="2" t="s">
        <v>572</v>
      </c>
      <c r="D1746" s="2" t="str">
        <f t="shared" si="26"/>
        <v>Error?</v>
      </c>
    </row>
    <row r="1747" spans="1:5" x14ac:dyDescent="0.2">
      <c r="A1747" s="5">
        <v>1686</v>
      </c>
      <c r="B1747" s="138">
        <f>'Tax Sched 23'!B7</f>
        <v>66791</v>
      </c>
      <c r="C1747" s="2" t="s">
        <v>572</v>
      </c>
      <c r="D1747" s="2" t="str">
        <f t="shared" si="26"/>
        <v>Error?</v>
      </c>
    </row>
    <row r="1748" spans="1:5" x14ac:dyDescent="0.2">
      <c r="A1748" s="5">
        <v>1687</v>
      </c>
      <c r="B1748" s="138">
        <f>'Tax Sched 23'!B8</f>
        <v>19503</v>
      </c>
      <c r="C1748" s="2" t="s">
        <v>572</v>
      </c>
      <c r="D1748" s="2" t="str">
        <f t="shared" si="26"/>
        <v>Error?</v>
      </c>
    </row>
    <row r="1749" spans="1:5" x14ac:dyDescent="0.2">
      <c r="A1749" s="5">
        <v>1688</v>
      </c>
      <c r="B1749" s="138">
        <f>'Tax Sched 23'!B10</f>
        <v>11738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37109</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550032</v>
      </c>
      <c r="C1759" s="2" t="s">
        <v>572</v>
      </c>
      <c r="D1759" s="2" t="str">
        <f t="shared" si="26"/>
        <v>Error?</v>
      </c>
    </row>
    <row r="1760" spans="1:5" x14ac:dyDescent="0.2">
      <c r="A1760" s="5">
        <v>1699</v>
      </c>
      <c r="B1760" s="138">
        <f>'Tax Sched 23'!D4</f>
        <v>301377</v>
      </c>
      <c r="C1760" s="2" t="s">
        <v>572</v>
      </c>
      <c r="D1760" s="2" t="str">
        <f t="shared" si="26"/>
        <v>Error?</v>
      </c>
    </row>
    <row r="1761" spans="1:5" x14ac:dyDescent="0.2">
      <c r="A1761" s="5">
        <v>1700</v>
      </c>
      <c r="B1761" s="138">
        <f>'Tax Sched 23'!D5</f>
        <v>61595</v>
      </c>
      <c r="C1761" s="2" t="s">
        <v>572</v>
      </c>
      <c r="D1761" s="2" t="str">
        <f t="shared" si="26"/>
        <v>Error?</v>
      </c>
    </row>
    <row r="1762" spans="1:5" s="8" customFormat="1" x14ac:dyDescent="0.2">
      <c r="A1762" s="5">
        <v>1701</v>
      </c>
      <c r="B1762" s="138">
        <f>'Tax Sched 23'!D6</f>
        <v>15459</v>
      </c>
      <c r="C1762" s="2" t="s">
        <v>572</v>
      </c>
      <c r="D1762" s="2" t="str">
        <f t="shared" si="26"/>
        <v>Error?</v>
      </c>
      <c r="E1762" s="9"/>
    </row>
    <row r="1763" spans="1:5" x14ac:dyDescent="0.2">
      <c r="A1763" s="5">
        <v>1702</v>
      </c>
      <c r="B1763" s="138">
        <f>'Tax Sched 23'!D7</f>
        <v>66791</v>
      </c>
      <c r="C1763" s="2" t="s">
        <v>572</v>
      </c>
      <c r="D1763" s="2" t="str">
        <f t="shared" si="26"/>
        <v>Error?</v>
      </c>
    </row>
    <row r="1764" spans="1:5" x14ac:dyDescent="0.2">
      <c r="A1764" s="5">
        <v>1703</v>
      </c>
      <c r="B1764" s="138">
        <f>'Tax Sched 23'!D8</f>
        <v>19503</v>
      </c>
      <c r="C1764" s="2" t="s">
        <v>572</v>
      </c>
      <c r="D1764" s="2" t="str">
        <f t="shared" si="26"/>
        <v>Error?</v>
      </c>
    </row>
    <row r="1765" spans="1:5" x14ac:dyDescent="0.2">
      <c r="A1765" s="5">
        <v>1704</v>
      </c>
      <c r="B1765" s="138">
        <f>'Tax Sched 23'!D10</f>
        <v>11738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37109</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550032</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317417</v>
      </c>
      <c r="C1792" s="2" t="s">
        <v>572</v>
      </c>
      <c r="D1792" s="2" t="str">
        <f t="shared" si="27"/>
        <v>Error?</v>
      </c>
    </row>
    <row r="1793" spans="1:4" x14ac:dyDescent="0.2">
      <c r="A1793" s="5">
        <v>1732</v>
      </c>
      <c r="B1793" s="138">
        <f>'Tax Sched 23'!F5</f>
        <v>64881</v>
      </c>
      <c r="C1793" s="2" t="s">
        <v>572</v>
      </c>
      <c r="D1793" s="2" t="str">
        <f t="shared" si="27"/>
        <v>Error?</v>
      </c>
    </row>
    <row r="1794" spans="1:4" x14ac:dyDescent="0.2">
      <c r="A1794" s="5">
        <v>1733</v>
      </c>
      <c r="B1794" s="138">
        <f>'Tax Sched 23'!F6</f>
        <v>21101</v>
      </c>
      <c r="C1794" s="2" t="s">
        <v>572</v>
      </c>
      <c r="D1794" s="2" t="str">
        <f t="shared" si="27"/>
        <v>Error?</v>
      </c>
    </row>
    <row r="1795" spans="1:4" x14ac:dyDescent="0.2">
      <c r="A1795" s="5">
        <v>1734</v>
      </c>
      <c r="B1795" s="138">
        <f>'Tax Sched 23'!F7</f>
        <v>70354</v>
      </c>
      <c r="C1795" s="2" t="s">
        <v>572</v>
      </c>
      <c r="D1795" s="2" t="str">
        <f t="shared" si="27"/>
        <v>Error?</v>
      </c>
    </row>
    <row r="1796" spans="1:4" x14ac:dyDescent="0.2">
      <c r="A1796" s="5">
        <v>1735</v>
      </c>
      <c r="B1796" s="138">
        <f>'Tax Sched 23'!F8</f>
        <v>20346</v>
      </c>
      <c r="C1796" s="2" t="s">
        <v>572</v>
      </c>
      <c r="D1796" s="2" t="str">
        <f t="shared" si="27"/>
        <v>Error?</v>
      </c>
    </row>
    <row r="1797" spans="1:4" x14ac:dyDescent="0.2">
      <c r="A1797" s="5">
        <v>1736</v>
      </c>
      <c r="B1797" s="138">
        <f>'Tax Sched 23'!F10</f>
        <v>12245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38716</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583101</v>
      </c>
      <c r="C1807" s="2" t="s">
        <v>572</v>
      </c>
      <c r="D1807" s="2" t="str">
        <f t="shared" si="27"/>
        <v>Error?</v>
      </c>
    </row>
    <row r="1808" spans="1:4" x14ac:dyDescent="0.2">
      <c r="A1808" s="5">
        <v>1747</v>
      </c>
      <c r="B1808" s="138">
        <f>'Tax Sched 23'!E4</f>
        <v>317417</v>
      </c>
      <c r="D1808" s="2" t="str">
        <f t="shared" si="27"/>
        <v>Error?</v>
      </c>
    </row>
    <row r="1809" spans="1:4" x14ac:dyDescent="0.2">
      <c r="A1809" s="5">
        <v>1748</v>
      </c>
      <c r="B1809" s="138">
        <f>'Tax Sched 23'!E5</f>
        <v>64881</v>
      </c>
      <c r="D1809" s="2" t="str">
        <f t="shared" si="27"/>
        <v>Error?</v>
      </c>
    </row>
    <row r="1810" spans="1:4" x14ac:dyDescent="0.2">
      <c r="A1810" s="5">
        <v>1749</v>
      </c>
      <c r="B1810" s="138">
        <f>'Tax Sched 23'!E6</f>
        <v>21101</v>
      </c>
      <c r="D1810" s="2" t="str">
        <f t="shared" si="27"/>
        <v>Error?</v>
      </c>
    </row>
    <row r="1811" spans="1:4" x14ac:dyDescent="0.2">
      <c r="A1811" s="5">
        <v>1750</v>
      </c>
      <c r="B1811" s="138">
        <f>'Tax Sched 23'!E7</f>
        <v>70354</v>
      </c>
      <c r="D1811" s="2" t="str">
        <f t="shared" si="27"/>
        <v>Error?</v>
      </c>
    </row>
    <row r="1812" spans="1:4" x14ac:dyDescent="0.2">
      <c r="A1812" s="5">
        <v>1751</v>
      </c>
      <c r="B1812" s="138">
        <f>'Tax Sched 23'!E8</f>
        <v>20346</v>
      </c>
      <c r="D1812" s="2" t="str">
        <f t="shared" si="27"/>
        <v>Error?</v>
      </c>
    </row>
    <row r="1813" spans="1:4" x14ac:dyDescent="0.2">
      <c r="A1813" s="5">
        <v>1752</v>
      </c>
      <c r="B1813" s="138">
        <f>'Tax Sched 23'!E10</f>
        <v>12245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38716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583101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15300</v>
      </c>
      <c r="C1939" s="2" t="s">
        <v>572</v>
      </c>
      <c r="D1939" s="2" t="str">
        <f t="shared" si="29"/>
        <v>Error?</v>
      </c>
    </row>
    <row r="1940" spans="1:5" x14ac:dyDescent="0.2">
      <c r="A1940" s="5">
        <v>1879</v>
      </c>
      <c r="B1940" s="138">
        <f>'Short-Term Long-Term Debt 24'!F49</f>
        <v>246333</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39949</v>
      </c>
      <c r="D2008" s="2" t="str">
        <f t="shared" si="30"/>
        <v>Error?</v>
      </c>
    </row>
    <row r="2009" spans="1:4" x14ac:dyDescent="0.2">
      <c r="A2009" s="5">
        <v>1948</v>
      </c>
      <c r="B2009" s="138">
        <f>'Cap Outlay Deprec 26'!C8</f>
        <v>3254830</v>
      </c>
      <c r="D2009" s="2" t="str">
        <f t="shared" si="30"/>
        <v>Error?</v>
      </c>
    </row>
    <row r="2010" spans="1:4" x14ac:dyDescent="0.2">
      <c r="A2010" s="5">
        <v>1949</v>
      </c>
      <c r="B2010" s="138">
        <f>'Cap Outlay Deprec 26'!C10</f>
        <v>89995</v>
      </c>
      <c r="D2010" s="2" t="str">
        <f t="shared" si="30"/>
        <v>Error?</v>
      </c>
    </row>
    <row r="2011" spans="1:4" x14ac:dyDescent="0.2">
      <c r="A2011" s="5">
        <v>1950</v>
      </c>
      <c r="B2011" s="138">
        <f>'Cap Outlay Deprec 26'!C12</f>
        <v>490713</v>
      </c>
      <c r="D2011" s="2" t="str">
        <f t="shared" si="30"/>
        <v>Error?</v>
      </c>
    </row>
    <row r="2012" spans="1:4" x14ac:dyDescent="0.2">
      <c r="A2012" s="5">
        <v>1951</v>
      </c>
      <c r="B2012" s="138">
        <f>'Cap Outlay Deprec 26'!C13</f>
        <v>413533</v>
      </c>
      <c r="D2012" s="2" t="str">
        <f t="shared" si="30"/>
        <v>Error?</v>
      </c>
    </row>
    <row r="2013" spans="1:4" x14ac:dyDescent="0.2">
      <c r="A2013" s="5">
        <v>1952</v>
      </c>
      <c r="B2013" s="138">
        <f>'Cap Outlay Deprec 26'!C16</f>
        <v>4289020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77548</v>
      </c>
      <c r="D2017" s="2" t="str">
        <f t="shared" si="30"/>
        <v>Error?</v>
      </c>
    </row>
    <row r="2018" spans="1:4" x14ac:dyDescent="0.2">
      <c r="A2018" s="5">
        <v>1957</v>
      </c>
      <c r="B2018" s="138">
        <f>'Cap Outlay Deprec 26'!D13</f>
        <v>158816</v>
      </c>
      <c r="D2018" s="2" t="str">
        <f t="shared" si="30"/>
        <v>Error?</v>
      </c>
    </row>
    <row r="2019" spans="1:4" x14ac:dyDescent="0.2">
      <c r="A2019" s="5">
        <v>1958</v>
      </c>
      <c r="B2019" s="138">
        <f>'Cap Outlay Deprec 26'!D16</f>
        <v>236364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7544</v>
      </c>
      <c r="D2023" s="2" t="str">
        <f t="shared" si="30"/>
        <v>Error?</v>
      </c>
    </row>
    <row r="2024" spans="1:4" x14ac:dyDescent="0.2">
      <c r="A2024" s="5">
        <v>1963</v>
      </c>
      <c r="B2024" s="138">
        <f>'Cap Outlay Deprec 26'!E13</f>
        <v>96134</v>
      </c>
      <c r="D2024" s="2" t="str">
        <f t="shared" si="30"/>
        <v>Error?</v>
      </c>
    </row>
    <row r="2025" spans="1:4" x14ac:dyDescent="0.2">
      <c r="A2025" s="5">
        <v>1964</v>
      </c>
      <c r="B2025" s="138">
        <f>'Cap Outlay Deprec 26'!E16</f>
        <v>103678</v>
      </c>
      <c r="C2025" s="2" t="s">
        <v>572</v>
      </c>
      <c r="D2025" s="2" t="str">
        <f t="shared" si="30"/>
        <v>Error?</v>
      </c>
    </row>
    <row r="2026" spans="1:4" x14ac:dyDescent="0.2">
      <c r="A2026" s="5">
        <v>1965</v>
      </c>
      <c r="B2026" s="138">
        <f>'Cap Outlay Deprec 26'!F5</f>
        <v>39949</v>
      </c>
      <c r="C2026" s="2" t="s">
        <v>572</v>
      </c>
      <c r="D2026" s="2" t="str">
        <f t="shared" si="30"/>
        <v>Error?</v>
      </c>
    </row>
    <row r="2027" spans="1:4" x14ac:dyDescent="0.2">
      <c r="A2027" s="5">
        <v>1966</v>
      </c>
      <c r="B2027" s="138">
        <f>'Cap Outlay Deprec 26'!F8</f>
        <v>3254830</v>
      </c>
      <c r="C2027" s="2" t="s">
        <v>572</v>
      </c>
      <c r="D2027" s="2" t="str">
        <f t="shared" si="30"/>
        <v>Error?</v>
      </c>
    </row>
    <row r="2028" spans="1:4" x14ac:dyDescent="0.2">
      <c r="A2028" s="5">
        <v>1967</v>
      </c>
      <c r="B2028" s="138">
        <f>'Cap Outlay Deprec 26'!F10</f>
        <v>89995</v>
      </c>
      <c r="C2028" s="2" t="s">
        <v>572</v>
      </c>
      <c r="D2028" s="2" t="str">
        <f t="shared" si="30"/>
        <v>Error?</v>
      </c>
    </row>
    <row r="2029" spans="1:4" x14ac:dyDescent="0.2">
      <c r="A2029" s="5">
        <v>1968</v>
      </c>
      <c r="B2029" s="138">
        <f>'Cap Outlay Deprec 26'!F12</f>
        <v>560717</v>
      </c>
      <c r="C2029" s="2" t="s">
        <v>572</v>
      </c>
      <c r="D2029" s="2" t="str">
        <f t="shared" si="30"/>
        <v>Error?</v>
      </c>
    </row>
    <row r="2030" spans="1:4" x14ac:dyDescent="0.2">
      <c r="A2030" s="5">
        <v>1969</v>
      </c>
      <c r="B2030" s="138">
        <f>'Cap Outlay Deprec 26'!F13</f>
        <v>476215</v>
      </c>
      <c r="C2030" s="2" t="s">
        <v>572</v>
      </c>
      <c r="D2030" s="2" t="str">
        <f t="shared" si="30"/>
        <v>Error?</v>
      </c>
    </row>
    <row r="2031" spans="1:4" x14ac:dyDescent="0.2">
      <c r="A2031" s="5">
        <v>1970</v>
      </c>
      <c r="B2031" s="138">
        <f>'Cap Outlay Deprec 26'!F16</f>
        <v>4421706</v>
      </c>
      <c r="C2031" s="2" t="s">
        <v>572</v>
      </c>
      <c r="D2031" s="2" t="str">
        <f t="shared" si="30"/>
        <v>Error?</v>
      </c>
    </row>
    <row r="2032" spans="1:4" x14ac:dyDescent="0.2">
      <c r="A2032" s="10">
        <v>1971</v>
      </c>
      <c r="D2032" s="2" t="str">
        <f t="shared" si="30"/>
        <v>OK</v>
      </c>
    </row>
    <row r="2033" spans="1:4" x14ac:dyDescent="0.2">
      <c r="A2033" s="5">
        <v>1972</v>
      </c>
      <c r="B2033" s="138">
        <f>'Cap Outlay Deprec 26'!H8</f>
        <v>1402670</v>
      </c>
      <c r="D2033" s="2" t="str">
        <f t="shared" si="30"/>
        <v>Error?</v>
      </c>
    </row>
    <row r="2034" spans="1:4" x14ac:dyDescent="0.2">
      <c r="A2034" s="5">
        <v>1973</v>
      </c>
      <c r="B2034" s="138">
        <f>'Cap Outlay Deprec 26'!H10</f>
        <v>71162</v>
      </c>
      <c r="D2034" s="2" t="str">
        <f t="shared" si="30"/>
        <v>Error?</v>
      </c>
    </row>
    <row r="2035" spans="1:4" x14ac:dyDescent="0.2">
      <c r="A2035" s="5">
        <v>1974</v>
      </c>
      <c r="B2035" s="138">
        <f>'Cap Outlay Deprec 26'!H12</f>
        <v>442286</v>
      </c>
      <c r="D2035" s="2" t="str">
        <f t="shared" si="30"/>
        <v>Error?</v>
      </c>
    </row>
    <row r="2036" spans="1:4" x14ac:dyDescent="0.2">
      <c r="A2036" s="5">
        <v>1975</v>
      </c>
      <c r="B2036" s="138">
        <f>'Cap Outlay Deprec 26'!H13</f>
        <v>383811</v>
      </c>
      <c r="D2036" s="2" t="str">
        <f t="shared" si="30"/>
        <v>Error?</v>
      </c>
    </row>
    <row r="2037" spans="1:4" x14ac:dyDescent="0.2">
      <c r="A2037" s="5">
        <v>1976</v>
      </c>
      <c r="B2037" s="138">
        <f>'Cap Outlay Deprec 26'!H16</f>
        <v>2299929</v>
      </c>
      <c r="C2037" s="2" t="s">
        <v>572</v>
      </c>
      <c r="D2037" s="2" t="str">
        <f t="shared" si="30"/>
        <v>Error?</v>
      </c>
    </row>
    <row r="2038" spans="1:4" x14ac:dyDescent="0.2">
      <c r="A2038" s="10">
        <v>1977</v>
      </c>
      <c r="D2038" s="2" t="str">
        <f t="shared" si="30"/>
        <v>OK</v>
      </c>
    </row>
    <row r="2039" spans="1:4" x14ac:dyDescent="0.2">
      <c r="A2039" s="5">
        <v>1978</v>
      </c>
      <c r="B2039" s="138">
        <f>'Cap Outlay Deprec 26'!I8</f>
        <v>60934</v>
      </c>
      <c r="D2039" s="2" t="str">
        <f t="shared" si="30"/>
        <v>Error?</v>
      </c>
    </row>
    <row r="2040" spans="1:4" x14ac:dyDescent="0.2">
      <c r="A2040" s="5">
        <v>1979</v>
      </c>
      <c r="B2040" s="138">
        <f>'Cap Outlay Deprec 26'!I10</f>
        <v>2790</v>
      </c>
      <c r="D2040" s="2" t="str">
        <f t="shared" si="30"/>
        <v>Error?</v>
      </c>
    </row>
    <row r="2041" spans="1:4" x14ac:dyDescent="0.2">
      <c r="A2041" s="5">
        <v>1980</v>
      </c>
      <c r="B2041" s="138">
        <f>'Cap Outlay Deprec 26'!I12</f>
        <v>11595</v>
      </c>
      <c r="D2041" s="2" t="str">
        <f t="shared" si="30"/>
        <v>Error?</v>
      </c>
    </row>
    <row r="2042" spans="1:4" x14ac:dyDescent="0.2">
      <c r="A2042" s="5">
        <v>1981</v>
      </c>
      <c r="B2042" s="138">
        <f>'Cap Outlay Deprec 26'!I13</f>
        <v>34011</v>
      </c>
      <c r="D2042" s="2" t="str">
        <f t="shared" si="30"/>
        <v>Error?</v>
      </c>
    </row>
    <row r="2043" spans="1:4" x14ac:dyDescent="0.2">
      <c r="A2043" s="5">
        <v>1982</v>
      </c>
      <c r="B2043" s="138">
        <f>'Cap Outlay Deprec 26'!I16</f>
        <v>109330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6682</v>
      </c>
      <c r="D2047" s="2" t="str">
        <f t="shared" ref="D2047:D2110" si="31">IF(ISBLANK(B2047),"OK",IF(A2047-B2047=0,"OK","Error?"))</f>
        <v>Error?</v>
      </c>
    </row>
    <row r="2048" spans="1:4" x14ac:dyDescent="0.2">
      <c r="A2048" s="5">
        <v>1987</v>
      </c>
      <c r="B2048" s="138">
        <f>'Cap Outlay Deprec 26'!J13</f>
        <v>96134</v>
      </c>
      <c r="D2048" s="2" t="str">
        <f t="shared" si="31"/>
        <v>Error?</v>
      </c>
    </row>
    <row r="2049" spans="1:4" x14ac:dyDescent="0.2">
      <c r="A2049" s="5">
        <v>1988</v>
      </c>
      <c r="B2049" s="138">
        <f>'Cap Outlay Deprec 26'!J16</f>
        <v>102816</v>
      </c>
      <c r="C2049" s="2" t="s">
        <v>572</v>
      </c>
      <c r="D2049" s="2" t="str">
        <f t="shared" si="31"/>
        <v>Error?</v>
      </c>
    </row>
    <row r="2050" spans="1:4" x14ac:dyDescent="0.2">
      <c r="A2050" s="10">
        <v>1989</v>
      </c>
      <c r="D2050" s="2" t="str">
        <f t="shared" si="31"/>
        <v>OK</v>
      </c>
    </row>
    <row r="2051" spans="1:4" x14ac:dyDescent="0.2">
      <c r="A2051" s="5">
        <v>1990</v>
      </c>
      <c r="B2051" s="138">
        <f>'Cap Outlay Deprec 26'!K8</f>
        <v>1463604</v>
      </c>
      <c r="C2051" s="2" t="s">
        <v>572</v>
      </c>
      <c r="D2051" s="2" t="str">
        <f t="shared" si="31"/>
        <v>Error?</v>
      </c>
    </row>
    <row r="2052" spans="1:4" x14ac:dyDescent="0.2">
      <c r="A2052" s="5">
        <v>1991</v>
      </c>
      <c r="B2052" s="138">
        <f>'Cap Outlay Deprec 26'!K10</f>
        <v>73952</v>
      </c>
      <c r="C2052" s="2" t="s">
        <v>572</v>
      </c>
      <c r="D2052" s="2" t="str">
        <f t="shared" si="31"/>
        <v>Error?</v>
      </c>
    </row>
    <row r="2053" spans="1:4" x14ac:dyDescent="0.2">
      <c r="A2053" s="5">
        <v>1992</v>
      </c>
      <c r="B2053" s="138">
        <f>'Cap Outlay Deprec 26'!K12</f>
        <v>447199</v>
      </c>
      <c r="C2053" s="2" t="s">
        <v>572</v>
      </c>
      <c r="D2053" s="2" t="str">
        <f t="shared" si="31"/>
        <v>Error?</v>
      </c>
    </row>
    <row r="2054" spans="1:4" x14ac:dyDescent="0.2">
      <c r="A2054" s="5">
        <v>1993</v>
      </c>
      <c r="B2054" s="138">
        <f>'Cap Outlay Deprec 26'!K13</f>
        <v>321688</v>
      </c>
      <c r="C2054" s="2" t="s">
        <v>572</v>
      </c>
      <c r="D2054" s="2" t="str">
        <f t="shared" si="31"/>
        <v>Error?</v>
      </c>
    </row>
    <row r="2055" spans="1:4" x14ac:dyDescent="0.2">
      <c r="A2055" s="5">
        <v>1994</v>
      </c>
      <c r="B2055" s="138">
        <f>'Cap Outlay Deprec 26'!K16</f>
        <v>2306443</v>
      </c>
      <c r="C2055" s="2" t="s">
        <v>572</v>
      </c>
      <c r="D2055" s="2" t="str">
        <f t="shared" si="31"/>
        <v>Error?</v>
      </c>
    </row>
    <row r="2056" spans="1:4" x14ac:dyDescent="0.2">
      <c r="A2056" s="5">
        <v>1995</v>
      </c>
      <c r="B2056" s="138">
        <f>'Cap Outlay Deprec 26'!L5</f>
        <v>39949</v>
      </c>
      <c r="C2056" s="2" t="s">
        <v>572</v>
      </c>
      <c r="D2056" s="2" t="str">
        <f t="shared" si="31"/>
        <v>Error?</v>
      </c>
    </row>
    <row r="2057" spans="1:4" x14ac:dyDescent="0.2">
      <c r="A2057" s="5">
        <v>1996</v>
      </c>
      <c r="B2057" s="138">
        <f>'Cap Outlay Deprec 26'!L8</f>
        <v>1791226</v>
      </c>
      <c r="C2057" s="2" t="s">
        <v>572</v>
      </c>
      <c r="D2057" s="2" t="str">
        <f t="shared" si="31"/>
        <v>Error?</v>
      </c>
    </row>
    <row r="2058" spans="1:4" x14ac:dyDescent="0.2">
      <c r="A2058" s="5">
        <v>1997</v>
      </c>
      <c r="B2058" s="138">
        <f>'Cap Outlay Deprec 26'!L10</f>
        <v>16043</v>
      </c>
      <c r="C2058" s="2" t="s">
        <v>572</v>
      </c>
      <c r="D2058" s="2" t="str">
        <f t="shared" si="31"/>
        <v>Error?</v>
      </c>
    </row>
    <row r="2059" spans="1:4" x14ac:dyDescent="0.2">
      <c r="A2059" s="5">
        <v>1998</v>
      </c>
      <c r="B2059" s="138">
        <f>'Cap Outlay Deprec 26'!L12</f>
        <v>113518</v>
      </c>
      <c r="C2059" s="2" t="s">
        <v>572</v>
      </c>
      <c r="D2059" s="2" t="str">
        <f t="shared" si="31"/>
        <v>Error?</v>
      </c>
    </row>
    <row r="2060" spans="1:4" x14ac:dyDescent="0.2">
      <c r="A2060" s="5">
        <v>1999</v>
      </c>
      <c r="B2060" s="138">
        <f>'Cap Outlay Deprec 26'!L13</f>
        <v>154527</v>
      </c>
      <c r="C2060" s="2" t="s">
        <v>572</v>
      </c>
      <c r="D2060" s="2" t="str">
        <f t="shared" si="31"/>
        <v>Error?</v>
      </c>
    </row>
    <row r="2061" spans="1:4" x14ac:dyDescent="0.2">
      <c r="A2061" s="5">
        <v>2000</v>
      </c>
      <c r="B2061" s="138">
        <f>'Cap Outlay Deprec 26'!L16</f>
        <v>2115263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26656</v>
      </c>
      <c r="C2088" s="2" t="s">
        <v>572</v>
      </c>
      <c r="D2088" s="2" t="str">
        <f t="shared" si="31"/>
        <v>Error?</v>
      </c>
    </row>
    <row r="2089" spans="1:4" x14ac:dyDescent="0.2">
      <c r="A2089" s="5">
        <v>2028</v>
      </c>
      <c r="B2089" s="138">
        <f>'Expenditures 15-22'!K92</f>
        <v>86222</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45859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418676</v>
      </c>
      <c r="C2551" s="2" t="s">
        <v>572</v>
      </c>
      <c r="D2551" s="2" t="str">
        <f t="shared" si="38"/>
        <v>Error?</v>
      </c>
    </row>
    <row r="2552" spans="1:4" x14ac:dyDescent="0.2">
      <c r="A2552" s="10">
        <v>2491</v>
      </c>
      <c r="D2552" s="2" t="str">
        <f t="shared" si="38"/>
        <v>OK</v>
      </c>
    </row>
    <row r="2553" spans="1:4" x14ac:dyDescent="0.2">
      <c r="A2553" s="5">
        <v>2492</v>
      </c>
      <c r="B2553" s="138">
        <f>'Acct Summary 7-8'!C6</f>
        <v>1290364</v>
      </c>
      <c r="C2553" s="2" t="s">
        <v>572</v>
      </c>
      <c r="D2553" s="2" t="str">
        <f t="shared" si="38"/>
        <v>Error?</v>
      </c>
    </row>
    <row r="2554" spans="1:4" x14ac:dyDescent="0.2">
      <c r="A2554" s="5">
        <v>2493</v>
      </c>
      <c r="B2554" s="138">
        <f>'Acct Summary 7-8'!C7</f>
        <v>185301</v>
      </c>
      <c r="C2554" s="2" t="s">
        <v>572</v>
      </c>
      <c r="D2554" s="2" t="str">
        <f t="shared" si="38"/>
        <v>Error?</v>
      </c>
    </row>
    <row r="2555" spans="1:4" x14ac:dyDescent="0.2">
      <c r="A2555" s="5">
        <v>2494</v>
      </c>
      <c r="B2555" s="138">
        <f>'Acct Summary 7-8'!C8</f>
        <v>1894341</v>
      </c>
      <c r="C2555" s="2" t="s">
        <v>572</v>
      </c>
      <c r="D2555" s="2" t="str">
        <f t="shared" si="38"/>
        <v>Error?</v>
      </c>
    </row>
    <row r="2556" spans="1:4" x14ac:dyDescent="0.2">
      <c r="A2556" s="5">
        <v>2495</v>
      </c>
      <c r="B2556" s="138">
        <f>'Acct Summary 7-8'!C12</f>
        <v>1301071</v>
      </c>
      <c r="C2556" s="2" t="s">
        <v>572</v>
      </c>
      <c r="D2556" s="2" t="str">
        <f t="shared" si="38"/>
        <v>Error?</v>
      </c>
    </row>
    <row r="2557" spans="1:4" x14ac:dyDescent="0.2">
      <c r="A2557" s="5">
        <v>2496</v>
      </c>
      <c r="B2557" s="138">
        <f>'Acct Summary 7-8'!C13</f>
        <v>534662</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112878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1948611</v>
      </c>
      <c r="C2561" s="2" t="s">
        <v>572</v>
      </c>
      <c r="D2561" s="2" t="str">
        <f t="shared" si="39"/>
        <v>Error?</v>
      </c>
    </row>
    <row r="2562" spans="1:4" x14ac:dyDescent="0.2">
      <c r="A2562" s="5">
        <v>2501</v>
      </c>
      <c r="B2562" s="138">
        <f>'Acct Summary 7-8'!C20</f>
        <v>-54270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62265</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62265</v>
      </c>
      <c r="C2568" s="2" t="s">
        <v>572</v>
      </c>
      <c r="D2568" s="2" t="str">
        <f t="shared" si="39"/>
        <v>Error?</v>
      </c>
    </row>
    <row r="2569" spans="1:4" x14ac:dyDescent="0.2">
      <c r="A2569" s="5">
        <v>2508</v>
      </c>
      <c r="B2569" s="138">
        <f>'Acct Summary 7-8'!D13</f>
        <v>68650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68650</v>
      </c>
      <c r="C2573" s="2" t="s">
        <v>572</v>
      </c>
      <c r="D2573" s="2" t="str">
        <f t="shared" si="39"/>
        <v>Error?</v>
      </c>
    </row>
    <row r="2574" spans="1:4" x14ac:dyDescent="0.2">
      <c r="A2574" s="5">
        <v>2513</v>
      </c>
      <c r="B2574" s="138">
        <f>'Acct Summary 7-8'!D20</f>
        <v>-6385</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113365</v>
      </c>
      <c r="C2591" s="2" t="s">
        <v>572</v>
      </c>
      <c r="D2591" s="2" t="str">
        <f t="shared" si="39"/>
        <v>Error?</v>
      </c>
    </row>
    <row r="2592" spans="1:4" x14ac:dyDescent="0.2">
      <c r="A2592" s="10">
        <v>2531</v>
      </c>
      <c r="D2592" s="2" t="str">
        <f t="shared" si="39"/>
        <v>OK</v>
      </c>
    </row>
    <row r="2593" spans="1:4" x14ac:dyDescent="0.2">
      <c r="A2593" s="5">
        <v>2532</v>
      </c>
      <c r="B2593" s="138">
        <f>'Acct Summary 7-8'!F6</f>
        <v>169633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282998</v>
      </c>
      <c r="C2595" s="2" t="s">
        <v>572</v>
      </c>
      <c r="D2595" s="2" t="str">
        <f t="shared" si="39"/>
        <v>Error?</v>
      </c>
    </row>
    <row r="2596" spans="1:4" x14ac:dyDescent="0.2">
      <c r="A2596" s="5">
        <v>2535</v>
      </c>
      <c r="B2596" s="138">
        <f>'Acct Summary 7-8'!F13</f>
        <v>382008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28539</v>
      </c>
      <c r="C2599" s="2" t="s">
        <v>572</v>
      </c>
      <c r="D2599" s="2" t="str">
        <f t="shared" si="39"/>
        <v>Error?</v>
      </c>
    </row>
    <row r="2600" spans="1:4" x14ac:dyDescent="0.2">
      <c r="A2600" s="5">
        <v>2539</v>
      </c>
      <c r="B2600" s="138">
        <f>'Acct Summary 7-8'!F17</f>
        <v>410547</v>
      </c>
      <c r="C2600" s="2" t="s">
        <v>572</v>
      </c>
      <c r="D2600" s="2" t="str">
        <f t="shared" si="39"/>
        <v>Error?</v>
      </c>
    </row>
    <row r="2601" spans="1:4" x14ac:dyDescent="0.2">
      <c r="A2601" s="5">
        <v>2540</v>
      </c>
      <c r="B2601" s="138">
        <f>'Acct Summary 7-8'!F20</f>
        <v>-127549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70599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70599</v>
      </c>
      <c r="C2606" s="2" t="s">
        <v>572</v>
      </c>
      <c r="D2606" s="2" t="str">
        <f t="shared" si="39"/>
        <v>Error?</v>
      </c>
    </row>
    <row r="2607" spans="1:4" x14ac:dyDescent="0.2">
      <c r="A2607" s="5">
        <v>2546</v>
      </c>
      <c r="B2607" s="138">
        <f>'Acct Summary 7-8'!G12</f>
        <v>30907</v>
      </c>
      <c r="C2607" s="2" t="s">
        <v>572</v>
      </c>
      <c r="D2607" s="2" t="str">
        <f t="shared" si="39"/>
        <v>Error?</v>
      </c>
    </row>
    <row r="2608" spans="1:4" x14ac:dyDescent="0.2">
      <c r="A2608" s="5">
        <v>2547</v>
      </c>
      <c r="B2608" s="138">
        <f>'Acct Summary 7-8'!G13</f>
        <v>40103</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71010</v>
      </c>
      <c r="C2612" s="2" t="s">
        <v>572</v>
      </c>
      <c r="D2612" s="2" t="str">
        <f t="shared" si="39"/>
        <v>Error?</v>
      </c>
    </row>
    <row r="2613" spans="1:4" x14ac:dyDescent="0.2">
      <c r="A2613" s="5">
        <v>2552</v>
      </c>
      <c r="B2613" s="138">
        <f>'Acct Summary 7-8'!G20</f>
        <v>-411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15627</v>
      </c>
      <c r="C2630" s="2" t="s">
        <v>572</v>
      </c>
      <c r="D2630" s="2" t="str">
        <f t="shared" si="40"/>
        <v>Error?</v>
      </c>
    </row>
    <row r="2631" spans="1:4" x14ac:dyDescent="0.2">
      <c r="A2631" s="5">
        <v>2570</v>
      </c>
      <c r="B2631" s="138">
        <f>'Acct Summary 7-8'!E6</f>
        <v>2257</v>
      </c>
      <c r="C2631" s="2" t="s">
        <v>572</v>
      </c>
      <c r="D2631" s="2" t="str">
        <f t="shared" si="40"/>
        <v>Error?</v>
      </c>
    </row>
    <row r="2632" spans="1:4" x14ac:dyDescent="0.2">
      <c r="A2632" s="5">
        <v>2571</v>
      </c>
      <c r="B2632" s="138">
        <f>'Acct Summary 7-8'!E8</f>
        <v>17884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18014</v>
      </c>
      <c r="C2634" s="2" t="s">
        <v>572</v>
      </c>
      <c r="D2634" s="2" t="str">
        <f t="shared" si="40"/>
        <v>Error?</v>
      </c>
    </row>
    <row r="2635" spans="1:4" x14ac:dyDescent="0.2">
      <c r="A2635" s="5">
        <v>2574</v>
      </c>
      <c r="B2635" s="138">
        <f>'Acct Summary 7-8'!E17</f>
        <v>18014</v>
      </c>
      <c r="C2635" s="2" t="s">
        <v>572</v>
      </c>
      <c r="D2635" s="2" t="str">
        <f t="shared" si="40"/>
        <v>Error?</v>
      </c>
    </row>
    <row r="2636" spans="1:4" x14ac:dyDescent="0.2">
      <c r="A2636" s="5">
        <v>2575</v>
      </c>
      <c r="B2636" s="138">
        <f>'Acct Summary 7-8'!E20</f>
        <v>-130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26656</v>
      </c>
      <c r="C2789" s="2" t="s">
        <v>572</v>
      </c>
      <c r="D2789" s="2" t="str">
        <f t="shared" si="42"/>
        <v>Error?</v>
      </c>
    </row>
    <row r="2790" spans="1:4" x14ac:dyDescent="0.2">
      <c r="A2790" s="5">
        <v>2729</v>
      </c>
      <c r="B2790" s="138">
        <f>'Expenditures 15-22'!E102</f>
        <v>26656</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131627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36175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131627</v>
      </c>
      <c r="D2912" s="2" t="str">
        <f t="shared" si="44"/>
        <v>Error?</v>
      </c>
    </row>
    <row r="2913" spans="1:4" x14ac:dyDescent="0.2">
      <c r="A2913" s="5">
        <v>2852</v>
      </c>
      <c r="B2913" s="138">
        <f>'Assets-Liab 5-6'!I41</f>
        <v>131627</v>
      </c>
      <c r="C2913" s="2" t="s">
        <v>572</v>
      </c>
      <c r="D2913" s="2" t="str">
        <f t="shared" si="44"/>
        <v>Error?</v>
      </c>
    </row>
    <row r="2914" spans="1:4" x14ac:dyDescent="0.2">
      <c r="A2914" s="5">
        <v>2853</v>
      </c>
      <c r="B2914" s="138">
        <f>'Assets-Liab 5-6'!L33</f>
        <v>36175</v>
      </c>
      <c r="D2914" s="2" t="str">
        <f t="shared" si="44"/>
        <v>Error?</v>
      </c>
    </row>
    <row r="2915" spans="1:4" x14ac:dyDescent="0.2">
      <c r="A2915" s="10">
        <v>2854</v>
      </c>
      <c r="D2915" s="2" t="str">
        <f t="shared" si="44"/>
        <v>OK</v>
      </c>
    </row>
    <row r="2916" spans="1:4" x14ac:dyDescent="0.2">
      <c r="A2916" s="5">
        <v>2855</v>
      </c>
      <c r="B2916" s="138">
        <f>'Assets-Liab 5-6'!L34</f>
        <v>36175</v>
      </c>
      <c r="C2916" s="2" t="s">
        <v>572</v>
      </c>
      <c r="D2916" s="2" t="str">
        <f t="shared" si="44"/>
        <v>Error?</v>
      </c>
    </row>
    <row r="2917" spans="1:4" x14ac:dyDescent="0.2">
      <c r="A2917" s="5">
        <v>2856</v>
      </c>
      <c r="B2917" s="138">
        <f>'Assets-Liab 5-6'!L41</f>
        <v>36175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26656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26656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34915</v>
      </c>
      <c r="D3055" s="2" t="str">
        <f t="shared" si="46"/>
        <v>Error?</v>
      </c>
    </row>
    <row r="3056" spans="1:4" x14ac:dyDescent="0.2">
      <c r="A3056" s="5">
        <v>2995</v>
      </c>
      <c r="B3056" s="138">
        <f>'Expenditures 15-22'!D10</f>
        <v>4788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9177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48880</v>
      </c>
      <c r="C3062" s="2" t="s">
        <v>572</v>
      </c>
      <c r="D3062" s="2" t="str">
        <f t="shared" si="46"/>
        <v>Error?</v>
      </c>
    </row>
    <row r="3063" spans="1:4" x14ac:dyDescent="0.2">
      <c r="A3063" s="10">
        <v>3002</v>
      </c>
      <c r="D3063" s="2" t="str">
        <f t="shared" si="46"/>
        <v>OK</v>
      </c>
    </row>
    <row r="3064" spans="1:4" x14ac:dyDescent="0.2">
      <c r="A3064" s="5">
        <v>3003</v>
      </c>
      <c r="B3064" s="138">
        <f>'Expenditures 15-22'!D219</f>
        <v>2127</v>
      </c>
      <c r="D3064" s="2" t="str">
        <f t="shared" si="46"/>
        <v>Error?</v>
      </c>
    </row>
    <row r="3065" spans="1:4" x14ac:dyDescent="0.2">
      <c r="A3065" s="5">
        <v>3004</v>
      </c>
      <c r="B3065" s="138">
        <f>'Expenditures 15-22'!K219</f>
        <v>2127</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11866</v>
      </c>
      <c r="C3225" s="2" t="s">
        <v>572</v>
      </c>
      <c r="D3225" s="2" t="str">
        <f t="shared" si="49"/>
        <v>Error?</v>
      </c>
    </row>
    <row r="3226" spans="1:4" x14ac:dyDescent="0.2">
      <c r="A3226" s="5">
        <v>3165</v>
      </c>
      <c r="B3226" s="138">
        <f>'Acct Summary 7-8'!I8</f>
        <v>11866</v>
      </c>
      <c r="C3226" s="2" t="s">
        <v>572</v>
      </c>
      <c r="D3226" s="2" t="str">
        <f t="shared" si="49"/>
        <v>Error?</v>
      </c>
    </row>
    <row r="3227" spans="1:4" x14ac:dyDescent="0.2">
      <c r="A3227" s="5">
        <v>3166</v>
      </c>
      <c r="B3227" s="138">
        <f>'Acct Summary 7-8'!I20</f>
        <v>11866</v>
      </c>
      <c r="C3227" s="2" t="s">
        <v>572</v>
      </c>
      <c r="D3227" s="2" t="str">
        <f t="shared" si="49"/>
        <v>Error?</v>
      </c>
    </row>
    <row r="3228" spans="1:4" x14ac:dyDescent="0.2">
      <c r="A3228" s="5">
        <v>3167</v>
      </c>
      <c r="B3228" s="138">
        <f>'Acct Summary 7-8'!C43</f>
        <v>48317</v>
      </c>
      <c r="D3228" s="2" t="str">
        <f t="shared" si="49"/>
        <v>Error?</v>
      </c>
    </row>
    <row r="3229" spans="1:4" x14ac:dyDescent="0.2">
      <c r="A3229" s="5">
        <v>3168</v>
      </c>
      <c r="B3229" s="138">
        <f>'Acct Summary 7-8'!C44</f>
        <v>48317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48317</v>
      </c>
      <c r="C3232" s="2" t="s">
        <v>572</v>
      </c>
      <c r="D3232" s="2" t="str">
        <f t="shared" si="49"/>
        <v>Error?</v>
      </c>
    </row>
    <row r="3233" spans="1:4" x14ac:dyDescent="0.2">
      <c r="A3233" s="5">
        <v>3172</v>
      </c>
      <c r="B3233" s="138">
        <f>'Acct Summary 7-8'!C78</f>
        <v>-5953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-6385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158816</v>
      </c>
      <c r="D3251" s="2" t="str">
        <f t="shared" si="49"/>
        <v>Error?</v>
      </c>
    </row>
    <row r="3252" spans="1:4" x14ac:dyDescent="0.2">
      <c r="A3252" s="5">
        <v>3191</v>
      </c>
      <c r="B3252" s="138">
        <f>'Acct Summary 7-8'!F44</f>
        <v>158816</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158816</v>
      </c>
      <c r="C3255" s="2" t="s">
        <v>572</v>
      </c>
      <c r="D3255" s="2" t="str">
        <f t="shared" si="49"/>
        <v>Error?</v>
      </c>
    </row>
    <row r="3256" spans="1:4" x14ac:dyDescent="0.2">
      <c r="A3256" s="5">
        <v>3195</v>
      </c>
      <c r="B3256" s="138">
        <f>'Acct Summary 7-8'!F78</f>
        <v>31267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-411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-130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11866</v>
      </c>
      <c r="C3320" s="2" t="s">
        <v>572</v>
      </c>
      <c r="D3320" s="2" t="str">
        <f t="shared" si="50"/>
        <v>Error?</v>
      </c>
    </row>
    <row r="3321" spans="1:4" x14ac:dyDescent="0.2">
      <c r="A3321" s="5">
        <v>3260</v>
      </c>
      <c r="B3321" s="138">
        <f>'Acct Summary 7-8'!I79</f>
        <v>119761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131627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166723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28080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195638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10396</v>
      </c>
      <c r="D3387" s="2" t="str">
        <f t="shared" si="51"/>
        <v>Error?</v>
      </c>
    </row>
    <row r="3388" spans="1:4" x14ac:dyDescent="0.2">
      <c r="A3388" s="5">
        <v>3327</v>
      </c>
      <c r="B3388" s="138">
        <f>'Expenditures 15-22'!D217</f>
        <v>16726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10396</v>
      </c>
      <c r="C3390" s="2" t="s">
        <v>572</v>
      </c>
      <c r="D3390" s="2" t="str">
        <f t="shared" si="51"/>
        <v>Error?</v>
      </c>
    </row>
    <row r="3391" spans="1:4" x14ac:dyDescent="0.2">
      <c r="A3391" s="5">
        <v>3330</v>
      </c>
      <c r="B3391" s="138">
        <f>'Expenditures 15-22'!K217</f>
        <v>16726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384656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172600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1922</v>
      </c>
      <c r="D3417" s="2" t="str">
        <f t="shared" si="52"/>
        <v>Error?</v>
      </c>
    </row>
    <row r="3418" spans="1:4" x14ac:dyDescent="0.2">
      <c r="A3418" s="10">
        <v>3357</v>
      </c>
      <c r="D3418" s="2" t="str">
        <f t="shared" si="52"/>
        <v>OK</v>
      </c>
    </row>
    <row r="3419" spans="1:4" x14ac:dyDescent="0.2">
      <c r="A3419" s="5">
        <v>3358</v>
      </c>
      <c r="B3419" s="138">
        <f>'Assets-Liab 5-6'!F4</f>
        <v>149595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78846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131627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36175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36460</v>
      </c>
      <c r="C3446" s="2" t="s">
        <v>572</v>
      </c>
      <c r="D3446" s="2" t="str">
        <f t="shared" si="52"/>
        <v>Error?</v>
      </c>
    </row>
    <row r="3447" spans="1:4" x14ac:dyDescent="0.2">
      <c r="A3447" s="5">
        <v>3386</v>
      </c>
      <c r="B3447" s="138">
        <f>'Tax Sched 23'!D16</f>
        <v>36460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38041</v>
      </c>
      <c r="C3449" s="2" t="s">
        <v>572</v>
      </c>
      <c r="D3449" s="2" t="str">
        <f t="shared" si="52"/>
        <v>Error?</v>
      </c>
    </row>
    <row r="3450" spans="1:4" x14ac:dyDescent="0.2">
      <c r="A3450" s="5">
        <v>3389</v>
      </c>
      <c r="B3450" s="138">
        <f>'Tax Sched 23'!E16</f>
        <v>38041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39340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39340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39340</v>
      </c>
      <c r="D3567" s="2" t="str">
        <f t="shared" si="54"/>
        <v>Error?</v>
      </c>
    </row>
    <row r="3568" spans="1:4" x14ac:dyDescent="0.2">
      <c r="A3568" s="5">
        <v>3507</v>
      </c>
      <c r="B3568" s="138">
        <f>'Assets-Liab 5-6'!K41</f>
        <v>39340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39200</v>
      </c>
      <c r="D3579" s="2" t="str">
        <f t="shared" si="54"/>
        <v>Error?</v>
      </c>
    </row>
    <row r="3580" spans="1:4" x14ac:dyDescent="0.2">
      <c r="A3580" s="5">
        <v>3519</v>
      </c>
      <c r="B3580" s="138">
        <f>'Acct Summary 7-8'!K34</f>
        <v>3790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42990</v>
      </c>
      <c r="C3584" s="2" t="s">
        <v>572</v>
      </c>
      <c r="D3584" s="2" t="str">
        <f t="shared" si="55"/>
        <v>Error?</v>
      </c>
    </row>
    <row r="3585" spans="1:4" x14ac:dyDescent="0.2">
      <c r="A3585" s="12">
        <v>3524</v>
      </c>
      <c r="B3585" s="138">
        <f>'Acct Summary 7-8'!K75</f>
        <v>3650</v>
      </c>
      <c r="D3585" s="2" t="str">
        <f t="shared" si="55"/>
        <v>Error?</v>
      </c>
    </row>
    <row r="3586" spans="1:4" x14ac:dyDescent="0.2">
      <c r="A3586" s="5">
        <v>3525</v>
      </c>
      <c r="B3586" s="138">
        <f>'Acct Summary 7-8'!K76</f>
        <v>3650</v>
      </c>
      <c r="C3586" s="2" t="s">
        <v>572</v>
      </c>
      <c r="D3586" s="2" t="str">
        <f t="shared" si="55"/>
        <v>Error?</v>
      </c>
    </row>
    <row r="3587" spans="1:4" x14ac:dyDescent="0.2">
      <c r="A3587" s="5">
        <v>3526</v>
      </c>
      <c r="B3587" s="138">
        <f>'Acct Summary 7-8'!K77</f>
        <v>39340</v>
      </c>
      <c r="C3587" s="2" t="s">
        <v>572</v>
      </c>
      <c r="D3587" s="2" t="str">
        <f t="shared" si="55"/>
        <v>Error?</v>
      </c>
    </row>
    <row r="3588" spans="1:4" x14ac:dyDescent="0.2">
      <c r="A3588" s="5">
        <v>3527</v>
      </c>
      <c r="B3588" s="138">
        <f>'Acct Summary 7-8'!K78</f>
        <v>39340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39340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46578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742503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2636844</v>
      </c>
      <c r="C4122" s="2" t="s">
        <v>572</v>
      </c>
      <c r="D4122" s="2" t="str">
        <f t="shared" si="63"/>
        <v>Error?</v>
      </c>
    </row>
    <row r="4123" spans="1:4" x14ac:dyDescent="0.2">
      <c r="A4123" s="5">
        <v>4062</v>
      </c>
      <c r="B4123" s="138">
        <f>'Acct Summary 7-8'!D10</f>
        <v>62265</v>
      </c>
      <c r="C4123" s="2" t="s">
        <v>572</v>
      </c>
      <c r="D4123" s="2" t="str">
        <f t="shared" si="63"/>
        <v>Error?</v>
      </c>
    </row>
    <row r="4124" spans="1:4" x14ac:dyDescent="0.2">
      <c r="A4124" s="5">
        <v>4063</v>
      </c>
      <c r="B4124" s="138">
        <f>'Acct Summary 7-8'!E10</f>
        <v>17884</v>
      </c>
      <c r="C4124" s="2" t="s">
        <v>572</v>
      </c>
      <c r="D4124" s="2" t="str">
        <f t="shared" si="63"/>
        <v>Error?</v>
      </c>
    </row>
    <row r="4125" spans="1:4" x14ac:dyDescent="0.2">
      <c r="A4125" s="5">
        <v>4064</v>
      </c>
      <c r="B4125" s="138">
        <f>'Acct Summary 7-8'!F10</f>
        <v>282998</v>
      </c>
      <c r="C4125" s="2" t="s">
        <v>572</v>
      </c>
      <c r="D4125" s="2" t="str">
        <f t="shared" si="63"/>
        <v>Error?</v>
      </c>
    </row>
    <row r="4126" spans="1:4" x14ac:dyDescent="0.2">
      <c r="A4126" s="5">
        <v>4065</v>
      </c>
      <c r="B4126" s="138">
        <f>'Acct Summary 7-8'!G10</f>
        <v>70599</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11866</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742503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2691114</v>
      </c>
      <c r="C4136" s="2" t="s">
        <v>572</v>
      </c>
      <c r="D4136" s="2" t="str">
        <f t="shared" si="63"/>
        <v>Error?</v>
      </c>
    </row>
    <row r="4137" spans="1:4" x14ac:dyDescent="0.2">
      <c r="A4137" s="5">
        <v>4076</v>
      </c>
      <c r="B4137" s="138">
        <f>'Acct Summary 7-8'!D19</f>
        <v>68650</v>
      </c>
      <c r="C4137" s="2" t="s">
        <v>572</v>
      </c>
      <c r="D4137" s="2" t="str">
        <f t="shared" si="63"/>
        <v>Error?</v>
      </c>
    </row>
    <row r="4138" spans="1:4" x14ac:dyDescent="0.2">
      <c r="A4138" s="5">
        <v>4077</v>
      </c>
      <c r="B4138" s="138">
        <f>'Acct Summary 7-8'!E19</f>
        <v>18014</v>
      </c>
      <c r="C4138" s="2" t="s">
        <v>572</v>
      </c>
      <c r="D4138" s="2" t="str">
        <f t="shared" si="63"/>
        <v>Error?</v>
      </c>
    </row>
    <row r="4139" spans="1:4" x14ac:dyDescent="0.2">
      <c r="A4139" s="5">
        <v>4078</v>
      </c>
      <c r="B4139" s="138">
        <f>'Acct Summary 7-8'!F19</f>
        <v>410547</v>
      </c>
      <c r="C4139" s="2" t="s">
        <v>572</v>
      </c>
      <c r="D4139" s="2" t="str">
        <f t="shared" si="63"/>
        <v>Error?</v>
      </c>
    </row>
    <row r="4140" spans="1:4" x14ac:dyDescent="0.2">
      <c r="A4140" s="5">
        <v>4079</v>
      </c>
      <c r="B4140" s="138">
        <f>'Acct Summary 7-8'!G19</f>
        <v>71010</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219451</v>
      </c>
      <c r="C4171" s="2" t="s">
        <v>572</v>
      </c>
      <c r="D4171" s="2" t="str">
        <f t="shared" si="64"/>
        <v>Error?</v>
      </c>
    </row>
    <row r="4172" spans="1:4" x14ac:dyDescent="0.2">
      <c r="A4172" s="5">
        <v>4111</v>
      </c>
      <c r="B4172" s="138">
        <f>'Short-Term Long-Term Debt 24'!J49</f>
        <v>217529</v>
      </c>
      <c r="C4172" s="2" t="s">
        <v>572</v>
      </c>
      <c r="D4172" s="2" t="str">
        <f t="shared" si="64"/>
        <v>Error?</v>
      </c>
    </row>
    <row r="4173" spans="1:4" x14ac:dyDescent="0.2">
      <c r="A4173" s="5">
        <v>4112</v>
      </c>
      <c r="B4173" s="138">
        <f>'Short-Term Long-Term Debt 24'!H49</f>
        <v>42182</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24860</v>
      </c>
      <c r="D4210" s="2" t="str">
        <f t="shared" si="64"/>
        <v>Error?</v>
      </c>
    </row>
    <row r="4211" spans="1:4" x14ac:dyDescent="0.2">
      <c r="A4211" s="5">
        <v>4150</v>
      </c>
      <c r="B4211" s="138">
        <f>'Expenditures 15-22'!K206</f>
        <v>24860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1051.95</v>
      </c>
      <c r="C4265" s="2" t="s">
        <v>572</v>
      </c>
      <c r="D4265" s="2" t="str">
        <f t="shared" si="65"/>
        <v>Error?</v>
      </c>
      <c r="E4265" s="128"/>
    </row>
    <row r="4266" spans="1:5" x14ac:dyDescent="0.2">
      <c r="A4266" s="12">
        <v>4205</v>
      </c>
      <c r="B4266" s="138">
        <f>('FP Info 3'!F10)*100000</f>
        <v>215.02</v>
      </c>
      <c r="C4266" s="2" t="s">
        <v>572</v>
      </c>
      <c r="D4266" s="2" t="str">
        <f t="shared" si="65"/>
        <v>Error?</v>
      </c>
      <c r="E4266" s="128"/>
    </row>
    <row r="4267" spans="1:5" x14ac:dyDescent="0.2">
      <c r="A4267" s="12">
        <v>4206</v>
      </c>
      <c r="B4267" s="138">
        <f>('FP Info 3'!H10)*100000</f>
        <v>233.16</v>
      </c>
      <c r="C4267" s="2" t="s">
        <v>572</v>
      </c>
      <c r="D4267" s="2" t="str">
        <f t="shared" si="65"/>
        <v>Error?</v>
      </c>
      <c r="E4267" s="128"/>
    </row>
    <row r="4268" spans="1:5" x14ac:dyDescent="0.2">
      <c r="A4268" s="12">
        <v>4207</v>
      </c>
      <c r="B4268" s="138">
        <f>('FP Info 3'!J10)*100000</f>
        <v>1500</v>
      </c>
      <c r="C4268" s="2" t="s">
        <v>572</v>
      </c>
      <c r="D4268" s="2" t="str">
        <f t="shared" si="65"/>
        <v>Error?</v>
      </c>
    </row>
    <row r="4269" spans="1:5" x14ac:dyDescent="0.2">
      <c r="A4269" s="12">
        <v>4208</v>
      </c>
      <c r="B4269" s="138">
        <f>'FP Info 3'!J16</f>
        <v>882137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21517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40.58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3593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23399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30174179</v>
      </c>
      <c r="D4995" s="2" t="str">
        <f t="shared" si="77"/>
        <v>Error?</v>
      </c>
    </row>
    <row r="4996" spans="1:4" x14ac:dyDescent="0.2">
      <c r="A4996" s="12">
        <v>4935</v>
      </c>
      <c r="B4996" s="138">
        <f>'FP Info 3'!H31</f>
        <v>2082018.3510000003</v>
      </c>
      <c r="D4996" s="2" t="str">
        <f t="shared" si="77"/>
        <v>Error?</v>
      </c>
    </row>
    <row r="4997" spans="1:4" x14ac:dyDescent="0.2">
      <c r="A4997" s="12">
        <v>4936</v>
      </c>
      <c r="B4997" s="138">
        <f>'FP Info 3'!H37</f>
        <v>219451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301377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301377</v>
      </c>
      <c r="C5066" s="2" t="s">
        <v>572</v>
      </c>
      <c r="D5066" s="2" t="str">
        <f t="shared" si="78"/>
        <v>Error?</v>
      </c>
    </row>
    <row r="5067" spans="1:4" x14ac:dyDescent="0.2">
      <c r="A5067" s="5">
        <v>5006</v>
      </c>
      <c r="B5067" s="138">
        <f>'Revenues 9-14'!C14</f>
        <v>3276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3276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19625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19625</v>
      </c>
      <c r="C5087" s="2" t="s">
        <v>572</v>
      </c>
      <c r="D5087" s="2" t="str">
        <f t="shared" si="78"/>
        <v>Error?</v>
      </c>
    </row>
    <row r="5088" spans="1:4" x14ac:dyDescent="0.2">
      <c r="A5088" s="5">
        <v>5027</v>
      </c>
      <c r="B5088" s="138">
        <f>'Revenues 9-14'!C65</f>
        <v>9776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9776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495</v>
      </c>
      <c r="D5094" s="2" t="str">
        <f t="shared" si="78"/>
        <v>Error?</v>
      </c>
    </row>
    <row r="5095" spans="1:4" x14ac:dyDescent="0.2">
      <c r="A5095" s="5">
        <v>5034</v>
      </c>
      <c r="B5095" s="138">
        <f>'Revenues 9-14'!C74</f>
        <v>21175</v>
      </c>
      <c r="D5095" s="2" t="str">
        <f t="shared" si="78"/>
        <v>Error?</v>
      </c>
    </row>
    <row r="5096" spans="1:4" x14ac:dyDescent="0.2">
      <c r="A5096" s="5">
        <v>5035</v>
      </c>
      <c r="B5096" s="138">
        <f>'Revenues 9-14'!C75</f>
        <v>43962</v>
      </c>
      <c r="C5096" s="2" t="s">
        <v>572</v>
      </c>
      <c r="D5096" s="2" t="str">
        <f t="shared" si="78"/>
        <v>Error?</v>
      </c>
    </row>
    <row r="5097" spans="1:4" x14ac:dyDescent="0.2">
      <c r="A5097" s="5">
        <v>5036</v>
      </c>
      <c r="B5097" s="138">
        <f>'Revenues 9-14'!C77</f>
        <v>5402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5402</v>
      </c>
      <c r="C5102" s="2" t="s">
        <v>572</v>
      </c>
      <c r="D5102" s="2" t="str">
        <f t="shared" si="78"/>
        <v>Error?</v>
      </c>
    </row>
    <row r="5103" spans="1:4" x14ac:dyDescent="0.2">
      <c r="A5103" s="5">
        <v>5042</v>
      </c>
      <c r="B5103" s="138">
        <f>'Revenues 9-14'!C84</f>
        <v>1901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1901</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4554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28803</v>
      </c>
      <c r="D5119" s="2" t="str">
        <f t="shared" ref="D5119:D5182" si="79">IF(ISBLANK(B5119),"OK",IF(A5119-B5119=0,"OK","Error?"))</f>
        <v>Error?</v>
      </c>
    </row>
    <row r="5120" spans="1:4" x14ac:dyDescent="0.2">
      <c r="A5120" s="5">
        <v>5059</v>
      </c>
      <c r="B5120" s="138">
        <f>'Revenues 9-14'!C108</f>
        <v>33357</v>
      </c>
      <c r="C5120" s="2" t="s">
        <v>572</v>
      </c>
      <c r="D5120" s="2" t="str">
        <f t="shared" si="79"/>
        <v>Error?</v>
      </c>
    </row>
    <row r="5121" spans="1:4" x14ac:dyDescent="0.2">
      <c r="A5121" s="5">
        <v>5060</v>
      </c>
      <c r="B5121" s="138">
        <f>'Revenues 9-14'!C109</f>
        <v>418676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1285875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1285875</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896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4489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1290364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23399</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46394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11597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57991</v>
      </c>
      <c r="C5246" s="2" t="s">
        <v>572</v>
      </c>
      <c r="D5246" s="2" t="str">
        <f t="shared" si="80"/>
        <v>Error?</v>
      </c>
    </row>
    <row r="5247" spans="1:4" x14ac:dyDescent="0.2">
      <c r="A5247" s="5">
        <v>5186</v>
      </c>
      <c r="B5247" s="138">
        <f>'Revenues 9-14'!C200</f>
        <v>66348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66348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14835</v>
      </c>
      <c r="D5278" s="2" t="str">
        <f t="shared" si="81"/>
        <v>Error?</v>
      </c>
    </row>
    <row r="5279" spans="1:4" x14ac:dyDescent="0.2">
      <c r="A5279" s="5">
        <v>5218</v>
      </c>
      <c r="B5279" s="138">
        <f>'Revenues 9-14'!C214</f>
        <v>431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15266</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161902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185301</v>
      </c>
      <c r="C5326" s="2" t="s">
        <v>572</v>
      </c>
      <c r="D5326" s="2" t="str">
        <f t="shared" si="82"/>
        <v>Error?</v>
      </c>
    </row>
    <row r="5327" spans="1:5" x14ac:dyDescent="0.2">
      <c r="A5327" s="5">
        <v>5266</v>
      </c>
      <c r="B5327" s="138">
        <f>'Revenues 9-14'!C268</f>
        <v>1894341</v>
      </c>
      <c r="C5327" s="2" t="s">
        <v>572</v>
      </c>
      <c r="D5327" s="2" t="str">
        <f t="shared" si="82"/>
        <v>Error?</v>
      </c>
    </row>
    <row r="5328" spans="1:5" x14ac:dyDescent="0.2">
      <c r="A5328" s="5">
        <v>5267</v>
      </c>
      <c r="B5328" s="138">
        <f>'Revenues 9-14'!D5</f>
        <v>61595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61595</v>
      </c>
      <c r="C5334" s="2" t="s">
        <v>572</v>
      </c>
      <c r="D5334" s="2" t="str">
        <f t="shared" si="82"/>
        <v>Error?</v>
      </c>
    </row>
    <row r="5335" spans="1:4" x14ac:dyDescent="0.2">
      <c r="A5335" s="5">
        <v>5274</v>
      </c>
      <c r="B5335" s="138">
        <f>'Revenues 9-14'!D14</f>
        <v>670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670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62265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62265</v>
      </c>
      <c r="C5508" s="2" t="s">
        <v>572</v>
      </c>
      <c r="D5508" s="2" t="str">
        <f t="shared" si="85"/>
        <v>Error?</v>
      </c>
    </row>
    <row r="5509" spans="1:4" x14ac:dyDescent="0.2">
      <c r="A5509" s="5">
        <v>5448</v>
      </c>
      <c r="B5509" s="138">
        <f>'Revenues 9-14'!E5</f>
        <v>15459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15459</v>
      </c>
      <c r="C5513" s="2" t="s">
        <v>572</v>
      </c>
      <c r="D5513" s="2" t="str">
        <f t="shared" si="85"/>
        <v>Error?</v>
      </c>
    </row>
    <row r="5514" spans="1:4" x14ac:dyDescent="0.2">
      <c r="A5514" s="5">
        <v>5453</v>
      </c>
      <c r="B5514" s="138">
        <f>'Revenues 9-14'!E14</f>
        <v>168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168</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15627</v>
      </c>
      <c r="C5527" s="2" t="s">
        <v>572</v>
      </c>
      <c r="D5527" s="2" t="str">
        <f t="shared" si="85"/>
        <v>Error?</v>
      </c>
    </row>
    <row r="5528" spans="1:4" x14ac:dyDescent="0.2">
      <c r="A5528" s="5">
        <v>5467</v>
      </c>
      <c r="B5528" s="138">
        <f>'Revenues 9-14'!E117</f>
        <v>2257</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2257</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2257</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17884</v>
      </c>
      <c r="C5552" s="2" t="s">
        <v>572</v>
      </c>
      <c r="D5552" s="2" t="str">
        <f t="shared" si="85"/>
        <v>Error?</v>
      </c>
    </row>
    <row r="5553" spans="1:4" x14ac:dyDescent="0.2">
      <c r="A5553" s="5">
        <v>5492</v>
      </c>
      <c r="B5553" s="138">
        <f>'Revenues 9-14'!F5</f>
        <v>66791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66791</v>
      </c>
      <c r="C5557" s="2" t="s">
        <v>572</v>
      </c>
      <c r="D5557" s="2" t="str">
        <f t="shared" si="85"/>
        <v>Error?</v>
      </c>
    </row>
    <row r="5558" spans="1:4" x14ac:dyDescent="0.2">
      <c r="A5558" s="5">
        <v>5497</v>
      </c>
      <c r="B5558" s="138">
        <f>'Revenues 9-14'!F14</f>
        <v>726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20726</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24250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1598</v>
      </c>
      <c r="D5586" s="2" t="str">
        <f t="shared" si="86"/>
        <v>Error?</v>
      </c>
    </row>
    <row r="5587" spans="1:4" x14ac:dyDescent="0.2">
      <c r="A5587" s="5">
        <v>5526</v>
      </c>
      <c r="B5587" s="138">
        <f>'Revenues 9-14'!F108</f>
        <v>25848</v>
      </c>
      <c r="C5587" s="2" t="s">
        <v>572</v>
      </c>
      <c r="D5587" s="2" t="str">
        <f t="shared" si="86"/>
        <v>Error?</v>
      </c>
    </row>
    <row r="5588" spans="1:4" x14ac:dyDescent="0.2">
      <c r="A5588" s="5">
        <v>5527</v>
      </c>
      <c r="B5588" s="138">
        <f>'Revenues 9-14'!F109</f>
        <v>113365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143345</v>
      </c>
      <c r="D5615" s="2" t="str">
        <f t="shared" si="86"/>
        <v>Error?</v>
      </c>
    </row>
    <row r="5616" spans="1:4" x14ac:dyDescent="0.2">
      <c r="A5616" s="10">
        <v>5555</v>
      </c>
      <c r="D5616" s="2" t="str">
        <f t="shared" si="86"/>
        <v>OK</v>
      </c>
    </row>
    <row r="5617" spans="1:5" x14ac:dyDescent="0.2">
      <c r="A5617" s="5">
        <v>5556</v>
      </c>
      <c r="B5617" s="138">
        <f>'Revenues 9-14'!F153</f>
        <v>26288</v>
      </c>
      <c r="D5617" s="2" t="str">
        <f t="shared" si="86"/>
        <v>Error?</v>
      </c>
    </row>
    <row r="5618" spans="1:5" x14ac:dyDescent="0.2">
      <c r="A5618" s="5">
        <v>5557</v>
      </c>
      <c r="B5618" s="138">
        <f>'Revenues 9-14'!F155</f>
        <v>169633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169633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169633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282998</v>
      </c>
      <c r="C5720" s="2" t="s">
        <v>572</v>
      </c>
      <c r="D5720" s="2" t="str">
        <f t="shared" si="88"/>
        <v>Error?</v>
      </c>
    </row>
    <row r="5721" spans="1:4" x14ac:dyDescent="0.2">
      <c r="A5721" s="5">
        <v>5660</v>
      </c>
      <c r="B5721" s="138">
        <f>'Revenues 9-14'!G5</f>
        <v>19503</v>
      </c>
      <c r="D5721" s="2" t="str">
        <f t="shared" si="88"/>
        <v>Error?</v>
      </c>
    </row>
    <row r="5722" spans="1:4" x14ac:dyDescent="0.2">
      <c r="A5722" s="5">
        <v>5661</v>
      </c>
      <c r="B5722" s="138">
        <f>'Revenues 9-14'!G7</f>
        <v>0</v>
      </c>
      <c r="D5722" s="2" t="str">
        <f t="shared" si="88"/>
        <v>Error?</v>
      </c>
    </row>
    <row r="5723" spans="1:4" x14ac:dyDescent="0.2">
      <c r="A5723" s="5">
        <v>5662</v>
      </c>
      <c r="B5723" s="138">
        <f>'Revenues 9-14'!G8</f>
        <v>36460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55963</v>
      </c>
      <c r="C5725" s="2" t="s">
        <v>572</v>
      </c>
      <c r="D5725" s="2" t="str">
        <f t="shared" si="88"/>
        <v>Error?</v>
      </c>
    </row>
    <row r="5726" spans="1:4" x14ac:dyDescent="0.2">
      <c r="A5726" s="5">
        <v>5665</v>
      </c>
      <c r="B5726" s="138">
        <f>'Revenues 9-14'!G14</f>
        <v>608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608</v>
      </c>
      <c r="C5730" s="2" t="s">
        <v>572</v>
      </c>
      <c r="D5730" s="2" t="str">
        <f t="shared" si="88"/>
        <v>Error?</v>
      </c>
    </row>
    <row r="5731" spans="1:4" x14ac:dyDescent="0.2">
      <c r="A5731" s="5">
        <v>5670</v>
      </c>
      <c r="B5731" s="138">
        <f>'Revenues 9-14'!G65</f>
        <v>14028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14028</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70599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11738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11738</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11866</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70599</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11866</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22292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8857</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211.9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643</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26</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360</v>
      </c>
      <c r="D6215" s="2" t="str">
        <f t="shared" si="96"/>
        <v>Error?</v>
      </c>
      <c r="E6215" s="2" t="s">
        <v>190</v>
      </c>
    </row>
    <row r="6216" spans="1:5" x14ac:dyDescent="0.2">
      <c r="A6216">
        <v>6155</v>
      </c>
      <c r="B6216" s="138">
        <f>'Assets-Liab 5-6'!J41</f>
        <v>360</v>
      </c>
      <c r="D6216" s="2" t="str">
        <f t="shared" si="96"/>
        <v>Error?</v>
      </c>
      <c r="E6216" s="2" t="s">
        <v>190</v>
      </c>
    </row>
    <row r="6217" spans="1:5" x14ac:dyDescent="0.2">
      <c r="A6217">
        <v>6156</v>
      </c>
      <c r="B6217" s="138">
        <f>'Assets-Liab 5-6'!J4</f>
        <v>360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37783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37783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37783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37423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37423</v>
      </c>
      <c r="D6229" s="2" t="str">
        <f t="shared" si="96"/>
        <v>Error?</v>
      </c>
      <c r="E6229" s="2" t="s">
        <v>190</v>
      </c>
    </row>
    <row r="6230" spans="1:5" x14ac:dyDescent="0.2">
      <c r="A6230">
        <v>6169</v>
      </c>
      <c r="B6230" s="138">
        <f>'Acct Summary 7-8'!J20</f>
        <v>360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360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360</v>
      </c>
      <c r="D6266" s="2" t="str">
        <f t="shared" si="96"/>
        <v>Error?</v>
      </c>
      <c r="E6266" s="2" t="s">
        <v>190</v>
      </c>
    </row>
    <row r="6267" spans="1:5" x14ac:dyDescent="0.2">
      <c r="A6267">
        <v>6206</v>
      </c>
      <c r="B6267" s="138">
        <f>'Acct Summary 7-8'!C82</f>
        <v>-5953</v>
      </c>
      <c r="D6267" s="2" t="str">
        <f t="shared" si="96"/>
        <v>Error?</v>
      </c>
      <c r="E6267" s="2" t="s">
        <v>190</v>
      </c>
    </row>
    <row r="6268" spans="1:5" x14ac:dyDescent="0.2">
      <c r="A6268">
        <v>6207</v>
      </c>
      <c r="B6268" s="138">
        <f>'Acct Summary 7-8'!D82</f>
        <v>-6385</v>
      </c>
      <c r="D6268" s="2" t="str">
        <f t="shared" si="96"/>
        <v>Error?</v>
      </c>
      <c r="E6268" s="2" t="s">
        <v>190</v>
      </c>
    </row>
    <row r="6269" spans="1:5" x14ac:dyDescent="0.2">
      <c r="A6269">
        <v>6208</v>
      </c>
      <c r="B6269" s="138">
        <f>'Acct Summary 7-8'!E82</f>
        <v>-130</v>
      </c>
      <c r="D6269" s="2" t="str">
        <f t="shared" si="96"/>
        <v>Error?</v>
      </c>
      <c r="E6269" s="2" t="s">
        <v>190</v>
      </c>
    </row>
    <row r="6270" spans="1:5" x14ac:dyDescent="0.2">
      <c r="A6270">
        <v>6209</v>
      </c>
      <c r="B6270" s="138">
        <f>'Acct Summary 7-8'!F82</f>
        <v>31267</v>
      </c>
      <c r="D6270" s="2" t="str">
        <f t="shared" si="96"/>
        <v>Error?</v>
      </c>
      <c r="E6270" s="2" t="s">
        <v>190</v>
      </c>
    </row>
    <row r="6271" spans="1:5" x14ac:dyDescent="0.2">
      <c r="A6271">
        <v>6210</v>
      </c>
      <c r="B6271" s="138">
        <f>'Acct Summary 7-8'!G82</f>
        <v>-411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11866</v>
      </c>
      <c r="D6273" s="2" t="str">
        <f t="shared" si="97"/>
        <v>Error?</v>
      </c>
      <c r="E6273" s="2" t="s">
        <v>190</v>
      </c>
    </row>
    <row r="6274" spans="1:5" x14ac:dyDescent="0.2">
      <c r="A6274">
        <v>6213</v>
      </c>
      <c r="B6274" s="138">
        <f>'Acct Summary 7-8'!J82</f>
        <v>360</v>
      </c>
      <c r="D6274" s="2" t="str">
        <f t="shared" si="97"/>
        <v>Error?</v>
      </c>
      <c r="E6274" s="2" t="s">
        <v>190</v>
      </c>
    </row>
    <row r="6275" spans="1:5" x14ac:dyDescent="0.2">
      <c r="A6275">
        <v>6214</v>
      </c>
      <c r="B6275" s="138">
        <f>'Acct Summary 7-8'!K82</f>
        <v>39340</v>
      </c>
      <c r="D6275" s="2" t="str">
        <f t="shared" si="97"/>
        <v>Error?</v>
      </c>
      <c r="E6275" s="2" t="s">
        <v>190</v>
      </c>
    </row>
    <row r="6276" spans="1:5" x14ac:dyDescent="0.2">
      <c r="A6276">
        <v>6215</v>
      </c>
      <c r="B6276" s="138">
        <f>'Acct Summary 7-8'!C83</f>
        <v>-1.3899493099285763E-2</v>
      </c>
      <c r="D6276" s="2" t="str">
        <f t="shared" si="97"/>
        <v>Error?</v>
      </c>
      <c r="E6276" s="2" t="s">
        <v>190</v>
      </c>
    </row>
    <row r="6277" spans="1:5" x14ac:dyDescent="0.2">
      <c r="A6277">
        <v>6216</v>
      </c>
      <c r="B6277" s="138">
        <f>'Acct Summary 7-8'!D83</f>
        <v>-3.6993047508690612E-2</v>
      </c>
      <c r="D6277" s="2" t="str">
        <f t="shared" si="97"/>
        <v>Error?</v>
      </c>
      <c r="E6277" s="2" t="s">
        <v>190</v>
      </c>
    </row>
    <row r="6278" spans="1:5" x14ac:dyDescent="0.2">
      <c r="A6278">
        <v>6217</v>
      </c>
      <c r="B6278" s="138">
        <f>'Acct Summary 7-8'!E83</f>
        <v>-6.763787721123829E-2</v>
      </c>
      <c r="D6278" s="2" t="str">
        <f t="shared" si="97"/>
        <v>Error?</v>
      </c>
      <c r="E6278" s="2" t="s">
        <v>190</v>
      </c>
    </row>
    <row r="6279" spans="1:5" x14ac:dyDescent="0.2">
      <c r="A6279">
        <v>6218</v>
      </c>
      <c r="B6279" s="138">
        <f>'Acct Summary 7-8'!F83</f>
        <v>0.20897467601473055</v>
      </c>
      <c r="D6279" s="2" t="str">
        <f t="shared" si="97"/>
        <v>Error?</v>
      </c>
      <c r="E6279" s="2" t="s">
        <v>190</v>
      </c>
    </row>
    <row r="6280" spans="1:5" x14ac:dyDescent="0.2">
      <c r="A6280">
        <v>6219</v>
      </c>
      <c r="B6280" s="138">
        <f>'Acct Summary 7-8'!G83</f>
        <v>-5.2126930979377517E-3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9.0148677702902899E-2</v>
      </c>
      <c r="D6282" s="2" t="str">
        <f t="shared" si="97"/>
        <v>Error?</v>
      </c>
      <c r="E6282" s="2" t="s">
        <v>190</v>
      </c>
    </row>
    <row r="6283" spans="1:5" x14ac:dyDescent="0.2">
      <c r="A6283">
        <v>6222</v>
      </c>
      <c r="B6283" s="138">
        <f>'Acct Summary 7-8'!J83</f>
        <v>1</v>
      </c>
      <c r="D6283" s="2" t="str">
        <f t="shared" si="97"/>
        <v>Error?</v>
      </c>
      <c r="E6283" s="2" t="s">
        <v>190</v>
      </c>
    </row>
    <row r="6284" spans="1:5" x14ac:dyDescent="0.2">
      <c r="A6284">
        <v>6223</v>
      </c>
      <c r="B6284" s="138">
        <f>'Acct Summary 7-8'!K83</f>
        <v>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37109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37109</v>
      </c>
      <c r="D6301" s="2" t="str">
        <f t="shared" si="97"/>
        <v>Error?</v>
      </c>
      <c r="E6301" s="2" t="s">
        <v>190</v>
      </c>
    </row>
    <row r="6302" spans="1:5" x14ac:dyDescent="0.2">
      <c r="A6302">
        <v>6241</v>
      </c>
      <c r="B6302" s="138">
        <f>'Revenues 9-14'!J14</f>
        <v>404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404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270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270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37783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21439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25151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86222</v>
      </c>
      <c r="D6983" s="2" t="str">
        <f t="shared" si="108"/>
        <v>Error?</v>
      </c>
    </row>
    <row r="6984" spans="1:4" x14ac:dyDescent="0.2">
      <c r="A6984">
        <v>6923</v>
      </c>
      <c r="B6984" s="138">
        <f>'Expenditures 15-22'!K86</f>
        <v>86222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86222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37423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37783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3679</v>
      </c>
      <c r="D7067" s="2" t="str">
        <f t="shared" si="109"/>
        <v>Error?</v>
      </c>
    </row>
    <row r="7068" spans="1:4" x14ac:dyDescent="0.2">
      <c r="A7068">
        <v>7007</v>
      </c>
      <c r="B7068" s="138">
        <f>'Expenditures 15-22'!K205</f>
        <v>3679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326</v>
      </c>
      <c r="D7073" s="2" t="str">
        <f t="shared" si="109"/>
        <v>Error?</v>
      </c>
    </row>
    <row r="7074" spans="1:4" x14ac:dyDescent="0.2">
      <c r="A7074">
        <v>7013</v>
      </c>
      <c r="B7074" s="138">
        <f>'Expenditures 15-22'!K216</f>
        <v>326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4943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4943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32480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32480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37423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37423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37423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37423</v>
      </c>
      <c r="D7224" s="2" t="str">
        <f t="shared" si="111"/>
        <v>Error?</v>
      </c>
    </row>
    <row r="7225" spans="1:4" x14ac:dyDescent="0.2">
      <c r="A7225">
        <v>7164</v>
      </c>
      <c r="B7225" s="138">
        <f>'Expenditures 15-22'!K343</f>
        <v>360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3712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109330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29'!D37</f>
        <v>11214</v>
      </c>
      <c r="D7797" s="2" t="str">
        <f t="shared" si="127"/>
        <v>Error?</v>
      </c>
      <c r="E7797" s="4" t="s">
        <v>1902</v>
      </c>
    </row>
    <row r="7798" spans="1:5" x14ac:dyDescent="0.2">
      <c r="A7798">
        <v>7737</v>
      </c>
      <c r="B7798" s="138">
        <f>'Contracts Paid in CY 29'!F37</f>
        <v>11214</v>
      </c>
      <c r="D7798" s="2" t="str">
        <f t="shared" si="127"/>
        <v>Error?</v>
      </c>
      <c r="E7798" s="4" t="s">
        <v>1902</v>
      </c>
    </row>
    <row r="7799" spans="1:5" x14ac:dyDescent="0.2">
      <c r="A7799">
        <v>7738</v>
      </c>
      <c r="B7799" s="138">
        <f>'Contracts Paid in CY 29'!G37</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1190</v>
      </c>
      <c r="B2" s="2403"/>
      <c r="C2" s="2403"/>
      <c r="D2" s="2403"/>
      <c r="E2" s="2403"/>
      <c r="F2" s="2403"/>
      <c r="G2" s="2403"/>
      <c r="H2" s="2403"/>
      <c r="I2" s="2403"/>
      <c r="J2" s="2403"/>
      <c r="K2" s="2403"/>
      <c r="L2" s="2403"/>
    </row>
    <row r="3" spans="1:29" ht="13.5" customHeight="1" x14ac:dyDescent="0.2">
      <c r="A3" s="2389" t="s">
        <v>1189</v>
      </c>
      <c r="B3" s="2389"/>
      <c r="C3" s="2389"/>
      <c r="D3" s="2389"/>
      <c r="E3" s="2389"/>
      <c r="F3" s="2389"/>
      <c r="G3" s="2389"/>
      <c r="H3" s="2389"/>
      <c r="I3" s="2389"/>
      <c r="J3" s="2389"/>
      <c r="K3" s="2389"/>
      <c r="L3" s="2389"/>
    </row>
    <row r="4" spans="1:29" ht="13.5" customHeight="1" x14ac:dyDescent="0.2">
      <c r="A4" s="2403" t="s">
        <v>1986</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3" t="str">
        <f>COVER!A17</f>
        <v>Field CCSD 3</v>
      </c>
      <c r="B7" s="2384"/>
      <c r="C7" s="2384"/>
      <c r="D7" s="2421"/>
      <c r="E7" s="2422">
        <f>COVER!A13</f>
        <v>13041003004</v>
      </c>
      <c r="F7" s="2423"/>
      <c r="G7" s="2390" t="str">
        <f>COVER!T23</f>
        <v>066-004957</v>
      </c>
      <c r="H7" s="2391"/>
      <c r="I7" s="2391"/>
      <c r="J7" s="2391"/>
      <c r="K7" s="2391"/>
      <c r="L7" s="2392"/>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3"/>
      <c r="B9" s="2394"/>
      <c r="C9" s="2394"/>
      <c r="D9" s="2394"/>
      <c r="E9" s="2394"/>
      <c r="F9" s="2395"/>
      <c r="G9" s="2396" t="str">
        <f>COVER!T13</f>
        <v>SUSAN J. LYONS, CPA, P.C.</v>
      </c>
      <c r="H9" s="2397"/>
      <c r="I9" s="2397"/>
      <c r="J9" s="2397"/>
      <c r="K9" s="2397"/>
      <c r="L9" s="2398"/>
    </row>
    <row r="10" spans="1:29" ht="13.5" customHeight="1" x14ac:dyDescent="0.2">
      <c r="A10" s="2380" t="str">
        <f>COVER!A38</f>
        <v>WAYNE STONE</v>
      </c>
      <c r="B10" s="2381"/>
      <c r="C10" s="2381"/>
      <c r="D10" s="2381"/>
      <c r="E10" s="2381"/>
      <c r="F10" s="2382"/>
      <c r="G10" s="2396" t="str">
        <f>COVER!T17</f>
        <v>5859 U.S. HIGHWAY 51</v>
      </c>
      <c r="H10" s="2409"/>
      <c r="I10" s="2409"/>
      <c r="J10" s="2409"/>
      <c r="K10" s="2409"/>
      <c r="L10" s="2410"/>
    </row>
    <row r="11" spans="1:29" ht="13.5" customHeight="1" x14ac:dyDescent="0.2">
      <c r="A11" s="1184" t="s">
        <v>1518</v>
      </c>
      <c r="B11" s="1185"/>
      <c r="C11" s="1186"/>
      <c r="D11" s="1191"/>
      <c r="E11" s="1186"/>
      <c r="F11" s="1190"/>
      <c r="G11" s="2396" t="str">
        <f>COVER!T19</f>
        <v>ODIN</v>
      </c>
      <c r="H11" s="2409"/>
      <c r="I11" s="2409"/>
      <c r="J11" s="2409"/>
      <c r="K11" s="2409"/>
      <c r="L11" s="2410"/>
    </row>
    <row r="12" spans="1:29" ht="13.5" customHeight="1" x14ac:dyDescent="0.2">
      <c r="A12" s="2414" t="s">
        <v>1517</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1519</v>
      </c>
      <c r="H13" s="2405"/>
      <c r="I13" s="2417" t="str">
        <f>COVER!T25</f>
        <v>slyons1007@gmail.com</v>
      </c>
      <c r="J13" s="2418"/>
      <c r="K13" s="2418"/>
      <c r="L13" s="2419"/>
    </row>
    <row r="14" spans="1:29" ht="13.5" customHeight="1" x14ac:dyDescent="0.2">
      <c r="A14" s="2396" t="str">
        <f>COVER!A19</f>
        <v>21075 N. HAILS LANE</v>
      </c>
      <c r="B14" s="2409"/>
      <c r="C14" s="2409"/>
      <c r="D14" s="2409"/>
      <c r="E14" s="2409"/>
      <c r="F14" s="2410"/>
      <c r="G14" s="1195" t="s">
        <v>1184</v>
      </c>
      <c r="H14" s="1193"/>
      <c r="I14" s="1193"/>
      <c r="J14" s="1193"/>
      <c r="K14" s="1193"/>
      <c r="L14" s="1194"/>
    </row>
    <row r="15" spans="1:29" ht="13.5" customHeight="1" x14ac:dyDescent="0.2">
      <c r="A15" s="2396" t="str">
        <f>COVER!A21</f>
        <v>TEXICO</v>
      </c>
      <c r="B15" s="2409"/>
      <c r="C15" s="2409"/>
      <c r="D15" s="2409"/>
      <c r="E15" s="2409"/>
      <c r="F15" s="2410"/>
      <c r="G15" s="2406" t="str">
        <f>COVER!T15</f>
        <v>SUSAN J. LYONS</v>
      </c>
      <c r="H15" s="2407"/>
      <c r="I15" s="2407"/>
      <c r="J15" s="2407"/>
      <c r="K15" s="2407"/>
      <c r="L15" s="2408"/>
    </row>
    <row r="16" spans="1:29" ht="12.2" customHeight="1" x14ac:dyDescent="0.2">
      <c r="A16" s="2386">
        <f>COVER!A25</f>
        <v>62889</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1183</v>
      </c>
      <c r="H17" s="1193"/>
      <c r="I17" s="1193"/>
      <c r="J17" s="1193"/>
      <c r="K17" s="1197" t="s">
        <v>1182</v>
      </c>
      <c r="L17" s="1190"/>
      <c r="M17" s="1183"/>
    </row>
    <row r="18" spans="1:13" ht="12.2" customHeight="1" x14ac:dyDescent="0.2">
      <c r="A18" s="2380"/>
      <c r="B18" s="2381"/>
      <c r="C18" s="2381"/>
      <c r="D18" s="2381"/>
      <c r="E18" s="2381"/>
      <c r="F18" s="2382"/>
      <c r="G18" s="2383" t="str">
        <f>COVER!T21</f>
        <v>618-267-3213</v>
      </c>
      <c r="H18" s="2384"/>
      <c r="I18" s="2384"/>
      <c r="J18" s="2384"/>
      <c r="K18" s="2383" t="str">
        <f>COVER!X21</f>
        <v>618-247-3208</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0"/>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Field CCSD 3</v>
      </c>
      <c r="B1" s="2420"/>
      <c r="C1" s="2420"/>
      <c r="D1" s="2420"/>
    </row>
    <row r="2" spans="1:11" s="1212" customFormat="1" ht="12.75" x14ac:dyDescent="0.2">
      <c r="A2" s="2425">
        <f>'Single Audit Cover'!E7</f>
        <v>13041003004</v>
      </c>
      <c r="B2" s="2426"/>
      <c r="C2" s="2426"/>
      <c r="D2" s="2426"/>
    </row>
    <row r="3" spans="1:11" s="1212" customFormat="1" ht="12.75" x14ac:dyDescent="0.2">
      <c r="A3" s="2424" t="s">
        <v>1512</v>
      </c>
      <c r="B3" s="2420"/>
      <c r="C3" s="2420"/>
      <c r="D3" s="2420"/>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Field CCSD 3</v>
      </c>
      <c r="B1" s="2428"/>
      <c r="C1" s="2428"/>
      <c r="D1" s="2428"/>
      <c r="E1" s="2428"/>
    </row>
    <row r="2" spans="1:5" x14ac:dyDescent="0.2">
      <c r="A2" s="2429">
        <f>'Single Audit Cover'!E7</f>
        <v>13041003004</v>
      </c>
      <c r="B2" s="2429"/>
      <c r="C2" s="2429"/>
      <c r="D2" s="2429"/>
      <c r="E2" s="2429"/>
    </row>
    <row r="3" spans="1:5" ht="4.5" customHeight="1" x14ac:dyDescent="0.2"/>
    <row r="4" spans="1:5" x14ac:dyDescent="0.2">
      <c r="A4" s="2428" t="s">
        <v>1244</v>
      </c>
      <c r="B4" s="2428"/>
      <c r="C4" s="2428"/>
      <c r="D4" s="2428"/>
      <c r="E4" s="2428"/>
    </row>
    <row r="5" spans="1:5" x14ac:dyDescent="0.2">
      <c r="A5" s="2431" t="str">
        <f>'Single Audit Cover'!A4</f>
        <v>Year Ending June 30, 2019</v>
      </c>
      <c r="B5" s="2431"/>
      <c r="C5" s="2431"/>
      <c r="D5" s="2431"/>
      <c r="E5" s="2431"/>
    </row>
    <row r="6" spans="1:5" x14ac:dyDescent="0.2">
      <c r="A6" s="2428" t="s">
        <v>1243</v>
      </c>
      <c r="B6" s="2428"/>
      <c r="C6" s="2428"/>
      <c r="D6" s="2428"/>
      <c r="E6" s="2428"/>
    </row>
    <row r="8" spans="1:5" x14ac:dyDescent="0.2">
      <c r="A8" s="1257" t="s">
        <v>1242</v>
      </c>
    </row>
    <row r="10" spans="1:5" x14ac:dyDescent="0.2">
      <c r="A10" s="1258" t="s">
        <v>1241</v>
      </c>
      <c r="B10" s="1259" t="s">
        <v>1240</v>
      </c>
      <c r="C10" s="1259"/>
      <c r="D10" s="1260">
        <f>SUM('Acct Summary 7-8'!C7:K7)</f>
        <v>185301</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8857</v>
      </c>
    </row>
    <row r="15" spans="1:5" x14ac:dyDescent="0.2">
      <c r="A15" s="1258"/>
      <c r="B15" s="1259"/>
      <c r="C15" s="1259"/>
    </row>
    <row r="16" spans="1:5" x14ac:dyDescent="0.2">
      <c r="A16" s="1258" t="s">
        <v>1842</v>
      </c>
      <c r="B16" s="1259"/>
      <c r="C16" s="1259"/>
    </row>
    <row r="17" spans="1:4" x14ac:dyDescent="0.2">
      <c r="A17" s="1258" t="s">
        <v>2058</v>
      </c>
      <c r="B17" s="1259" t="s">
        <v>1235</v>
      </c>
      <c r="C17" s="1259"/>
      <c r="D17" s="1261">
        <f>-SUM('Revenues 9-14'!C264:D264,'Revenues 9-14'!F264:G264)</f>
        <v>0</v>
      </c>
    </row>
    <row r="19" spans="1:4" ht="13.5" thickBot="1" x14ac:dyDescent="0.25">
      <c r="A19" s="1262" t="s">
        <v>1234</v>
      </c>
      <c r="D19" s="1263">
        <f>SUM(D10:D17)</f>
        <v>194158</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1232</v>
      </c>
      <c r="D32" s="1260">
        <f>SUM(D19:D30)</f>
        <v>194158</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1226</v>
      </c>
      <c r="C47" s="1269"/>
      <c r="D47" s="1270">
        <f>SUM(D35:D45)</f>
        <v>0</v>
      </c>
    </row>
    <row r="49" spans="2:4" x14ac:dyDescent="0.2">
      <c r="B49" s="1269" t="s">
        <v>1225</v>
      </c>
      <c r="C49" s="1269"/>
      <c r="D49" s="1270">
        <f>D32-D47</f>
        <v>194158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Field CCSD 3</v>
      </c>
      <c r="C1" s="2432"/>
      <c r="D1" s="2432"/>
      <c r="E1" s="2432"/>
      <c r="F1" s="2432"/>
      <c r="G1" s="2432"/>
      <c r="H1" s="2432"/>
      <c r="I1" s="2432"/>
      <c r="J1" s="2432"/>
      <c r="K1" s="2432"/>
      <c r="L1" s="2432"/>
      <c r="M1" s="2432"/>
    </row>
    <row r="2" spans="2:14" ht="15" x14ac:dyDescent="0.2">
      <c r="B2" s="2433">
        <f>'Single Audit Cover'!E7</f>
        <v>13041003004</v>
      </c>
      <c r="C2" s="2433"/>
      <c r="D2" s="2433"/>
      <c r="E2" s="2433"/>
      <c r="F2" s="2433"/>
      <c r="G2" s="2433"/>
      <c r="H2" s="2433"/>
      <c r="I2" s="2433"/>
      <c r="J2" s="2433"/>
      <c r="K2" s="2433"/>
      <c r="L2" s="2433"/>
      <c r="M2" s="2433"/>
      <c r="N2" s="1299"/>
    </row>
    <row r="3" spans="2:14" ht="15" x14ac:dyDescent="0.2">
      <c r="B3" s="2434" t="s">
        <v>1218</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3"/>
      <c r="C8" s="1310" t="s">
        <v>1263</v>
      </c>
      <c r="D8" s="1311" t="s">
        <v>1262</v>
      </c>
      <c r="E8" s="1319" t="s">
        <v>1261</v>
      </c>
      <c r="F8" s="1320" t="s">
        <v>1261</v>
      </c>
      <c r="G8" s="1321" t="s">
        <v>1261</v>
      </c>
      <c r="H8" s="1314" t="s">
        <v>1838</v>
      </c>
      <c r="I8" s="1316" t="s">
        <v>1261</v>
      </c>
      <c r="J8" s="1315" t="s">
        <v>1987</v>
      </c>
      <c r="K8" s="1316" t="s">
        <v>1260</v>
      </c>
      <c r="L8" s="1317" t="s">
        <v>1256</v>
      </c>
      <c r="M8" s="1318" t="s">
        <v>30</v>
      </c>
    </row>
    <row r="9" spans="2:14" ht="14.25" x14ac:dyDescent="0.2">
      <c r="B9" s="1322" t="s">
        <v>1258</v>
      </c>
      <c r="C9" s="1310" t="s">
        <v>1734</v>
      </c>
      <c r="D9" s="1311" t="s">
        <v>1735</v>
      </c>
      <c r="E9" s="1319" t="s">
        <v>1838</v>
      </c>
      <c r="F9" s="1320" t="s">
        <v>1987</v>
      </c>
      <c r="G9" s="1321" t="s">
        <v>1838</v>
      </c>
      <c r="H9" s="1314" t="s">
        <v>1581</v>
      </c>
      <c r="I9" s="1316" t="s">
        <v>1987</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Field CCSD 3</v>
      </c>
      <c r="B1" s="2437"/>
      <c r="C1" s="2437"/>
      <c r="D1" s="2437"/>
      <c r="E1" s="2437"/>
      <c r="F1" s="2437"/>
    </row>
    <row r="2" spans="1:7" ht="13.5" customHeight="1" x14ac:dyDescent="0.2">
      <c r="A2" s="2433">
        <f>'Single Audit Cover'!E7</f>
        <v>13041003004</v>
      </c>
      <c r="B2" s="2433"/>
      <c r="C2" s="2433"/>
      <c r="D2" s="2433"/>
      <c r="E2" s="2433"/>
      <c r="F2" s="2433"/>
      <c r="G2" s="1272"/>
    </row>
    <row r="3" spans="1:7" ht="15.75" customHeight="1" x14ac:dyDescent="0.2">
      <c r="A3" s="2438" t="s">
        <v>1270</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1727</v>
      </c>
      <c r="C6" s="317"/>
      <c r="D6" s="317"/>
    </row>
    <row r="7" spans="1:7" ht="60.95" customHeight="1" x14ac:dyDescent="0.2">
      <c r="A7" s="2436" t="s">
        <v>1728</v>
      </c>
      <c r="B7" s="2436"/>
      <c r="C7" s="2436"/>
      <c r="D7" s="2436"/>
      <c r="E7" s="2436"/>
      <c r="F7" s="243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899"/>
      <c r="D11" s="1277"/>
      <c r="E11" s="1899"/>
      <c r="F11" s="1277"/>
      <c r="G11" s="1275"/>
    </row>
    <row r="12" spans="1:7" x14ac:dyDescent="0.2">
      <c r="A12" s="1273" t="s">
        <v>1586</v>
      </c>
      <c r="C12" s="1257"/>
      <c r="D12" s="1257"/>
    </row>
    <row r="13" spans="1:7" ht="15" customHeight="1" x14ac:dyDescent="0.2">
      <c r="A13" s="2436" t="s">
        <v>1730</v>
      </c>
      <c r="B13" s="2436"/>
      <c r="C13" s="2436"/>
      <c r="D13" s="2436"/>
      <c r="E13" s="2436"/>
      <c r="F13" s="2436"/>
    </row>
    <row r="14" spans="1:7" ht="9.75" customHeight="1" x14ac:dyDescent="0.2">
      <c r="C14" s="1257"/>
      <c r="D14" s="1257"/>
    </row>
    <row r="15" spans="1:7" ht="13.5" customHeight="1" x14ac:dyDescent="0.2">
      <c r="C15" s="1843" t="s">
        <v>1269</v>
      </c>
      <c r="D15" s="2441" t="s">
        <v>1268</v>
      </c>
      <c r="E15" s="2441"/>
      <c r="F15" s="2441"/>
    </row>
    <row r="16" spans="1:7" ht="13.5" customHeight="1" x14ac:dyDescent="0.2">
      <c r="A16" s="1279"/>
      <c r="B16" s="1273" t="s">
        <v>1267</v>
      </c>
      <c r="C16" s="1843" t="s">
        <v>1266</v>
      </c>
      <c r="D16" s="2442" t="s">
        <v>1587</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0"/>
      <c r="E30" s="1283"/>
    </row>
    <row r="31" spans="1:6" ht="12" customHeight="1" x14ac:dyDescent="0.2">
      <c r="A31" s="1284" t="s">
        <v>1548</v>
      </c>
      <c r="B31" s="328"/>
      <c r="C31" s="1462"/>
      <c r="D31" s="1900"/>
      <c r="E31" s="1283"/>
    </row>
    <row r="32" spans="1:6" ht="30" customHeight="1" x14ac:dyDescent="0.2">
      <c r="A32" s="2444" t="s">
        <v>1731</v>
      </c>
      <c r="B32" s="2444"/>
      <c r="C32" s="2444"/>
      <c r="D32" s="2444"/>
      <c r="E32" s="2444"/>
      <c r="F32" s="2444"/>
    </row>
    <row r="33" spans="1:6" ht="13.5" customHeight="1" x14ac:dyDescent="0.2">
      <c r="A33" s="328" t="s">
        <v>1433</v>
      </c>
      <c r="B33" s="328"/>
      <c r="C33" s="1285">
        <v>0</v>
      </c>
      <c r="D33" s="1900"/>
      <c r="E33" s="1283"/>
    </row>
    <row r="34" spans="1:6" ht="13.5" customHeight="1" x14ac:dyDescent="0.2">
      <c r="A34" s="328" t="s">
        <v>1837</v>
      </c>
      <c r="B34" s="328"/>
      <c r="C34" s="1286">
        <v>0</v>
      </c>
      <c r="D34" s="1900" t="s">
        <v>1588</v>
      </c>
      <c r="E34" s="2445">
        <f>+C33+C34</f>
        <v>0</v>
      </c>
      <c r="F34" s="2446"/>
    </row>
    <row r="35" spans="1:6" ht="12" customHeight="1" x14ac:dyDescent="0.2">
      <c r="A35" s="328"/>
      <c r="B35" s="328"/>
      <c r="C35" s="1901"/>
      <c r="D35" s="1900"/>
      <c r="E35" s="1287"/>
      <c r="F35" s="1288"/>
    </row>
    <row r="36" spans="1:6" ht="13.5" customHeight="1" x14ac:dyDescent="0.2">
      <c r="A36" s="1284" t="s">
        <v>1549</v>
      </c>
      <c r="B36" s="328"/>
      <c r="C36" s="1462"/>
      <c r="D36" s="1900"/>
      <c r="E36" s="1283"/>
    </row>
    <row r="37" spans="1:6" ht="14.25" customHeight="1" x14ac:dyDescent="0.2">
      <c r="A37" s="328" t="s">
        <v>1483</v>
      </c>
      <c r="B37" s="328"/>
      <c r="C37" s="1902"/>
      <c r="D37" s="1900"/>
      <c r="E37" s="1283"/>
    </row>
    <row r="38" spans="1:6" ht="14.25" customHeight="1" x14ac:dyDescent="0.2">
      <c r="A38" s="328"/>
      <c r="B38" s="328" t="s">
        <v>1434</v>
      </c>
      <c r="C38" s="1289"/>
      <c r="D38" s="1900"/>
      <c r="E38" s="1283"/>
    </row>
    <row r="39" spans="1:6" ht="14.25" customHeight="1" x14ac:dyDescent="0.2">
      <c r="A39" s="328"/>
      <c r="B39" s="328" t="s">
        <v>1435</v>
      </c>
      <c r="C39" s="1289"/>
      <c r="D39" s="1900"/>
      <c r="E39" s="1283"/>
    </row>
    <row r="40" spans="1:6" ht="14.25" customHeight="1" x14ac:dyDescent="0.2">
      <c r="A40" s="328"/>
      <c r="B40" s="328" t="s">
        <v>1436</v>
      </c>
      <c r="C40" s="1289"/>
      <c r="D40" s="1900"/>
      <c r="E40" s="1283"/>
    </row>
    <row r="41" spans="1:6" ht="14.25" customHeight="1" x14ac:dyDescent="0.2">
      <c r="A41" s="328"/>
      <c r="B41" s="328" t="s">
        <v>1437</v>
      </c>
      <c r="C41" s="1289"/>
      <c r="D41" s="1900"/>
      <c r="E41" s="1283"/>
    </row>
    <row r="42" spans="1:6" ht="14.25" customHeight="1" x14ac:dyDescent="0.2">
      <c r="A42" s="328" t="s">
        <v>1438</v>
      </c>
      <c r="B42" s="328"/>
      <c r="C42" s="1898"/>
      <c r="D42" s="1900"/>
      <c r="E42" s="1283"/>
    </row>
    <row r="43" spans="1:6" ht="14.25" customHeight="1" x14ac:dyDescent="0.2">
      <c r="A43" s="328" t="s">
        <v>1439</v>
      </c>
      <c r="B43" s="328"/>
      <c r="C43" s="1290"/>
      <c r="D43" s="1900"/>
      <c r="E43" s="1283"/>
    </row>
    <row r="44" spans="1:6" ht="14.25" customHeight="1" x14ac:dyDescent="0.2">
      <c r="A44" s="328"/>
      <c r="B44" s="328"/>
      <c r="C44" s="1902" t="s">
        <v>1440</v>
      </c>
      <c r="D44" s="1900"/>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1589</v>
      </c>
      <c r="C49" s="2447"/>
      <c r="D49" s="2447"/>
      <c r="E49" s="1396"/>
    </row>
    <row r="50" spans="1:5" s="1297" customFormat="1" ht="3.75" customHeight="1" x14ac:dyDescent="0.2">
      <c r="A50" s="1296"/>
      <c r="B50" s="1842"/>
      <c r="C50" s="1842"/>
      <c r="D50" s="1842"/>
      <c r="E50" s="1396"/>
    </row>
    <row r="51" spans="1:5" s="1297" customFormat="1" ht="20.25" customHeight="1" x14ac:dyDescent="0.2">
      <c r="A51" s="1298">
        <v>6</v>
      </c>
      <c r="B51" s="2443" t="s">
        <v>1550</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1167</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6" t="s">
        <v>1632</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312</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2064</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2082</v>
      </c>
      <c r="C53" s="179">
        <v>22</v>
      </c>
      <c r="D53" s="247" t="s">
        <v>1461</v>
      </c>
      <c r="E53" s="248"/>
      <c r="F53" s="249"/>
      <c r="G53" s="249" t="s">
        <v>1460</v>
      </c>
      <c r="H53" s="250">
        <v>36161</v>
      </c>
      <c r="I53" s="237" t="s">
        <v>1482</v>
      </c>
    </row>
    <row r="54" spans="1:10" s="181" customFormat="1" x14ac:dyDescent="0.2">
      <c r="A54" s="219"/>
      <c r="B54" s="220" t="s">
        <v>2082</v>
      </c>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t="s">
        <v>2081</v>
      </c>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1322</v>
      </c>
      <c r="B70" s="2069"/>
      <c r="C70" s="2069"/>
      <c r="D70" s="2069"/>
      <c r="E70" s="2070"/>
      <c r="F70" s="2070"/>
      <c r="G70" s="2070"/>
      <c r="H70" s="2070"/>
      <c r="I70" s="207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1319</v>
      </c>
      <c r="B83" s="2071"/>
      <c r="C83" s="2071"/>
      <c r="D83" s="207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1329</v>
      </c>
      <c r="D117" s="2064"/>
      <c r="E117" s="2065"/>
      <c r="F117" s="2065"/>
      <c r="G117" s="2065"/>
      <c r="H117" s="2065"/>
      <c r="I117" s="304"/>
    </row>
    <row r="118" spans="1:9" s="181" customFormat="1" ht="24" customHeight="1" x14ac:dyDescent="0.2">
      <c r="A118" s="316"/>
      <c r="B118" s="316"/>
      <c r="C118" s="316"/>
      <c r="D118" s="323" t="s">
        <v>2123</v>
      </c>
      <c r="E118" s="322"/>
      <c r="F118" s="324"/>
      <c r="G118" s="1837"/>
      <c r="H118" s="322"/>
      <c r="I118" s="304"/>
    </row>
    <row r="119" spans="1:9" s="181" customFormat="1" ht="11.25" customHeight="1" x14ac:dyDescent="0.2">
      <c r="A119" s="325"/>
      <c r="B119" s="325"/>
      <c r="C119" s="326"/>
      <c r="D119" s="327" t="s">
        <v>360</v>
      </c>
      <c r="E119" s="310"/>
      <c r="F119" s="1836" t="s">
        <v>1904</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Field CCSD 3</v>
      </c>
      <c r="C1" s="2453"/>
      <c r="D1" s="2453"/>
      <c r="E1" s="2453"/>
      <c r="F1" s="2453"/>
      <c r="G1" s="2453"/>
      <c r="H1" s="2453"/>
      <c r="I1" s="2453"/>
      <c r="J1" s="1406"/>
    </row>
    <row r="2" spans="2:10" s="317" customFormat="1" ht="12.75" customHeight="1" x14ac:dyDescent="0.2">
      <c r="B2" s="2454">
        <f>'Single Audit Cover'!E7</f>
        <v>13041003004</v>
      </c>
      <c r="C2" s="2455"/>
      <c r="D2" s="2455"/>
      <c r="E2" s="2455"/>
      <c r="F2" s="2455"/>
      <c r="G2" s="2455"/>
      <c r="H2" s="2455"/>
      <c r="I2" s="2455"/>
      <c r="J2" s="1406"/>
    </row>
    <row r="3" spans="2:10" s="317" customFormat="1" ht="12.75" customHeight="1" x14ac:dyDescent="0.2">
      <c r="B3" s="2456" t="s">
        <v>1284</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1283</v>
      </c>
      <c r="C7" s="2457"/>
      <c r="D7" s="2457"/>
      <c r="E7" s="2457"/>
      <c r="F7" s="2457"/>
      <c r="G7" s="2457"/>
      <c r="H7" s="2457"/>
      <c r="I7" s="2457"/>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58"/>
      <c r="D11" s="2458"/>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59"/>
      <c r="E29" s="2459"/>
      <c r="F29" s="2459"/>
      <c r="G29" s="2459"/>
      <c r="H29" s="2459"/>
      <c r="I29" s="2459"/>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0" t="s">
        <v>1750</v>
      </c>
      <c r="D37" s="2461"/>
      <c r="E37" s="2461"/>
      <c r="F37" s="2462"/>
      <c r="G37" s="2460" t="s">
        <v>1591</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1592</v>
      </c>
      <c r="D43" s="2467"/>
      <c r="E43" s="2467"/>
      <c r="F43" s="2468"/>
      <c r="G43" s="2469">
        <f>SUM(G38:I42)</f>
        <v>0</v>
      </c>
      <c r="H43" s="2469"/>
      <c r="I43" s="2469"/>
    </row>
    <row r="44" spans="2:9" ht="12.75" customHeight="1" x14ac:dyDescent="0.2"/>
    <row r="45" spans="2:9" ht="12.75" customHeight="1" x14ac:dyDescent="0.2">
      <c r="B45" s="1419" t="s">
        <v>2061</v>
      </c>
      <c r="D45" s="2470">
        <v>0</v>
      </c>
      <c r="E45" s="2471"/>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72"/>
      <c r="F49" s="2472"/>
      <c r="G49" s="2472"/>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Field CCSD 3</v>
      </c>
      <c r="C1" s="2452"/>
      <c r="D1" s="2452"/>
      <c r="E1" s="2452"/>
      <c r="F1" s="2452"/>
      <c r="G1" s="2452"/>
      <c r="H1" s="2452"/>
      <c r="I1" s="2452"/>
      <c r="J1" s="2452"/>
      <c r="K1" s="2452"/>
      <c r="L1" s="1371"/>
      <c r="M1" s="1371"/>
    </row>
    <row r="2" spans="1:13" ht="12" customHeight="1" x14ac:dyDescent="0.2">
      <c r="B2" s="2454">
        <f>'Single Audit Cover'!E7</f>
        <v>13041003004</v>
      </c>
      <c r="C2" s="2454"/>
      <c r="D2" s="2454"/>
      <c r="E2" s="2454"/>
      <c r="F2" s="2454"/>
      <c r="G2" s="2454"/>
      <c r="H2" s="2454"/>
      <c r="I2" s="2454"/>
      <c r="J2" s="2454"/>
      <c r="K2" s="2454"/>
      <c r="L2" s="1372"/>
      <c r="M2" s="1373"/>
    </row>
    <row r="3" spans="1:13" ht="10.35" customHeight="1" x14ac:dyDescent="0.2">
      <c r="B3" s="2475" t="s">
        <v>1284</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1295</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1988</v>
      </c>
      <c r="D10" s="1383">
        <v>1</v>
      </c>
      <c r="E10" s="322"/>
      <c r="F10" s="1384" t="s">
        <v>1294</v>
      </c>
      <c r="G10" s="1385"/>
      <c r="H10" s="1386" t="s">
        <v>1293</v>
      </c>
      <c r="I10" s="1385" t="s">
        <v>2064</v>
      </c>
      <c r="J10" s="1387" t="s">
        <v>1292</v>
      </c>
      <c r="K10" s="322"/>
      <c r="L10" s="1378"/>
    </row>
    <row r="11" spans="1:13" ht="13.5" customHeight="1" x14ac:dyDescent="0.2">
      <c r="B11" s="322"/>
      <c r="C11" s="322"/>
      <c r="D11" s="322"/>
      <c r="E11" s="322"/>
      <c r="F11" s="322"/>
      <c r="G11" s="1380"/>
      <c r="H11" s="322"/>
      <c r="I11" s="1388" t="s">
        <v>1291</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4" t="s">
        <v>2074</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66" customHeight="1" x14ac:dyDescent="0.2">
      <c r="B17" s="2474" t="s">
        <v>2075</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8" t="s">
        <v>2076</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4" t="s">
        <v>2077</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4" t="s">
        <v>2078</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30" customHeight="1" x14ac:dyDescent="0.2">
      <c r="B29" s="2473" t="s">
        <v>2079</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53.25" customHeight="1" x14ac:dyDescent="0.2">
      <c r="B32" s="2473" t="s">
        <v>2080</v>
      </c>
      <c r="C32" s="2473"/>
      <c r="D32" s="2474"/>
      <c r="E32" s="2474"/>
      <c r="F32" s="2474"/>
      <c r="G32" s="2474"/>
      <c r="H32" s="2474"/>
      <c r="I32" s="2474"/>
      <c r="J32" s="2474"/>
      <c r="K32" s="2474"/>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Field CCSD 3</v>
      </c>
      <c r="C1" s="2452"/>
      <c r="D1" s="2452"/>
      <c r="E1" s="2452"/>
      <c r="F1" s="2452"/>
      <c r="G1" s="2452"/>
      <c r="H1" s="2452"/>
      <c r="I1" s="2452"/>
      <c r="J1" s="2452"/>
      <c r="K1" s="2452"/>
      <c r="L1" s="1371"/>
      <c r="M1" s="1371"/>
    </row>
    <row r="2" spans="1:13" ht="12" customHeight="1" x14ac:dyDescent="0.2">
      <c r="B2" s="2454">
        <f>'Single Audit Cover'!E7</f>
        <v>13041003004</v>
      </c>
      <c r="C2" s="2454"/>
      <c r="D2" s="2454"/>
      <c r="E2" s="2454"/>
      <c r="F2" s="2454"/>
      <c r="G2" s="2454"/>
      <c r="H2" s="2454"/>
      <c r="I2" s="2454"/>
      <c r="J2" s="2454"/>
      <c r="K2" s="2454"/>
      <c r="L2" s="1372"/>
      <c r="M2" s="1373"/>
    </row>
    <row r="3" spans="1:13" ht="10.35" customHeight="1" x14ac:dyDescent="0.2">
      <c r="B3" s="2475" t="s">
        <v>1284</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1295</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1988</v>
      </c>
      <c r="D10" s="1383">
        <v>2</v>
      </c>
      <c r="E10" s="322"/>
      <c r="F10" s="1384" t="s">
        <v>1294</v>
      </c>
      <c r="G10" s="1385"/>
      <c r="H10" s="1386" t="s">
        <v>1293</v>
      </c>
      <c r="I10" s="1385" t="s">
        <v>2064</v>
      </c>
      <c r="J10" s="1387" t="s">
        <v>1292</v>
      </c>
      <c r="K10" s="322"/>
      <c r="L10" s="1378"/>
    </row>
    <row r="11" spans="1:13" ht="13.5" customHeight="1" x14ac:dyDescent="0.2">
      <c r="B11" s="322"/>
      <c r="C11" s="322"/>
      <c r="D11" s="322"/>
      <c r="E11" s="322"/>
      <c r="F11" s="322"/>
      <c r="G11" s="1380"/>
      <c r="H11" s="322"/>
      <c r="I11" s="1388" t="s">
        <v>1291</v>
      </c>
      <c r="J11" s="322"/>
      <c r="K11" s="1389">
        <v>1999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4" t="s">
        <v>2115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4" t="s">
        <v>2116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8" t="s">
        <v>2117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4" t="s">
        <v>2118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4" t="s">
        <v>2119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3" t="s">
        <v>2120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3" t="s">
        <v>2121</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Field CCSD 3</v>
      </c>
      <c r="C1" s="2479"/>
      <c r="D1" s="2479"/>
      <c r="E1" s="2479"/>
      <c r="F1" s="2479"/>
      <c r="G1" s="2479"/>
      <c r="H1" s="2479"/>
      <c r="I1" s="2479"/>
      <c r="J1" s="2479"/>
      <c r="K1" s="2479"/>
      <c r="L1" s="1449"/>
    </row>
    <row r="2" spans="1:12" ht="12.75" customHeight="1" x14ac:dyDescent="0.2">
      <c r="B2" s="2480">
        <f>'Single Audit Cover'!E7</f>
        <v>13041003004</v>
      </c>
      <c r="C2" s="2480"/>
      <c r="D2" s="2480"/>
      <c r="E2" s="2480"/>
      <c r="F2" s="2480"/>
      <c r="G2" s="2480"/>
      <c r="H2" s="2480"/>
      <c r="I2" s="2480"/>
      <c r="J2" s="2480"/>
      <c r="K2" s="2480"/>
      <c r="L2" s="1450"/>
    </row>
    <row r="3" spans="1:12" ht="12.75" customHeight="1" x14ac:dyDescent="0.2">
      <c r="B3" s="2475" t="s">
        <v>1284</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1168</v>
      </c>
      <c r="C5" s="1257"/>
      <c r="L5" s="322"/>
    </row>
    <row r="6" spans="1:12" ht="30.75" customHeight="1" x14ac:dyDescent="0.2">
      <c r="A6" s="322"/>
      <c r="B6" s="2481" t="s">
        <v>1307</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1988</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2"/>
      <c r="E14" s="2482"/>
      <c r="F14" s="2482"/>
      <c r="H14" s="1459" t="s">
        <v>1302</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3"/>
      <c r="E16" s="2483"/>
      <c r="F16" s="2483"/>
      <c r="G16" s="2483"/>
      <c r="H16" s="2483"/>
      <c r="I16" s="2483"/>
      <c r="J16" s="2483"/>
      <c r="K16" s="2483"/>
      <c r="L16" s="322"/>
    </row>
    <row r="17" spans="2:12" ht="13.5" customHeight="1" x14ac:dyDescent="0.2">
      <c r="B17" s="1384" t="s">
        <v>1300</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Field CCSD 3</v>
      </c>
      <c r="C1" s="2452"/>
      <c r="D1" s="2452"/>
      <c r="E1" s="1469"/>
    </row>
    <row r="2" spans="2:5" s="1279" customFormat="1" ht="12.75" customHeight="1" x14ac:dyDescent="0.2">
      <c r="B2" s="2454">
        <f>'Single Audit Cover'!E7</f>
        <v>13041003004</v>
      </c>
      <c r="C2" s="2454"/>
      <c r="D2" s="2454"/>
      <c r="E2" s="1470"/>
    </row>
    <row r="3" spans="2:5" ht="12.75" customHeight="1" x14ac:dyDescent="0.2">
      <c r="B3" s="2475" t="s">
        <v>1765</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1" sqref="B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385</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271</v>
      </c>
      <c r="G7" s="222"/>
      <c r="H7" s="222"/>
      <c r="I7" s="222"/>
      <c r="J7" s="352">
        <v>30174179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1.0519499999999999E-2</v>
      </c>
      <c r="E10" s="356" t="s">
        <v>1004</v>
      </c>
      <c r="F10" s="355">
        <v>2.1502000000000001E-3</v>
      </c>
      <c r="G10" s="356" t="s">
        <v>1004</v>
      </c>
      <c r="H10" s="355">
        <v>2.3316000000000001E-3</v>
      </c>
      <c r="I10" s="356" t="s">
        <v>1005</v>
      </c>
      <c r="J10" s="1730">
        <f>ROUND(D10+F10+H10,5)</f>
        <v>1.4999999999999999E-2</v>
      </c>
      <c r="K10" s="222"/>
      <c r="L10" s="355">
        <v>4.058E-4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1">
        <f>SUM('Acct Summary 7-8'!C8,'Acct Summary 7-8'!D8,'Acct Summary 7-8'!F8,'Acct Summary 7-8'!I8)</f>
        <v>2251470</v>
      </c>
      <c r="E16" s="356"/>
      <c r="F16" s="1731">
        <f>SUM('Acct Summary 7-8'!C17,'Acct Summary 7-8'!D17,'Acct Summary 7-8'!F17)</f>
        <v>2427808</v>
      </c>
      <c r="G16" s="356"/>
      <c r="H16" s="1731">
        <f>SUM(D16-F16)</f>
        <v>-176338</v>
      </c>
      <c r="I16" s="222"/>
      <c r="J16" s="1731">
        <f>SUM('Acct Summary 7-8'!C81,'Acct Summary 7-8'!D81,'Acct Summary 7-8'!F81,'Acct Summary 7-8'!I81)</f>
        <v>882137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1">
        <f>'Short-Term Long-Term Debt 24'!F4</f>
        <v>0</v>
      </c>
      <c r="E22" s="356" t="s">
        <v>1004</v>
      </c>
      <c r="F22" s="1731">
        <f>'Short-Term Long-Term Debt 24'!F15</f>
        <v>0</v>
      </c>
      <c r="G22" s="356" t="s">
        <v>1004</v>
      </c>
      <c r="H22" s="1731">
        <f>'Short-Term Long-Term Debt 24'!F21</f>
        <v>0</v>
      </c>
      <c r="I22" s="356" t="s">
        <v>1004</v>
      </c>
      <c r="J22" s="1731">
        <f>'Short-Term Long-Term Debt 24'!F23</f>
        <v>0</v>
      </c>
      <c r="K22" s="356" t="s">
        <v>1004</v>
      </c>
      <c r="L22" s="173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1005</v>
      </c>
      <c r="F24" s="1732">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2082</v>
      </c>
      <c r="C31" s="367" t="s">
        <v>585</v>
      </c>
      <c r="D31" s="237" t="s">
        <v>1071</v>
      </c>
      <c r="E31" s="222"/>
      <c r="F31" s="222"/>
      <c r="G31" s="363"/>
      <c r="H31" s="1733">
        <f>IF(B31="X",(J7*0.069),IF(B32="X",(J7*0.138),"Enter x in a.or b."))</f>
        <v>2082018.3510000003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2">
        <f>'Assets-Liab 5-6'!N36</f>
        <v>219451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B31" sqref="B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555</v>
      </c>
      <c r="B2" s="2101"/>
      <c r="C2" s="2101"/>
      <c r="D2" s="2101"/>
      <c r="E2" s="2101"/>
      <c r="F2" s="2101"/>
      <c r="G2" s="2101"/>
      <c r="H2" s="2101"/>
      <c r="I2" s="2101"/>
      <c r="J2" s="2101"/>
      <c r="K2" s="2101"/>
      <c r="L2" s="2101"/>
      <c r="M2" s="2101"/>
      <c r="N2" s="2101"/>
      <c r="O2" s="2101"/>
      <c r="P2" s="2101"/>
      <c r="Q2" s="2101"/>
      <c r="R2" s="2101"/>
    </row>
    <row r="3" spans="1:18" ht="12.75" x14ac:dyDescent="0.2">
      <c r="A3" s="2102" t="s">
        <v>1412</v>
      </c>
      <c r="B3" s="2102"/>
      <c r="C3" s="2102"/>
      <c r="D3" s="2102"/>
      <c r="E3" s="2102"/>
      <c r="F3" s="2102"/>
      <c r="G3" s="2102"/>
      <c r="H3" s="2102"/>
      <c r="I3" s="2102"/>
      <c r="J3" s="2102"/>
      <c r="K3" s="2102"/>
      <c r="L3" s="2102"/>
      <c r="M3" s="2102"/>
      <c r="N3" s="2102"/>
      <c r="O3" s="2102"/>
      <c r="P3" s="2102"/>
      <c r="Q3" s="2102"/>
      <c r="R3" s="2102"/>
    </row>
    <row r="4" spans="1:18" x14ac:dyDescent="0.2">
      <c r="A4" s="2103" t="s">
        <v>1553</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Field CCSD 3</v>
      </c>
      <c r="E7" s="391"/>
      <c r="G7" s="252"/>
      <c r="H7" s="387"/>
      <c r="I7" s="387"/>
      <c r="J7" s="387"/>
      <c r="K7" s="387"/>
      <c r="L7" s="329"/>
      <c r="M7" s="329"/>
      <c r="N7" s="329"/>
      <c r="O7" s="329"/>
      <c r="P7" s="329"/>
    </row>
    <row r="8" spans="1:18" ht="12.75" x14ac:dyDescent="0.2">
      <c r="A8" s="329"/>
      <c r="B8" s="329"/>
      <c r="C8" s="389" t="s">
        <v>1124</v>
      </c>
      <c r="D8" s="392">
        <f>COVER!A13</f>
        <v>13041003004</v>
      </c>
      <c r="E8" s="393"/>
      <c r="G8" s="329"/>
      <c r="H8" s="329"/>
      <c r="I8" s="329"/>
      <c r="J8" s="329"/>
      <c r="K8" s="329"/>
      <c r="L8" s="329"/>
      <c r="M8" s="329"/>
      <c r="N8" s="329"/>
      <c r="O8" s="329"/>
      <c r="P8" s="329"/>
    </row>
    <row r="9" spans="1:18" ht="12.75" x14ac:dyDescent="0.2">
      <c r="A9" s="329"/>
      <c r="B9" s="329"/>
      <c r="C9" s="389" t="s">
        <v>712</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882137</v>
      </c>
      <c r="I12" s="404"/>
      <c r="J12" s="404"/>
      <c r="K12" s="405">
        <f>TRUNC((H12/H13*100000),5)/100000</f>
        <v>0.39180490960000003</v>
      </c>
      <c r="L12" s="406"/>
      <c r="M12" s="360" t="s">
        <v>1143</v>
      </c>
      <c r="N12" s="360"/>
      <c r="O12" s="407">
        <v>0.35</v>
      </c>
      <c r="P12" s="218"/>
      <c r="Q12" s="218"/>
    </row>
    <row r="13" spans="1:18" s="408" customFormat="1" ht="12.75" x14ac:dyDescent="0.2">
      <c r="A13" s="218"/>
      <c r="B13" s="401"/>
      <c r="C13" s="2099" t="s">
        <v>1323</v>
      </c>
      <c r="D13" s="2100"/>
      <c r="E13" s="218"/>
      <c r="F13" s="409" t="s">
        <v>792</v>
      </c>
      <c r="G13" s="402"/>
      <c r="H13" s="403">
        <f>SUM('Acct Summary 7-8'!C8+'Acct Summary 7-8'!D8+'Acct Summary 7-8'!F8+'Acct Summary 7-8'!I8)+H14</f>
        <v>2251470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2427808</v>
      </c>
      <c r="I17" s="404"/>
      <c r="J17" s="416"/>
      <c r="K17" s="405">
        <f>TRUNC((H17/H18*100000),5)/100000</f>
        <v>1.0783212744999999</v>
      </c>
      <c r="L17" s="406"/>
      <c r="M17" s="417" t="s">
        <v>1170</v>
      </c>
      <c r="O17" s="418" t="str">
        <f>IF(AND(O16="2", J20 &gt; 2),"1",IF(AND(O16 = "1", J20 &gt; 2),"2",IF(AND(O16="1", J20 &gt;1),"1","0")))</f>
        <v>0</v>
      </c>
      <c r="P17" s="218"/>
    </row>
    <row r="18" spans="1:18" s="408" customFormat="1" ht="11.25" x14ac:dyDescent="0.2">
      <c r="A18" s="218"/>
      <c r="B18" s="401"/>
      <c r="C18" s="2099" t="s">
        <v>1316</v>
      </c>
      <c r="D18" s="2100"/>
      <c r="E18" s="218"/>
      <c r="F18" s="419" t="s">
        <v>793</v>
      </c>
      <c r="G18" s="402"/>
      <c r="H18" s="403">
        <f>SUM('Acct Summary 7-8'!C8+'Acct Summary 7-8'!D8+'Acct Summary 7-8'!F8+'Acct Summary 7-8'!I8)+H19</f>
        <v>2251470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3.7257425999999998</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96" t="s">
        <v>1411</v>
      </c>
      <c r="D24" s="2096"/>
      <c r="E24" s="218"/>
      <c r="F24" s="218" t="s">
        <v>444</v>
      </c>
      <c r="G24" s="402"/>
      <c r="H24" s="403">
        <f>SUM('Assets-Liab 5-6'!C4+'Assets-Liab 5-6'!D4+'Assets-Liab 5-6'!F4+'Assets-Liab 5-6'!I4+'Assets-Liab 5-6'!C5+'Assets-Liab 5-6'!D5+'Assets-Liab 5-6'!F5+'Assets-Liab 5-6'!I5)</f>
        <v>881468</v>
      </c>
      <c r="I24" s="422"/>
      <c r="J24" s="422"/>
      <c r="K24" s="423">
        <f>TRUNC(((H24/H25*100000)/100000),2)</f>
        <v>130.69999999999999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6743.91111</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384720.78224999999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219451</v>
      </c>
      <c r="I32" s="420"/>
      <c r="J32" s="420"/>
      <c r="K32" s="423">
        <f>TRUNC(100-((((H32/H33*100))*100)/100),2)</f>
        <v>89.45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2082018.3510000003</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B31" sqref="B31"/>
      <selection pane="bottomLeft" activeCell="C5" sqref="C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6" t="s">
        <v>972</v>
      </c>
      <c r="B3" s="2107"/>
      <c r="C3" s="1559"/>
      <c r="D3" s="1560"/>
      <c r="E3" s="1560"/>
      <c r="F3" s="1560"/>
      <c r="G3" s="1560"/>
      <c r="H3" s="1560"/>
      <c r="I3" s="1560"/>
      <c r="J3" s="1560"/>
      <c r="K3" s="1560"/>
      <c r="L3" s="1560"/>
      <c r="M3" s="1561"/>
      <c r="N3" s="1562"/>
    </row>
    <row r="4" spans="1:14" ht="13.5" customHeight="1" x14ac:dyDescent="0.2">
      <c r="A4" s="463" t="s">
        <v>1650</v>
      </c>
      <c r="B4" s="464"/>
      <c r="C4" s="465">
        <v>384656</v>
      </c>
      <c r="D4" s="466">
        <v>172600</v>
      </c>
      <c r="E4" s="466">
        <v>1922</v>
      </c>
      <c r="F4" s="466">
        <v>149595</v>
      </c>
      <c r="G4" s="466">
        <v>78846</v>
      </c>
      <c r="H4" s="466"/>
      <c r="I4" s="466">
        <v>131627</v>
      </c>
      <c r="J4" s="467">
        <v>360</v>
      </c>
      <c r="K4" s="466">
        <v>39340</v>
      </c>
      <c r="L4" s="466">
        <v>36175</v>
      </c>
      <c r="M4" s="468"/>
      <c r="N4" s="469"/>
    </row>
    <row r="5" spans="1:14" x14ac:dyDescent="0.2">
      <c r="A5" s="463" t="s">
        <v>991</v>
      </c>
      <c r="B5" s="470">
        <v>120</v>
      </c>
      <c r="C5" s="465">
        <v>42990</v>
      </c>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v>643</v>
      </c>
      <c r="D11" s="467"/>
      <c r="E11" s="467"/>
      <c r="F11" s="467">
        <v>26</v>
      </c>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4" t="s">
        <v>643</v>
      </c>
      <c r="B13" s="1707"/>
      <c r="C13" s="1735">
        <f>SUM(C4:C12)</f>
        <v>428289</v>
      </c>
      <c r="D13" s="1735">
        <f t="shared" ref="D13:L13" si="0">SUM(D4:D12)</f>
        <v>172600</v>
      </c>
      <c r="E13" s="1735">
        <f t="shared" si="0"/>
        <v>1922</v>
      </c>
      <c r="F13" s="1735">
        <f t="shared" si="0"/>
        <v>149621</v>
      </c>
      <c r="G13" s="1735">
        <f t="shared" si="0"/>
        <v>78846</v>
      </c>
      <c r="H13" s="1735">
        <f t="shared" si="0"/>
        <v>0</v>
      </c>
      <c r="I13" s="1735">
        <f t="shared" si="0"/>
        <v>131627</v>
      </c>
      <c r="J13" s="1735">
        <f t="shared" si="0"/>
        <v>360</v>
      </c>
      <c r="K13" s="1735">
        <f t="shared" si="0"/>
        <v>39340</v>
      </c>
      <c r="L13" s="1735">
        <f t="shared" si="0"/>
        <v>36175</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39949</v>
      </c>
      <c r="N16" s="484"/>
    </row>
    <row r="17" spans="1:14" s="485" customFormat="1" ht="12.75" customHeight="1" x14ac:dyDescent="0.2">
      <c r="A17" s="482" t="s">
        <v>1402</v>
      </c>
      <c r="B17" s="483">
        <v>230</v>
      </c>
      <c r="C17" s="477"/>
      <c r="D17" s="477"/>
      <c r="E17" s="477"/>
      <c r="F17" s="477"/>
      <c r="G17" s="477"/>
      <c r="H17" s="477"/>
      <c r="I17" s="477"/>
      <c r="J17" s="477"/>
      <c r="K17" s="477"/>
      <c r="L17" s="477"/>
      <c r="M17" s="467">
        <v>3254830</v>
      </c>
      <c r="N17" s="484"/>
    </row>
    <row r="18" spans="1:14" s="485" customFormat="1" ht="12.75" customHeight="1" x14ac:dyDescent="0.2">
      <c r="A18" s="482" t="s">
        <v>1403</v>
      </c>
      <c r="B18" s="483">
        <v>240</v>
      </c>
      <c r="C18" s="477"/>
      <c r="D18" s="477"/>
      <c r="E18" s="477"/>
      <c r="F18" s="477"/>
      <c r="G18" s="477"/>
      <c r="H18" s="477"/>
      <c r="I18" s="477"/>
      <c r="J18" s="477"/>
      <c r="K18" s="477"/>
      <c r="L18" s="477"/>
      <c r="M18" s="467">
        <v>89995</v>
      </c>
      <c r="N18" s="484"/>
    </row>
    <row r="19" spans="1:14" s="485" customFormat="1" ht="12.75" customHeight="1" x14ac:dyDescent="0.2">
      <c r="A19" s="482" t="s">
        <v>1404</v>
      </c>
      <c r="B19" s="483">
        <v>250</v>
      </c>
      <c r="C19" s="477"/>
      <c r="D19" s="477"/>
      <c r="E19" s="477"/>
      <c r="F19" s="477"/>
      <c r="G19" s="477"/>
      <c r="H19" s="477"/>
      <c r="I19" s="477"/>
      <c r="J19" s="477"/>
      <c r="K19" s="477"/>
      <c r="L19" s="477"/>
      <c r="M19" s="467">
        <v>1036932</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1922</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217529</v>
      </c>
    </row>
    <row r="23" spans="1:14" ht="13.5" customHeight="1" thickBot="1" x14ac:dyDescent="0.25">
      <c r="A23" s="1734" t="s">
        <v>642</v>
      </c>
      <c r="B23" s="1739"/>
      <c r="C23" s="468"/>
      <c r="D23" s="468"/>
      <c r="E23" s="468"/>
      <c r="F23" s="468"/>
      <c r="G23" s="468"/>
      <c r="H23" s="468"/>
      <c r="I23" s="468"/>
      <c r="J23" s="468"/>
      <c r="K23" s="468"/>
      <c r="L23" s="468"/>
      <c r="M23" s="1686">
        <f>SUM(M15:M22)</f>
        <v>4421706</v>
      </c>
      <c r="N23" s="1686">
        <f>SUM(N21:N22)</f>
        <v>219451</v>
      </c>
    </row>
    <row r="24" spans="1:14" ht="18" customHeight="1" thickTop="1" x14ac:dyDescent="0.2">
      <c r="A24" s="2110" t="s">
        <v>597</v>
      </c>
      <c r="B24" s="2111"/>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36175</v>
      </c>
      <c r="M33" s="468"/>
      <c r="N33" s="469"/>
    </row>
    <row r="34" spans="1:14" ht="13.5" customHeight="1" thickBot="1" x14ac:dyDescent="0.25">
      <c r="A34" s="1736" t="s">
        <v>653</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36175</v>
      </c>
      <c r="M34" s="468"/>
      <c r="N34" s="480"/>
    </row>
    <row r="35" spans="1:14" ht="18" customHeight="1" thickTop="1" x14ac:dyDescent="0.2">
      <c r="A35" s="2112" t="s">
        <v>528</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219451</v>
      </c>
    </row>
    <row r="37" spans="1:14" ht="13.5" thickBot="1" x14ac:dyDescent="0.25">
      <c r="A37" s="1734" t="s">
        <v>652</v>
      </c>
      <c r="B37" s="1739"/>
      <c r="C37" s="477"/>
      <c r="D37" s="477"/>
      <c r="E37" s="477"/>
      <c r="F37" s="477"/>
      <c r="G37" s="477"/>
      <c r="H37" s="477"/>
      <c r="I37" s="477"/>
      <c r="J37" s="477"/>
      <c r="K37" s="477"/>
      <c r="L37" s="480"/>
      <c r="M37" s="468"/>
      <c r="N37" s="1686">
        <f>SUM(N36:N36)</f>
        <v>219451</v>
      </c>
    </row>
    <row r="38" spans="1:14" s="329" customFormat="1" ht="13.5" customHeight="1" thickTop="1" x14ac:dyDescent="0.2">
      <c r="A38" s="496" t="s">
        <v>419</v>
      </c>
      <c r="B38" s="483">
        <v>714</v>
      </c>
      <c r="C38" s="466"/>
      <c r="D38" s="466"/>
      <c r="E38" s="466"/>
      <c r="F38" s="466"/>
      <c r="G38" s="466">
        <v>45859</v>
      </c>
      <c r="H38" s="466"/>
      <c r="I38" s="466"/>
      <c r="J38" s="467"/>
      <c r="K38" s="466"/>
      <c r="L38" s="481"/>
      <c r="M38" s="497"/>
      <c r="N38" s="497"/>
    </row>
    <row r="39" spans="1:14" s="329" customFormat="1" ht="13.5" customHeight="1" x14ac:dyDescent="0.2">
      <c r="A39" s="496" t="s">
        <v>341</v>
      </c>
      <c r="B39" s="483">
        <v>730</v>
      </c>
      <c r="C39" s="466">
        <v>428289</v>
      </c>
      <c r="D39" s="466">
        <v>172600</v>
      </c>
      <c r="E39" s="466">
        <v>1922</v>
      </c>
      <c r="F39" s="466">
        <v>149621</v>
      </c>
      <c r="G39" s="466">
        <v>32987</v>
      </c>
      <c r="H39" s="466"/>
      <c r="I39" s="466">
        <v>131627</v>
      </c>
      <c r="J39" s="467">
        <v>360</v>
      </c>
      <c r="K39" s="466">
        <v>39340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4421706</v>
      </c>
      <c r="N40" s="497"/>
    </row>
    <row r="41" spans="1:14" ht="13.5" customHeight="1" thickBot="1" x14ac:dyDescent="0.25">
      <c r="A41" s="1734" t="s">
        <v>654</v>
      </c>
      <c r="B41" s="1704"/>
      <c r="C41" s="1686">
        <f>(SUM(C34,C37,C38,C39))</f>
        <v>428289</v>
      </c>
      <c r="D41" s="1686">
        <f t="shared" ref="D41:L41" si="2">SUM(D34,D37,D38:D39)</f>
        <v>172600</v>
      </c>
      <c r="E41" s="1686">
        <f t="shared" si="2"/>
        <v>1922</v>
      </c>
      <c r="F41" s="1686">
        <f t="shared" si="2"/>
        <v>149621</v>
      </c>
      <c r="G41" s="1686">
        <f t="shared" si="2"/>
        <v>78846</v>
      </c>
      <c r="H41" s="1686">
        <f t="shared" si="2"/>
        <v>0</v>
      </c>
      <c r="I41" s="1686">
        <f t="shared" si="2"/>
        <v>131627</v>
      </c>
      <c r="J41" s="1686">
        <f t="shared" si="2"/>
        <v>360</v>
      </c>
      <c r="K41" s="1686">
        <f t="shared" si="2"/>
        <v>39340</v>
      </c>
      <c r="L41" s="1686">
        <f t="shared" si="2"/>
        <v>36175</v>
      </c>
      <c r="M41" s="1686">
        <f>SUM(M40)</f>
        <v>4421706</v>
      </c>
      <c r="N41" s="1686">
        <f>SUM(N37)</f>
        <v>219451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
      <selection activeCell="B31" sqref="B31"/>
      <selection pane="bottomLeft" activeCell="B31" sqref="B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4" t="s">
        <v>1174</v>
      </c>
      <c r="B3" s="2135"/>
      <c r="C3" s="1573"/>
      <c r="D3" s="1574"/>
      <c r="E3" s="1574"/>
      <c r="F3" s="1574"/>
      <c r="G3" s="1574"/>
      <c r="H3" s="1574"/>
      <c r="I3" s="1574"/>
      <c r="J3" s="1574"/>
      <c r="K3" s="1575"/>
      <c r="L3" s="506"/>
    </row>
    <row r="4" spans="1:13" ht="15.75" customHeight="1" x14ac:dyDescent="0.2">
      <c r="A4" s="1925" t="s">
        <v>1498</v>
      </c>
      <c r="B4" s="1926">
        <v>1000</v>
      </c>
      <c r="C4" s="1740">
        <f>'Revenues 9-14'!C109</f>
        <v>418676</v>
      </c>
      <c r="D4" s="1740">
        <f>'Revenues 9-14'!D109</f>
        <v>62265</v>
      </c>
      <c r="E4" s="1740">
        <f>'Revenues 9-14'!E109</f>
        <v>15627</v>
      </c>
      <c r="F4" s="1740">
        <f>'Revenues 9-14'!F109</f>
        <v>113365</v>
      </c>
      <c r="G4" s="1740">
        <f>'Revenues 9-14'!G109</f>
        <v>70599</v>
      </c>
      <c r="H4" s="1740">
        <f>'Revenues 9-14'!H109</f>
        <v>0</v>
      </c>
      <c r="I4" s="1740">
        <f>'Revenues 9-14'!I109</f>
        <v>11866</v>
      </c>
      <c r="J4" s="1740">
        <f>'Revenues 9-14'!J109</f>
        <v>37783</v>
      </c>
      <c r="K4" s="1740">
        <f>'Revenues 9-14'!K109</f>
        <v>0</v>
      </c>
      <c r="L4" s="347"/>
    </row>
    <row r="5" spans="1:13" ht="15.75" customHeight="1" x14ac:dyDescent="0.2">
      <c r="A5" s="1576" t="s">
        <v>1499</v>
      </c>
      <c r="B5" s="1577">
        <v>2000</v>
      </c>
      <c r="C5" s="1741">
        <f>'Revenues 9-14'!C114</f>
        <v>0</v>
      </c>
      <c r="D5" s="1741">
        <f>'Revenues 9-14'!D114</f>
        <v>0</v>
      </c>
      <c r="E5" s="508"/>
      <c r="F5" s="1741">
        <f>'Revenues 9-14'!F114</f>
        <v>0</v>
      </c>
      <c r="G5" s="1741">
        <f>'Revenues 9-14'!G114</f>
        <v>0</v>
      </c>
      <c r="H5" s="509" t="s">
        <v>1168</v>
      </c>
      <c r="I5" s="510" t="s">
        <v>1168</v>
      </c>
      <c r="J5" s="511" t="s">
        <v>1168</v>
      </c>
      <c r="K5" s="512" t="s">
        <v>1168</v>
      </c>
      <c r="L5" s="347"/>
    </row>
    <row r="6" spans="1:13" ht="15.75" customHeight="1" x14ac:dyDescent="0.2">
      <c r="A6" s="1576" t="s">
        <v>1500</v>
      </c>
      <c r="B6" s="1578">
        <v>3000</v>
      </c>
      <c r="C6" s="1741">
        <f>'Revenues 9-14'!C170</f>
        <v>1290364</v>
      </c>
      <c r="D6" s="1741">
        <f>'Revenues 9-14'!D170</f>
        <v>0</v>
      </c>
      <c r="E6" s="1741">
        <f>'Revenues 9-14'!E170</f>
        <v>2257</v>
      </c>
      <c r="F6" s="1741">
        <f>'Revenues 9-14'!F170</f>
        <v>169633</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1501</v>
      </c>
      <c r="B7" s="1578">
        <v>4000</v>
      </c>
      <c r="C7" s="1741">
        <f>'Revenues 9-14'!C267</f>
        <v>185301</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1171</v>
      </c>
      <c r="B8" s="1707"/>
      <c r="C8" s="1686">
        <f>SUM(C4:C7)</f>
        <v>1894341</v>
      </c>
      <c r="D8" s="1686">
        <f t="shared" ref="D8:K8" si="0">SUM(D4:D7)</f>
        <v>62265</v>
      </c>
      <c r="E8" s="1686">
        <f t="shared" si="0"/>
        <v>17884</v>
      </c>
      <c r="F8" s="1686">
        <f t="shared" si="0"/>
        <v>282998</v>
      </c>
      <c r="G8" s="1686">
        <f t="shared" si="0"/>
        <v>70599</v>
      </c>
      <c r="H8" s="1686">
        <f t="shared" si="0"/>
        <v>0</v>
      </c>
      <c r="I8" s="1686">
        <f t="shared" si="0"/>
        <v>11866</v>
      </c>
      <c r="J8" s="1686">
        <f t="shared" si="0"/>
        <v>37783</v>
      </c>
      <c r="K8" s="1686">
        <f t="shared" si="0"/>
        <v>0</v>
      </c>
      <c r="L8" s="347"/>
    </row>
    <row r="9" spans="1:13" ht="15.75" thickTop="1" x14ac:dyDescent="0.2">
      <c r="A9" s="514" t="s">
        <v>1652</v>
      </c>
      <c r="B9" s="515">
        <v>3998</v>
      </c>
      <c r="C9" s="481">
        <v>742503</v>
      </c>
      <c r="D9" s="516"/>
      <c r="E9" s="481"/>
      <c r="F9" s="481"/>
      <c r="G9" s="517"/>
      <c r="H9" s="481"/>
      <c r="I9" s="509" t="s">
        <v>1168</v>
      </c>
      <c r="J9" s="478"/>
      <c r="K9" s="481"/>
      <c r="L9" s="347"/>
    </row>
    <row r="10" spans="1:13" s="519" customFormat="1" ht="13.5" thickBot="1" x14ac:dyDescent="0.25">
      <c r="A10" s="1734" t="s">
        <v>1172</v>
      </c>
      <c r="B10" s="1707"/>
      <c r="C10" s="1686">
        <f>SUM(C8:C9)</f>
        <v>2636844</v>
      </c>
      <c r="D10" s="1686">
        <f t="shared" ref="D10:K10" si="1">SUM(D8:D9)</f>
        <v>62265</v>
      </c>
      <c r="E10" s="1686">
        <f t="shared" si="1"/>
        <v>17884</v>
      </c>
      <c r="F10" s="1686">
        <f t="shared" si="1"/>
        <v>282998</v>
      </c>
      <c r="G10" s="1686">
        <f t="shared" si="1"/>
        <v>70599</v>
      </c>
      <c r="H10" s="1686">
        <f t="shared" si="1"/>
        <v>0</v>
      </c>
      <c r="I10" s="1686">
        <f t="shared" si="1"/>
        <v>11866</v>
      </c>
      <c r="J10" s="1686">
        <f t="shared" si="1"/>
        <v>37783</v>
      </c>
      <c r="K10" s="1686">
        <f t="shared" si="1"/>
        <v>0</v>
      </c>
      <c r="L10" s="518"/>
    </row>
    <row r="11" spans="1:13" s="519" customFormat="1" ht="16.7" customHeight="1" thickTop="1" x14ac:dyDescent="0.2">
      <c r="A11" s="2108" t="s">
        <v>1175</v>
      </c>
      <c r="B11" s="2109"/>
      <c r="C11" s="1570"/>
      <c r="D11" s="1571"/>
      <c r="E11" s="1571"/>
      <c r="F11" s="1571"/>
      <c r="G11" s="1571"/>
      <c r="H11" s="1571"/>
      <c r="I11" s="1571"/>
      <c r="J11" s="1571"/>
      <c r="K11" s="1572"/>
      <c r="L11" s="518"/>
    </row>
    <row r="12" spans="1:13" ht="15.75" customHeight="1" x14ac:dyDescent="0.2">
      <c r="A12" s="1576" t="s">
        <v>455</v>
      </c>
      <c r="B12" s="1578">
        <v>1000</v>
      </c>
      <c r="C12" s="1740">
        <f>'Expenditures 15-22'!K33</f>
        <v>1301071</v>
      </c>
      <c r="D12" s="520" t="s">
        <v>1168</v>
      </c>
      <c r="E12" s="468" t="s">
        <v>1168</v>
      </c>
      <c r="F12" s="468" t="s">
        <v>1168</v>
      </c>
      <c r="G12" s="1740">
        <f>'Expenditures 15-22'!K229</f>
        <v>30907</v>
      </c>
      <c r="H12" s="521"/>
      <c r="I12" s="468" t="s">
        <v>1168</v>
      </c>
      <c r="J12" s="468" t="s">
        <v>1168</v>
      </c>
      <c r="K12" s="521" t="s">
        <v>1168</v>
      </c>
      <c r="L12" s="347"/>
    </row>
    <row r="13" spans="1:13" ht="15.75" customHeight="1" x14ac:dyDescent="0.2">
      <c r="A13" s="1576" t="s">
        <v>456</v>
      </c>
      <c r="B13" s="1578">
        <v>2000</v>
      </c>
      <c r="C13" s="1741">
        <f>'Expenditures 15-22'!K74</f>
        <v>534662</v>
      </c>
      <c r="D13" s="1741">
        <f>'Expenditures 15-22'!K129</f>
        <v>68650</v>
      </c>
      <c r="E13" s="469" t="s">
        <v>1168</v>
      </c>
      <c r="F13" s="1741">
        <f>'Expenditures 15-22'!K184</f>
        <v>382008</v>
      </c>
      <c r="G13" s="1741">
        <f>'Expenditures 15-22'!K279</f>
        <v>40103</v>
      </c>
      <c r="H13" s="1741">
        <f>'Expenditures 15-22'!K303</f>
        <v>0</v>
      </c>
      <c r="I13" s="468" t="s">
        <v>1168</v>
      </c>
      <c r="J13" s="1741">
        <f>'Expenditures 15-22'!K330</f>
        <v>37423</v>
      </c>
      <c r="K13" s="1745">
        <f>'Expenditures 15-22'!K352</f>
        <v>0</v>
      </c>
      <c r="L13" s="347"/>
    </row>
    <row r="14" spans="1:13" ht="15.75" customHeight="1" x14ac:dyDescent="0.2">
      <c r="A14" s="1576" t="s">
        <v>448</v>
      </c>
      <c r="B14" s="1578">
        <v>3000</v>
      </c>
      <c r="C14" s="1741">
        <f>'Expenditures 15-22'!K75</f>
        <v>0</v>
      </c>
      <c r="D14" s="1741">
        <f>'Expenditures 15-22'!K130</f>
        <v>0</v>
      </c>
      <c r="E14" s="520" t="s">
        <v>1168</v>
      </c>
      <c r="F14" s="1741">
        <f>'Expenditures 15-22'!K185</f>
        <v>0</v>
      </c>
      <c r="G14" s="1741">
        <f>'Expenditures 15-22'!K280</f>
        <v>0</v>
      </c>
      <c r="H14" s="512"/>
      <c r="I14" s="468" t="s">
        <v>1168</v>
      </c>
      <c r="J14" s="468" t="s">
        <v>1168</v>
      </c>
      <c r="K14" s="512" t="s">
        <v>1168</v>
      </c>
      <c r="L14" s="347"/>
    </row>
    <row r="15" spans="1:13" ht="15.75" customHeight="1" x14ac:dyDescent="0.2">
      <c r="A15" s="1576" t="s">
        <v>107</v>
      </c>
      <c r="B15" s="1578">
        <v>4000</v>
      </c>
      <c r="C15" s="1741">
        <f>'Expenditures 15-22'!K102</f>
        <v>112878</v>
      </c>
      <c r="D15" s="1741">
        <f>'Expenditures 15-22'!K139</f>
        <v>0</v>
      </c>
      <c r="E15" s="1741">
        <f>'Expenditures 15-22'!K160</f>
        <v>0</v>
      </c>
      <c r="F15" s="1741">
        <f>'Expenditures 15-22'!K196</f>
        <v>0</v>
      </c>
      <c r="G15" s="1741">
        <f>'Expenditures 15-22'!K285</f>
        <v>0</v>
      </c>
      <c r="H15" s="1741">
        <f>'Expenditures 15-22'!K310</f>
        <v>0</v>
      </c>
      <c r="I15" s="468" t="s">
        <v>1168</v>
      </c>
      <c r="J15" s="1833">
        <f>'Expenditures 15-22'!K334</f>
        <v>0</v>
      </c>
      <c r="K15" s="1741">
        <f>'Expenditures 15-22'!K357</f>
        <v>0</v>
      </c>
      <c r="L15" s="347"/>
    </row>
    <row r="16" spans="1:13" ht="15.75" customHeight="1" x14ac:dyDescent="0.2">
      <c r="A16" s="1576" t="s">
        <v>449</v>
      </c>
      <c r="B16" s="1578">
        <v>5000</v>
      </c>
      <c r="C16" s="1741">
        <f>'Expenditures 15-22'!K112</f>
        <v>0</v>
      </c>
      <c r="D16" s="1741">
        <f>'Expenditures 15-22'!K149</f>
        <v>0</v>
      </c>
      <c r="E16" s="1741">
        <f>'Expenditures 15-22'!K172</f>
        <v>18014</v>
      </c>
      <c r="F16" s="1741">
        <f>'Expenditures 15-22'!K208</f>
        <v>28539</v>
      </c>
      <c r="G16" s="1741">
        <f>'Expenditures 15-22'!K293</f>
        <v>0</v>
      </c>
      <c r="H16" s="523"/>
      <c r="I16" s="468" t="s">
        <v>1168</v>
      </c>
      <c r="J16" s="1746">
        <f>'Expenditures 15-22'!K340</f>
        <v>0</v>
      </c>
      <c r="K16" s="1741">
        <f>'Expenditures 15-22'!K365</f>
        <v>0</v>
      </c>
      <c r="L16" s="347"/>
    </row>
    <row r="17" spans="1:12" ht="13.5" thickBot="1" x14ac:dyDescent="0.25">
      <c r="A17" s="1706" t="s">
        <v>48</v>
      </c>
      <c r="B17" s="1707"/>
      <c r="C17" s="1686">
        <f t="shared" ref="C17:H17" si="2">SUM(C12:C16)</f>
        <v>1948611</v>
      </c>
      <c r="D17" s="1686">
        <f t="shared" si="2"/>
        <v>68650</v>
      </c>
      <c r="E17" s="1686">
        <f t="shared" si="2"/>
        <v>18014</v>
      </c>
      <c r="F17" s="1686">
        <f t="shared" si="2"/>
        <v>410547</v>
      </c>
      <c r="G17" s="1686">
        <f t="shared" si="2"/>
        <v>71010</v>
      </c>
      <c r="H17" s="1686">
        <f t="shared" si="2"/>
        <v>0</v>
      </c>
      <c r="I17" s="468"/>
      <c r="J17" s="1686">
        <f>SUM(J12:J16)</f>
        <v>37423</v>
      </c>
      <c r="K17" s="1686">
        <f>SUM(K12:K16)</f>
        <v>0</v>
      </c>
      <c r="L17" s="347"/>
    </row>
    <row r="18" spans="1:12" ht="15" customHeight="1" thickTop="1" x14ac:dyDescent="0.2">
      <c r="A18" s="1742" t="s">
        <v>1653</v>
      </c>
      <c r="B18" s="1743">
        <v>4180</v>
      </c>
      <c r="C18" s="1740">
        <f t="shared" ref="C18:H18" si="3">C9</f>
        <v>742503</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504</v>
      </c>
      <c r="B19" s="1707"/>
      <c r="C19" s="1686">
        <f t="shared" ref="C19:H19" si="4">SUM(C17:C18)</f>
        <v>2691114</v>
      </c>
      <c r="D19" s="1686">
        <f t="shared" si="4"/>
        <v>68650</v>
      </c>
      <c r="E19" s="1686">
        <f t="shared" si="4"/>
        <v>18014</v>
      </c>
      <c r="F19" s="1686">
        <f t="shared" si="4"/>
        <v>410547</v>
      </c>
      <c r="G19" s="1686">
        <f t="shared" si="4"/>
        <v>71010</v>
      </c>
      <c r="H19" s="1686">
        <f t="shared" si="4"/>
        <v>0</v>
      </c>
      <c r="I19" s="468"/>
      <c r="J19" s="1686">
        <f>SUM(J17:J18)</f>
        <v>37423</v>
      </c>
      <c r="K19" s="1686">
        <f>SUM(K17:K18)</f>
        <v>0</v>
      </c>
      <c r="L19" s="347"/>
    </row>
    <row r="20" spans="1:12" ht="16.5" thickTop="1" thickBot="1" x14ac:dyDescent="0.25">
      <c r="A20" s="2124" t="s">
        <v>1654</v>
      </c>
      <c r="B20" s="2125"/>
      <c r="C20" s="1744">
        <f>C8-C17</f>
        <v>-54270</v>
      </c>
      <c r="D20" s="1744">
        <f t="shared" ref="D20:K20" si="5">D8-D17</f>
        <v>-6385</v>
      </c>
      <c r="E20" s="1744">
        <f t="shared" si="5"/>
        <v>-130</v>
      </c>
      <c r="F20" s="1744">
        <f t="shared" si="5"/>
        <v>-127549</v>
      </c>
      <c r="G20" s="1744">
        <f t="shared" si="5"/>
        <v>-411</v>
      </c>
      <c r="H20" s="1744">
        <f t="shared" si="5"/>
        <v>0</v>
      </c>
      <c r="I20" s="1744">
        <f t="shared" si="5"/>
        <v>11866</v>
      </c>
      <c r="J20" s="1744">
        <f t="shared" si="5"/>
        <v>360</v>
      </c>
      <c r="K20" s="1744">
        <f t="shared" si="5"/>
        <v>0</v>
      </c>
      <c r="L20" s="347"/>
    </row>
    <row r="21" spans="1:12" ht="16.7" customHeight="1" thickTop="1" x14ac:dyDescent="0.2">
      <c r="A21" s="2136" t="s">
        <v>594</v>
      </c>
      <c r="B21" s="2137"/>
      <c r="C21" s="1570"/>
      <c r="D21" s="1571"/>
      <c r="E21" s="1571"/>
      <c r="F21" s="1571"/>
      <c r="G21" s="1571"/>
      <c r="H21" s="1571"/>
      <c r="I21" s="1571"/>
      <c r="J21" s="1571"/>
      <c r="K21" s="1572"/>
      <c r="L21" s="524"/>
    </row>
    <row r="22" spans="1:12" ht="15.75" customHeight="1" collapsed="1" x14ac:dyDescent="0.2">
      <c r="A22" s="2132" t="s">
        <v>595</v>
      </c>
      <c r="B22" s="2133"/>
      <c r="C22" s="477"/>
      <c r="D22" s="477"/>
      <c r="E22" s="477"/>
      <c r="F22" s="477"/>
      <c r="G22" s="477"/>
      <c r="H22" s="477"/>
      <c r="I22" s="477"/>
      <c r="J22" s="477"/>
      <c r="K22" s="477"/>
      <c r="L22" s="347"/>
    </row>
    <row r="23" spans="1:12" s="485" customFormat="1" ht="15.75" customHeight="1" x14ac:dyDescent="0.2">
      <c r="A23" s="2128" t="s">
        <v>292</v>
      </c>
      <c r="B23" s="2129"/>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0" t="s">
        <v>980</v>
      </c>
      <c r="B32" s="2131"/>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v>39200</v>
      </c>
      <c r="L33" s="524"/>
    </row>
    <row r="34" spans="1:12" s="485" customFormat="1" x14ac:dyDescent="0.2">
      <c r="A34" s="1489" t="s">
        <v>1000</v>
      </c>
      <c r="B34" s="525">
        <v>7220</v>
      </c>
      <c r="C34" s="467"/>
      <c r="D34" s="467"/>
      <c r="E34" s="467"/>
      <c r="F34" s="467"/>
      <c r="G34" s="477"/>
      <c r="H34" s="478"/>
      <c r="I34" s="478"/>
      <c r="J34" s="478"/>
      <c r="K34" s="478">
        <v>3790</v>
      </c>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1">
        <f>SUM(C54:D57,H54:H57)</f>
        <v>0</v>
      </c>
      <c r="F37" s="475"/>
      <c r="G37" s="475"/>
      <c r="H37" s="475"/>
      <c r="I37" s="477"/>
      <c r="J37" s="475"/>
      <c r="K37" s="475"/>
      <c r="L37" s="524"/>
    </row>
    <row r="38" spans="1:12" s="485" customFormat="1" x14ac:dyDescent="0.2">
      <c r="A38" s="1489" t="s">
        <v>441</v>
      </c>
      <c r="B38" s="525">
        <v>7500</v>
      </c>
      <c r="C38" s="477"/>
      <c r="D38" s="477"/>
      <c r="E38" s="1741">
        <f>SUM(C58:D61,H58:H61)</f>
        <v>0</v>
      </c>
      <c r="F38" s="477"/>
      <c r="G38" s="477"/>
      <c r="H38" s="477"/>
      <c r="I38" s="477"/>
      <c r="J38" s="477"/>
      <c r="K38" s="477"/>
      <c r="L38" s="524"/>
    </row>
    <row r="39" spans="1:12" s="485" customFormat="1" x14ac:dyDescent="0.2">
      <c r="A39" s="1489" t="s">
        <v>442</v>
      </c>
      <c r="B39" s="525">
        <v>7600</v>
      </c>
      <c r="C39" s="477"/>
      <c r="D39" s="477"/>
      <c r="E39" s="1741">
        <f>SUM(C62:D65)</f>
        <v>0</v>
      </c>
      <c r="F39" s="477"/>
      <c r="G39" s="477"/>
      <c r="H39" s="477"/>
      <c r="I39" s="477"/>
      <c r="J39" s="477"/>
      <c r="K39" s="477"/>
      <c r="L39" s="524"/>
    </row>
    <row r="40" spans="1:12" s="485" customFormat="1" ht="13.5" customHeight="1" x14ac:dyDescent="0.2">
      <c r="A40" s="1489" t="s">
        <v>641</v>
      </c>
      <c r="B40" s="483">
        <v>7700</v>
      </c>
      <c r="C40" s="477"/>
      <c r="D40" s="477"/>
      <c r="E40" s="1741">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1">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v>48317</v>
      </c>
      <c r="D43" s="467"/>
      <c r="E43" s="467"/>
      <c r="F43" s="467">
        <v>158816</v>
      </c>
      <c r="G43" s="467"/>
      <c r="H43" s="467"/>
      <c r="I43" s="467"/>
      <c r="J43" s="467"/>
      <c r="K43" s="467"/>
      <c r="L43" s="524"/>
    </row>
    <row r="44" spans="1:12" s="485" customFormat="1" ht="13.5" customHeight="1" thickBot="1" x14ac:dyDescent="0.25">
      <c r="A44" s="2138" t="s">
        <v>373</v>
      </c>
      <c r="B44" s="2139"/>
      <c r="C44" s="1701">
        <f>SUM(C24:C43)</f>
        <v>48317</v>
      </c>
      <c r="D44" s="1701">
        <f t="shared" ref="D44:K44" si="6">SUM(D24:D43)</f>
        <v>0</v>
      </c>
      <c r="E44" s="1701">
        <f t="shared" si="6"/>
        <v>0</v>
      </c>
      <c r="F44" s="1701">
        <f t="shared" si="6"/>
        <v>158816</v>
      </c>
      <c r="G44" s="1701">
        <f t="shared" si="6"/>
        <v>0</v>
      </c>
      <c r="H44" s="1701">
        <f t="shared" si="6"/>
        <v>0</v>
      </c>
      <c r="I44" s="1701">
        <f t="shared" si="6"/>
        <v>0</v>
      </c>
      <c r="J44" s="1701">
        <f t="shared" si="6"/>
        <v>0</v>
      </c>
      <c r="K44" s="1701">
        <f t="shared" si="6"/>
        <v>42990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1">
        <f>SUM(C24,C25:H25,J25:K25)</f>
        <v>0</v>
      </c>
      <c r="J47" s="477"/>
      <c r="K47" s="477"/>
      <c r="L47" s="529"/>
    </row>
    <row r="48" spans="1:12" s="485" customFormat="1" ht="15" x14ac:dyDescent="0.2">
      <c r="A48" s="1490" t="s">
        <v>1659</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1">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1">
        <f>D30</f>
        <v>0</v>
      </c>
      <c r="L52" s="524"/>
    </row>
    <row r="53" spans="1:12" s="485" customFormat="1" ht="26.25" x14ac:dyDescent="0.2">
      <c r="A53" s="1490" t="s">
        <v>1795</v>
      </c>
      <c r="B53" s="483">
        <v>8170</v>
      </c>
      <c r="C53" s="480"/>
      <c r="D53" s="480"/>
      <c r="E53" s="477"/>
      <c r="F53" s="477"/>
      <c r="G53" s="477"/>
      <c r="H53" s="480"/>
      <c r="I53" s="477"/>
      <c r="J53" s="477"/>
      <c r="K53" s="1741">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v>3650</v>
      </c>
      <c r="L75" s="524"/>
    </row>
    <row r="76" spans="1:12" s="485" customFormat="1" ht="14.25" thickTop="1" thickBot="1" x14ac:dyDescent="0.25">
      <c r="A76" s="2114" t="s">
        <v>439</v>
      </c>
      <c r="B76" s="2115"/>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3650</v>
      </c>
      <c r="L76" s="524"/>
    </row>
    <row r="77" spans="1:12" ht="14.25" thickTop="1" thickBot="1" x14ac:dyDescent="0.25">
      <c r="A77" s="2116" t="s">
        <v>1176</v>
      </c>
      <c r="B77" s="2117"/>
      <c r="C77" s="1701">
        <f t="shared" ref="C77:K77" si="8">C44-C76</f>
        <v>48317</v>
      </c>
      <c r="D77" s="1701">
        <f t="shared" si="8"/>
        <v>0</v>
      </c>
      <c r="E77" s="1701">
        <f t="shared" si="8"/>
        <v>0</v>
      </c>
      <c r="F77" s="1701">
        <f t="shared" si="8"/>
        <v>158816</v>
      </c>
      <c r="G77" s="1701">
        <f t="shared" si="8"/>
        <v>0</v>
      </c>
      <c r="H77" s="1701">
        <f t="shared" si="8"/>
        <v>0</v>
      </c>
      <c r="I77" s="1701">
        <f t="shared" si="8"/>
        <v>0</v>
      </c>
      <c r="J77" s="1701">
        <f t="shared" si="8"/>
        <v>0</v>
      </c>
      <c r="K77" s="1701">
        <f t="shared" si="8"/>
        <v>39340</v>
      </c>
      <c r="L77" s="347"/>
    </row>
    <row r="78" spans="1:12" ht="21.75" customHeight="1" thickTop="1" thickBot="1" x14ac:dyDescent="0.25">
      <c r="A78" s="2120" t="s">
        <v>596</v>
      </c>
      <c r="B78" s="2121"/>
      <c r="C78" s="1700">
        <f t="shared" ref="C78:K78" si="9">C20+C77</f>
        <v>-5953</v>
      </c>
      <c r="D78" s="1700">
        <f t="shared" si="9"/>
        <v>-6385</v>
      </c>
      <c r="E78" s="1700">
        <f t="shared" si="9"/>
        <v>-130</v>
      </c>
      <c r="F78" s="1700">
        <f t="shared" si="9"/>
        <v>31267</v>
      </c>
      <c r="G78" s="1700">
        <f t="shared" si="9"/>
        <v>-411</v>
      </c>
      <c r="H78" s="1700">
        <f t="shared" si="9"/>
        <v>0</v>
      </c>
      <c r="I78" s="1700">
        <f t="shared" si="9"/>
        <v>11866</v>
      </c>
      <c r="J78" s="1700">
        <f t="shared" si="9"/>
        <v>360</v>
      </c>
      <c r="K78" s="1700">
        <f t="shared" si="9"/>
        <v>39340</v>
      </c>
      <c r="L78" s="533"/>
    </row>
    <row r="79" spans="1:12" ht="13.5" thickTop="1" x14ac:dyDescent="0.2">
      <c r="A79" s="1494" t="s">
        <v>1946</v>
      </c>
      <c r="B79" s="534"/>
      <c r="C79" s="478">
        <v>434242</v>
      </c>
      <c r="D79" s="535">
        <v>178985</v>
      </c>
      <c r="E79" s="535">
        <v>2052</v>
      </c>
      <c r="F79" s="535">
        <v>118354</v>
      </c>
      <c r="G79" s="535">
        <v>79257</v>
      </c>
      <c r="H79" s="535"/>
      <c r="I79" s="535">
        <v>119761</v>
      </c>
      <c r="J79" s="535"/>
      <c r="K79" s="535"/>
      <c r="L79" s="347"/>
    </row>
    <row r="80" spans="1:12" x14ac:dyDescent="0.2">
      <c r="A80" s="2126" t="s">
        <v>1794</v>
      </c>
      <c r="B80" s="2127"/>
      <c r="C80" s="467"/>
      <c r="D80" s="467"/>
      <c r="E80" s="467"/>
      <c r="F80" s="467"/>
      <c r="G80" s="467"/>
      <c r="H80" s="467"/>
      <c r="I80" s="467"/>
      <c r="J80" s="467"/>
      <c r="K80" s="467"/>
      <c r="L80" s="347"/>
    </row>
    <row r="81" spans="1:12" ht="13.5" thickBot="1" x14ac:dyDescent="0.25">
      <c r="A81" s="2118" t="s">
        <v>1947</v>
      </c>
      <c r="B81" s="2119"/>
      <c r="C81" s="1686">
        <f>(SUM(C78:C80))</f>
        <v>428289</v>
      </c>
      <c r="D81" s="1686">
        <f>SUM(D78:D80)</f>
        <v>172600</v>
      </c>
      <c r="E81" s="1686">
        <f t="shared" ref="E81:K81" si="10">SUM(E78:E80)</f>
        <v>1922</v>
      </c>
      <c r="F81" s="1686">
        <f t="shared" si="10"/>
        <v>149621</v>
      </c>
      <c r="G81" s="1686">
        <f t="shared" si="10"/>
        <v>78846</v>
      </c>
      <c r="H81" s="1686">
        <f t="shared" si="10"/>
        <v>0</v>
      </c>
      <c r="I81" s="1686">
        <f t="shared" si="10"/>
        <v>131627</v>
      </c>
      <c r="J81" s="1686">
        <f t="shared" si="10"/>
        <v>360</v>
      </c>
      <c r="K81" s="1686">
        <f t="shared" si="10"/>
        <v>39340</v>
      </c>
      <c r="L81" s="347"/>
    </row>
    <row r="82" spans="1:12" ht="0.75" customHeight="1" thickTop="1" thickBot="1" x14ac:dyDescent="0.25">
      <c r="A82" s="536" t="s">
        <v>342</v>
      </c>
      <c r="B82" s="537"/>
      <c r="C82" s="538">
        <f>(C81-C79)</f>
        <v>-5953</v>
      </c>
      <c r="D82" s="538">
        <f t="shared" ref="D82:K82" si="11">(D81-D79)</f>
        <v>-6385</v>
      </c>
      <c r="E82" s="538">
        <f t="shared" si="11"/>
        <v>-130</v>
      </c>
      <c r="F82" s="538">
        <f t="shared" si="11"/>
        <v>31267</v>
      </c>
      <c r="G82" s="538">
        <f t="shared" si="11"/>
        <v>-411</v>
      </c>
      <c r="H82" s="538">
        <f t="shared" si="11"/>
        <v>0</v>
      </c>
      <c r="I82" s="538">
        <f t="shared" si="11"/>
        <v>11866</v>
      </c>
      <c r="J82" s="538">
        <f t="shared" si="11"/>
        <v>360</v>
      </c>
      <c r="K82" s="538">
        <f t="shared" si="11"/>
        <v>39340</v>
      </c>
    </row>
    <row r="83" spans="1:12" ht="14.25" hidden="1" thickTop="1" thickBot="1" x14ac:dyDescent="0.25">
      <c r="A83" s="539" t="s">
        <v>343</v>
      </c>
      <c r="B83" s="464"/>
      <c r="C83" s="540">
        <f>C82/C81</f>
        <v>-1.3899493099285763E-2</v>
      </c>
      <c r="D83" s="540">
        <f t="shared" ref="D83:K83" si="12">D82/D81</f>
        <v>-3.6993047508690612E-2</v>
      </c>
      <c r="E83" s="540">
        <f t="shared" si="12"/>
        <v>-6.763787721123829E-2</v>
      </c>
      <c r="F83" s="540">
        <f t="shared" si="12"/>
        <v>0.20897467601473055</v>
      </c>
      <c r="G83" s="540">
        <f t="shared" si="12"/>
        <v>-5.2126930979377517E-3</v>
      </c>
      <c r="H83" s="540" t="e">
        <f t="shared" si="12"/>
        <v>#DIV/0!</v>
      </c>
      <c r="I83" s="540">
        <f t="shared" si="12"/>
        <v>9.0148677702902899E-2</v>
      </c>
      <c r="J83" s="540">
        <f t="shared" si="12"/>
        <v>1</v>
      </c>
      <c r="K83" s="540">
        <f t="shared" si="12"/>
        <v>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B31" sqref="B31"/>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1801</v>
      </c>
      <c r="B1" s="452"/>
      <c r="C1" s="453" t="s">
        <v>424</v>
      </c>
      <c r="D1" s="453" t="s">
        <v>425</v>
      </c>
      <c r="E1" s="453" t="s">
        <v>426</v>
      </c>
      <c r="F1" s="453" t="s">
        <v>427</v>
      </c>
      <c r="G1" s="453" t="s">
        <v>428</v>
      </c>
      <c r="H1" s="453" t="s">
        <v>429</v>
      </c>
      <c r="I1" s="453" t="s">
        <v>430</v>
      </c>
      <c r="J1" s="453" t="s">
        <v>431</v>
      </c>
      <c r="K1" s="453" t="s">
        <v>755</v>
      </c>
    </row>
    <row r="2" spans="1:12" ht="36" x14ac:dyDescent="0.2">
      <c r="A2" s="212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301377</v>
      </c>
      <c r="D5" s="481">
        <v>61595</v>
      </c>
      <c r="E5" s="466">
        <v>15459</v>
      </c>
      <c r="F5" s="548">
        <v>66791</v>
      </c>
      <c r="G5" s="466">
        <v>19503</v>
      </c>
      <c r="H5" s="466"/>
      <c r="I5" s="466">
        <v>11738</v>
      </c>
      <c r="J5" s="467">
        <v>37109</v>
      </c>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412</v>
      </c>
      <c r="B8" s="470">
        <v>1150</v>
      </c>
      <c r="C8" s="475"/>
      <c r="D8" s="475"/>
      <c r="E8" s="477"/>
      <c r="F8" s="477"/>
      <c r="G8" s="481">
        <v>36460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301377</v>
      </c>
      <c r="D12" s="1705">
        <f t="shared" si="0"/>
        <v>61595</v>
      </c>
      <c r="E12" s="1705">
        <f t="shared" si="0"/>
        <v>15459</v>
      </c>
      <c r="F12" s="1705">
        <f t="shared" si="0"/>
        <v>66791</v>
      </c>
      <c r="G12" s="1705">
        <f t="shared" si="0"/>
        <v>55963</v>
      </c>
      <c r="H12" s="1705">
        <f t="shared" si="0"/>
        <v>0</v>
      </c>
      <c r="I12" s="1705">
        <f t="shared" si="0"/>
        <v>11738</v>
      </c>
      <c r="J12" s="1705">
        <f t="shared" si="0"/>
        <v>37109</v>
      </c>
      <c r="K12" s="1686">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3276</v>
      </c>
      <c r="D14" s="466">
        <v>670</v>
      </c>
      <c r="E14" s="466">
        <v>168</v>
      </c>
      <c r="F14" s="466">
        <v>726</v>
      </c>
      <c r="G14" s="466">
        <v>608</v>
      </c>
      <c r="H14" s="466"/>
      <c r="I14" s="466"/>
      <c r="J14" s="467">
        <v>404</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c r="E16" s="466"/>
      <c r="F16" s="466">
        <v>20000</v>
      </c>
      <c r="G16" s="466"/>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6" t="s">
        <v>536</v>
      </c>
      <c r="B18" s="1707"/>
      <c r="C18" s="1708">
        <f>SUM(C14:C17)</f>
        <v>3276</v>
      </c>
      <c r="D18" s="1708">
        <f t="shared" ref="D18:K18" si="1">SUM(D14:D17)</f>
        <v>670</v>
      </c>
      <c r="E18" s="1708">
        <f t="shared" si="1"/>
        <v>168</v>
      </c>
      <c r="F18" s="1708">
        <f t="shared" si="1"/>
        <v>20726</v>
      </c>
      <c r="G18" s="1708">
        <f t="shared" si="1"/>
        <v>608</v>
      </c>
      <c r="H18" s="1708">
        <f t="shared" si="1"/>
        <v>0</v>
      </c>
      <c r="I18" s="1708">
        <f t="shared" si="1"/>
        <v>0</v>
      </c>
      <c r="J18" s="1708">
        <f t="shared" si="1"/>
        <v>404</v>
      </c>
      <c r="K18" s="1709">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19625</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6" t="s">
        <v>537</v>
      </c>
      <c r="B40" s="1707"/>
      <c r="C40" s="1686">
        <f>SUM(C20:C39)</f>
        <v>19625</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6" t="s">
        <v>484</v>
      </c>
      <c r="B63" s="1707"/>
      <c r="C63" s="468"/>
      <c r="D63" s="468"/>
      <c r="E63" s="468"/>
      <c r="F63" s="1686">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9776</v>
      </c>
      <c r="D65" s="466"/>
      <c r="E65" s="466"/>
      <c r="F65" s="467"/>
      <c r="G65" s="466">
        <v>14028</v>
      </c>
      <c r="H65" s="466"/>
      <c r="I65" s="466">
        <v>128</v>
      </c>
      <c r="J65" s="467">
        <v>270</v>
      </c>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6" t="s">
        <v>485</v>
      </c>
      <c r="B67" s="1707"/>
      <c r="C67" s="1686">
        <f>SUM(C65:C66)</f>
        <v>9776</v>
      </c>
      <c r="D67" s="1686">
        <f t="shared" ref="D67:K67" si="2">SUM(D65:D66)</f>
        <v>0</v>
      </c>
      <c r="E67" s="1686">
        <f t="shared" si="2"/>
        <v>0</v>
      </c>
      <c r="F67" s="1686">
        <f t="shared" si="2"/>
        <v>0</v>
      </c>
      <c r="G67" s="1686">
        <f t="shared" si="2"/>
        <v>14028</v>
      </c>
      <c r="H67" s="1686">
        <f t="shared" si="2"/>
        <v>0</v>
      </c>
      <c r="I67" s="1686">
        <f t="shared" si="2"/>
        <v>128</v>
      </c>
      <c r="J67" s="1686">
        <f t="shared" si="2"/>
        <v>270</v>
      </c>
      <c r="K67" s="1686">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22292</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495</v>
      </c>
      <c r="D73" s="468"/>
      <c r="E73" s="468"/>
      <c r="F73" s="468"/>
      <c r="G73" s="468"/>
      <c r="H73" s="468"/>
      <c r="I73" s="468"/>
      <c r="J73" s="468"/>
      <c r="K73" s="468"/>
    </row>
    <row r="74" spans="1:11" ht="12.75" customHeight="1" x14ac:dyDescent="0.2">
      <c r="A74" s="463" t="s">
        <v>25</v>
      </c>
      <c r="B74" s="470">
        <v>1690</v>
      </c>
      <c r="C74" s="551">
        <v>21175</v>
      </c>
      <c r="D74" s="468"/>
      <c r="E74" s="468"/>
      <c r="F74" s="468"/>
      <c r="G74" s="468"/>
      <c r="H74" s="468"/>
      <c r="I74" s="468"/>
      <c r="J74" s="468"/>
      <c r="K74" s="468"/>
    </row>
    <row r="75" spans="1:11" ht="12.75" customHeight="1" thickBot="1" x14ac:dyDescent="0.25">
      <c r="A75" s="1706" t="s">
        <v>547</v>
      </c>
      <c r="B75" s="1707"/>
      <c r="C75" s="1686">
        <f>SUM(C69:C74)</f>
        <v>43962</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5402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5402</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1901</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6" t="s">
        <v>243</v>
      </c>
      <c r="B93" s="1707"/>
      <c r="C93" s="1686">
        <f>SUM(C84:C92)</f>
        <v>1901</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v>24250</v>
      </c>
      <c r="G98" s="512"/>
      <c r="H98" s="512"/>
      <c r="I98" s="510"/>
      <c r="J98" s="512"/>
      <c r="K98" s="512"/>
    </row>
    <row r="99" spans="1:12" ht="12.75" customHeight="1" x14ac:dyDescent="0.2">
      <c r="A99" s="463" t="s">
        <v>820</v>
      </c>
      <c r="B99" s="470">
        <v>1950</v>
      </c>
      <c r="C99" s="489">
        <v>4554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28803</v>
      </c>
      <c r="D107" s="466"/>
      <c r="E107" s="466"/>
      <c r="F107" s="466">
        <v>1598</v>
      </c>
      <c r="G107" s="466"/>
      <c r="H107" s="466"/>
      <c r="I107" s="466"/>
      <c r="J107" s="467"/>
      <c r="K107" s="466"/>
    </row>
    <row r="108" spans="1:12" ht="12.75" customHeight="1" thickBot="1" x14ac:dyDescent="0.25">
      <c r="A108" s="1706" t="s">
        <v>486</v>
      </c>
      <c r="B108" s="1710"/>
      <c r="C108" s="1705">
        <f>SUM(C95:C107)</f>
        <v>33357</v>
      </c>
      <c r="D108" s="1705">
        <f t="shared" ref="D108:K108" si="3">SUM(D95:D107)</f>
        <v>0</v>
      </c>
      <c r="E108" s="1705">
        <f t="shared" si="3"/>
        <v>0</v>
      </c>
      <c r="F108" s="1705">
        <f t="shared" si="3"/>
        <v>25848</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569</v>
      </c>
      <c r="C109" s="1713">
        <f t="shared" ref="C109:K109" si="4">SUM(C12,C18,C40,C63,C67,C75,C82,C93,C108,)</f>
        <v>418676</v>
      </c>
      <c r="D109" s="1713">
        <f t="shared" si="4"/>
        <v>62265</v>
      </c>
      <c r="E109" s="1713">
        <f t="shared" si="4"/>
        <v>15627</v>
      </c>
      <c r="F109" s="1713">
        <f t="shared" si="4"/>
        <v>113365</v>
      </c>
      <c r="G109" s="1713">
        <f t="shared" si="4"/>
        <v>70599</v>
      </c>
      <c r="H109" s="1713">
        <f t="shared" si="4"/>
        <v>0</v>
      </c>
      <c r="I109" s="1713">
        <f t="shared" si="4"/>
        <v>11866</v>
      </c>
      <c r="J109" s="1713">
        <f t="shared" si="4"/>
        <v>37783</v>
      </c>
      <c r="K109" s="1700">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805</v>
      </c>
      <c r="B114" s="1715" t="s">
        <v>568</v>
      </c>
      <c r="C114" s="1716">
        <f>SUM(C111:C113)</f>
        <v>0</v>
      </c>
      <c r="D114" s="1716">
        <f>SUM(D111:D113)</f>
        <v>0</v>
      </c>
      <c r="E114" s="561" t="s">
        <v>1168</v>
      </c>
      <c r="F114" s="1716">
        <f>SUM(F111:F113)</f>
        <v>0</v>
      </c>
      <c r="G114" s="1716">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1285875</v>
      </c>
      <c r="D117" s="481"/>
      <c r="E117" s="466">
        <v>2257</v>
      </c>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7" t="s">
        <v>1933</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6" t="s">
        <v>487</v>
      </c>
      <c r="B122" s="1717"/>
      <c r="C122" s="1705">
        <f t="shared" ref="C122:H122" si="5">SUM(C117:C121)</f>
        <v>1285875</v>
      </c>
      <c r="D122" s="1705">
        <f t="shared" si="5"/>
        <v>0</v>
      </c>
      <c r="E122" s="1705">
        <f t="shared" si="5"/>
        <v>2257</v>
      </c>
      <c r="F122" s="1705">
        <f t="shared" si="5"/>
        <v>0</v>
      </c>
      <c r="G122" s="1705">
        <f t="shared" si="5"/>
        <v>0</v>
      </c>
      <c r="H122" s="1705">
        <f t="shared" si="5"/>
        <v>0</v>
      </c>
      <c r="I122" s="468"/>
      <c r="J122" s="1705">
        <f>SUM(J117:J121)</f>
        <v>0</v>
      </c>
      <c r="K122" s="1686">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1031</v>
      </c>
      <c r="B132" s="1718"/>
      <c r="C132" s="1705">
        <f>SUM(C125:C131)</f>
        <v>0</v>
      </c>
      <c r="D132" s="1705">
        <f>SUM(D125:D131)</f>
        <v>0</v>
      </c>
      <c r="E132" s="469" t="s">
        <v>1168</v>
      </c>
      <c r="F132" s="1705">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602</v>
      </c>
      <c r="B141" s="1718"/>
      <c r="C141" s="1705">
        <f>SUM(C134:C140)</f>
        <v>0</v>
      </c>
      <c r="D141" s="1705">
        <f>SUM(D134:D140)</f>
        <v>0</v>
      </c>
      <c r="E141" s="561" t="s">
        <v>1168</v>
      </c>
      <c r="F141" s="477"/>
      <c r="G141" s="1705">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6" t="s">
        <v>395</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1055</v>
      </c>
      <c r="B146" s="568">
        <v>3360</v>
      </c>
      <c r="C146" s="569">
        <v>896</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143345</v>
      </c>
      <c r="G152" s="467"/>
      <c r="H152" s="468"/>
      <c r="I152" s="468"/>
      <c r="J152" s="468"/>
      <c r="K152" s="468"/>
    </row>
    <row r="153" spans="1:11" ht="12.75" customHeight="1" x14ac:dyDescent="0.2">
      <c r="A153" s="463" t="s">
        <v>1056</v>
      </c>
      <c r="B153" s="562">
        <v>3510</v>
      </c>
      <c r="C153" s="551"/>
      <c r="D153" s="466"/>
      <c r="E153" s="561"/>
      <c r="F153" s="466">
        <v>26288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169633</v>
      </c>
      <c r="G155" s="1705">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3593</v>
      </c>
      <c r="D168" s="580"/>
      <c r="E168" s="580"/>
      <c r="F168" s="580"/>
      <c r="G168" s="581"/>
      <c r="H168" s="582"/>
      <c r="I168" s="581"/>
      <c r="J168" s="581"/>
      <c r="K168" s="582"/>
    </row>
    <row r="169" spans="1:11" ht="12.75" customHeight="1" thickTop="1" thickBot="1" x14ac:dyDescent="0.25">
      <c r="A169" s="2142" t="s">
        <v>397</v>
      </c>
      <c r="B169" s="2143"/>
      <c r="C169" s="1720">
        <f t="shared" ref="C169:K169" si="6">SUM(C132,C141,C145,C146:C150,C155,C156:C167,C168)</f>
        <v>4489</v>
      </c>
      <c r="D169" s="1720">
        <f t="shared" si="6"/>
        <v>0</v>
      </c>
      <c r="E169" s="1720">
        <f t="shared" si="6"/>
        <v>0</v>
      </c>
      <c r="F169" s="1720">
        <f t="shared" si="6"/>
        <v>169633</v>
      </c>
      <c r="G169" s="1720">
        <f t="shared" si="6"/>
        <v>0</v>
      </c>
      <c r="H169" s="1720">
        <f t="shared" si="6"/>
        <v>0</v>
      </c>
      <c r="I169" s="1720">
        <f t="shared" si="6"/>
        <v>0</v>
      </c>
      <c r="J169" s="1720">
        <f t="shared" si="6"/>
        <v>0</v>
      </c>
      <c r="K169" s="1701">
        <f t="shared" si="6"/>
        <v>0</v>
      </c>
    </row>
    <row r="170" spans="1:11" ht="12.75" customHeight="1" thickTop="1" thickBot="1" x14ac:dyDescent="0.25">
      <c r="A170" s="1706" t="s">
        <v>398</v>
      </c>
      <c r="B170" s="1712" t="s">
        <v>574</v>
      </c>
      <c r="C170" s="1713">
        <f t="shared" ref="C170:K170" si="7">SUM(C122,C169)</f>
        <v>1290364</v>
      </c>
      <c r="D170" s="1713">
        <f t="shared" si="7"/>
        <v>0</v>
      </c>
      <c r="E170" s="1713">
        <f t="shared" si="7"/>
        <v>2257</v>
      </c>
      <c r="F170" s="1713">
        <f t="shared" si="7"/>
        <v>169633</v>
      </c>
      <c r="G170" s="1713">
        <f t="shared" si="7"/>
        <v>0</v>
      </c>
      <c r="H170" s="1713">
        <f t="shared" si="7"/>
        <v>0</v>
      </c>
      <c r="I170" s="1713">
        <f t="shared" si="7"/>
        <v>0</v>
      </c>
      <c r="J170" s="1713">
        <f t="shared" si="7"/>
        <v>0</v>
      </c>
      <c r="K170" s="1700">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4" t="s">
        <v>1491</v>
      </c>
      <c r="B172" s="2145"/>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8" t="s">
        <v>1664</v>
      </c>
      <c r="B175" s="2149"/>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2" t="s">
        <v>1663</v>
      </c>
      <c r="B176" s="2153"/>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v>23399</v>
      </c>
      <c r="D180" s="466"/>
      <c r="E180" s="468"/>
      <c r="F180" s="466"/>
      <c r="G180" s="466"/>
      <c r="H180" s="466"/>
      <c r="I180" s="468"/>
      <c r="J180" s="468"/>
      <c r="K180" s="466"/>
    </row>
    <row r="181" spans="1:11" ht="13.5" thickBot="1" x14ac:dyDescent="0.25">
      <c r="A181" s="2150" t="s">
        <v>784</v>
      </c>
      <c r="B181" s="2151"/>
      <c r="C181" s="1705">
        <f>SUM(C177:C180)</f>
        <v>23399</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6" t="s">
        <v>1802</v>
      </c>
      <c r="B182" s="2147"/>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6" t="s">
        <v>1606</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46394</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11597</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547</v>
      </c>
      <c r="B198" s="1707"/>
      <c r="C198" s="1686">
        <f>SUM(C190:C197)</f>
        <v>57991</v>
      </c>
      <c r="D198" s="468"/>
      <c r="E198" s="468"/>
      <c r="F198" s="468"/>
      <c r="G198" s="1686">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66348</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399</v>
      </c>
      <c r="B204" s="1707"/>
      <c r="C204" s="1705">
        <f>SUM(C200:C203)</f>
        <v>66348</v>
      </c>
      <c r="D204" s="1705">
        <f>SUM(D200:D203)</f>
        <v>0</v>
      </c>
      <c r="E204" s="468"/>
      <c r="F204" s="1705">
        <f>SUM(F200:F203)</f>
        <v>0</v>
      </c>
      <c r="G204" s="1705">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888</v>
      </c>
      <c r="B209" s="1707"/>
      <c r="C209" s="1705">
        <f>SUM(C206:C208)</f>
        <v>0</v>
      </c>
      <c r="D209" s="1705">
        <f>SUM(D206:D208)</f>
        <v>0</v>
      </c>
      <c r="E209" s="468" t="s">
        <v>1168</v>
      </c>
      <c r="F209" s="1705">
        <f>SUM(F206:F208)</f>
        <v>0</v>
      </c>
      <c r="G209" s="1705">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14835</v>
      </c>
      <c r="D213" s="466"/>
      <c r="E213" s="468"/>
      <c r="F213" s="466"/>
      <c r="G213" s="466"/>
      <c r="H213" s="468"/>
      <c r="I213" s="468"/>
      <c r="J213" s="468"/>
      <c r="K213" s="468"/>
    </row>
    <row r="214" spans="1:11" ht="12.75" customHeight="1" x14ac:dyDescent="0.2">
      <c r="A214" s="463" t="s">
        <v>1053</v>
      </c>
      <c r="B214" s="470">
        <v>4625</v>
      </c>
      <c r="C214" s="551">
        <v>431</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446</v>
      </c>
      <c r="B217" s="1707"/>
      <c r="C217" s="1705">
        <f>SUM(C211:C216)</f>
        <v>15266</v>
      </c>
      <c r="D217" s="1705">
        <f>SUM(D211:D216)</f>
        <v>0</v>
      </c>
      <c r="E217" s="468"/>
      <c r="F217" s="1705">
        <f>SUM(F211:F216)</f>
        <v>0</v>
      </c>
      <c r="G217" s="1705">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1084</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3" t="s">
        <v>773</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21517</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7" t="s">
        <v>1934</v>
      </c>
      <c r="B261" s="470">
        <v>4981</v>
      </c>
      <c r="C261" s="575"/>
      <c r="D261" s="576"/>
      <c r="E261" s="468"/>
      <c r="F261" s="576"/>
      <c r="G261" s="576"/>
      <c r="H261" s="468"/>
      <c r="I261" s="468"/>
      <c r="J261" s="468"/>
      <c r="K261" s="468"/>
    </row>
    <row r="262" spans="1:11" ht="12.75" customHeight="1" thickTop="1" thickBot="1" x14ac:dyDescent="0.25">
      <c r="A262" s="1928" t="s">
        <v>1935</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780</v>
      </c>
      <c r="D263" s="576"/>
      <c r="E263" s="468"/>
      <c r="F263" s="576"/>
      <c r="G263" s="576"/>
      <c r="H263" s="468"/>
      <c r="I263" s="468"/>
      <c r="J263" s="468"/>
      <c r="K263" s="468"/>
    </row>
    <row r="264" spans="1:11" ht="12.75" customHeight="1" thickTop="1" thickBot="1" x14ac:dyDescent="0.25">
      <c r="A264" s="463" t="s">
        <v>376</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1665</v>
      </c>
      <c r="B266" s="1725"/>
      <c r="C266" s="1713">
        <f t="shared" ref="C266:H266" si="10">SUM(C188,C198,C204,C209,C217,C221,C222,C252:C265)</f>
        <v>161902</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1085</v>
      </c>
      <c r="B267" s="1727" t="s">
        <v>859</v>
      </c>
      <c r="C267" s="1713">
        <f>SUM(C175,C181,C266)</f>
        <v>185301</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1894341</v>
      </c>
      <c r="D268" s="1713">
        <f t="shared" si="12"/>
        <v>62265</v>
      </c>
      <c r="E268" s="1713">
        <f t="shared" si="12"/>
        <v>17884</v>
      </c>
      <c r="F268" s="1713">
        <f t="shared" si="12"/>
        <v>282998</v>
      </c>
      <c r="G268" s="1713">
        <f t="shared" si="12"/>
        <v>70599</v>
      </c>
      <c r="H268" s="1713">
        <f t="shared" si="12"/>
        <v>0</v>
      </c>
      <c r="I268" s="1713">
        <f t="shared" si="12"/>
        <v>11866</v>
      </c>
      <c r="J268" s="1713">
        <f t="shared" si="12"/>
        <v>37783</v>
      </c>
      <c r="K268" s="170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6" activePane="bottomLeft" state="frozen"/>
      <selection activeCell="B31" sqref="B31"/>
      <selection pane="bottomLeft" activeCell="B31" sqref="B3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6"/>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2" t="s">
        <v>296</v>
      </c>
      <c r="B3" s="2163"/>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721033</v>
      </c>
      <c r="D5" s="466">
        <v>146666</v>
      </c>
      <c r="E5" s="466">
        <v>41799</v>
      </c>
      <c r="F5" s="466">
        <v>50974</v>
      </c>
      <c r="G5" s="466">
        <v>48317</v>
      </c>
      <c r="H5" s="466"/>
      <c r="I5" s="467"/>
      <c r="J5" s="467"/>
      <c r="K5" s="1669">
        <f>SUM(C5:J5)</f>
        <v>1008789</v>
      </c>
      <c r="L5" s="466">
        <v>892608</v>
      </c>
    </row>
    <row r="6" spans="1:14" x14ac:dyDescent="0.2">
      <c r="A6" s="1504" t="s">
        <v>1432</v>
      </c>
      <c r="B6" s="614" t="s">
        <v>1430</v>
      </c>
      <c r="C6" s="477"/>
      <c r="D6" s="477"/>
      <c r="E6" s="466"/>
      <c r="F6" s="477"/>
      <c r="G6" s="477"/>
      <c r="H6" s="477"/>
      <c r="I6" s="477"/>
      <c r="J6" s="477"/>
      <c r="K6" s="1669">
        <f>SUM(C6,E6)</f>
        <v>0</v>
      </c>
      <c r="L6" s="466"/>
    </row>
    <row r="7" spans="1:14" x14ac:dyDescent="0.2">
      <c r="A7" s="1504" t="s">
        <v>163</v>
      </c>
      <c r="B7" s="614" t="s">
        <v>966</v>
      </c>
      <c r="C7" s="467">
        <v>21439</v>
      </c>
      <c r="D7" s="467">
        <v>3712</v>
      </c>
      <c r="E7" s="467"/>
      <c r="F7" s="467"/>
      <c r="G7" s="467"/>
      <c r="H7" s="467"/>
      <c r="I7" s="467"/>
      <c r="J7" s="467"/>
      <c r="K7" s="1669">
        <f t="shared" ref="K7:K32" si="0">SUM(C7:J7)</f>
        <v>25151</v>
      </c>
      <c r="L7" s="466">
        <v>26048</v>
      </c>
    </row>
    <row r="8" spans="1:14" x14ac:dyDescent="0.2">
      <c r="A8" s="1504" t="s">
        <v>164</v>
      </c>
      <c r="B8" s="614">
        <v>1200</v>
      </c>
      <c r="C8" s="466">
        <v>166723</v>
      </c>
      <c r="D8" s="466">
        <v>28080</v>
      </c>
      <c r="E8" s="466">
        <v>244</v>
      </c>
      <c r="F8" s="466">
        <v>591</v>
      </c>
      <c r="G8" s="466"/>
      <c r="H8" s="466"/>
      <c r="I8" s="467"/>
      <c r="J8" s="467"/>
      <c r="K8" s="1669">
        <f t="shared" si="0"/>
        <v>195638</v>
      </c>
      <c r="L8" s="466">
        <v>208303</v>
      </c>
    </row>
    <row r="9" spans="1:14" x14ac:dyDescent="0.2">
      <c r="A9" s="1504" t="s">
        <v>720</v>
      </c>
      <c r="B9" s="614" t="s">
        <v>967</v>
      </c>
      <c r="C9" s="467"/>
      <c r="D9" s="467"/>
      <c r="E9" s="467"/>
      <c r="F9" s="467"/>
      <c r="G9" s="467"/>
      <c r="H9" s="467"/>
      <c r="I9" s="467"/>
      <c r="J9" s="467"/>
      <c r="K9" s="1669">
        <f t="shared" si="0"/>
        <v>0</v>
      </c>
      <c r="L9" s="466"/>
    </row>
    <row r="10" spans="1:14" x14ac:dyDescent="0.2">
      <c r="A10" s="1504" t="s">
        <v>721</v>
      </c>
      <c r="B10" s="614">
        <v>1250</v>
      </c>
      <c r="C10" s="466">
        <v>34915</v>
      </c>
      <c r="D10" s="466">
        <v>4788</v>
      </c>
      <c r="E10" s="466"/>
      <c r="F10" s="466">
        <v>9177</v>
      </c>
      <c r="G10" s="466"/>
      <c r="H10" s="466"/>
      <c r="I10" s="467"/>
      <c r="J10" s="467"/>
      <c r="K10" s="1669">
        <f t="shared" si="0"/>
        <v>48880</v>
      </c>
      <c r="L10" s="466">
        <v>133586</v>
      </c>
    </row>
    <row r="11" spans="1:14" x14ac:dyDescent="0.2">
      <c r="A11" s="1504" t="s">
        <v>1129</v>
      </c>
      <c r="B11" s="614" t="s">
        <v>161</v>
      </c>
      <c r="C11" s="467"/>
      <c r="D11" s="467"/>
      <c r="E11" s="467"/>
      <c r="F11" s="467"/>
      <c r="G11" s="467"/>
      <c r="H11" s="467"/>
      <c r="I11" s="467"/>
      <c r="J11" s="467"/>
      <c r="K11" s="1669">
        <f t="shared" si="0"/>
        <v>0</v>
      </c>
      <c r="L11" s="466"/>
    </row>
    <row r="12" spans="1:14" x14ac:dyDescent="0.2">
      <c r="A12" s="1504" t="s">
        <v>961</v>
      </c>
      <c r="B12" s="614">
        <v>1300</v>
      </c>
      <c r="C12" s="466"/>
      <c r="D12" s="466"/>
      <c r="E12" s="466"/>
      <c r="F12" s="466"/>
      <c r="G12" s="466"/>
      <c r="H12" s="466"/>
      <c r="I12" s="467"/>
      <c r="J12" s="467"/>
      <c r="K12" s="1669">
        <f t="shared" si="0"/>
        <v>0</v>
      </c>
      <c r="L12" s="466"/>
    </row>
    <row r="13" spans="1:14" x14ac:dyDescent="0.2">
      <c r="A13" s="1504" t="s">
        <v>722</v>
      </c>
      <c r="B13" s="614">
        <v>1400</v>
      </c>
      <c r="C13" s="466"/>
      <c r="D13" s="466"/>
      <c r="E13" s="466"/>
      <c r="F13" s="466"/>
      <c r="G13" s="466"/>
      <c r="H13" s="466"/>
      <c r="I13" s="467"/>
      <c r="J13" s="467"/>
      <c r="K13" s="1669">
        <f t="shared" si="0"/>
        <v>0</v>
      </c>
      <c r="L13" s="466"/>
    </row>
    <row r="14" spans="1:14" x14ac:dyDescent="0.2">
      <c r="A14" s="1504" t="s">
        <v>962</v>
      </c>
      <c r="B14" s="614">
        <v>1500</v>
      </c>
      <c r="C14" s="466">
        <v>19935</v>
      </c>
      <c r="D14" s="466">
        <v>828</v>
      </c>
      <c r="E14" s="466">
        <v>1472</v>
      </c>
      <c r="F14" s="466">
        <v>378</v>
      </c>
      <c r="G14" s="466"/>
      <c r="H14" s="466"/>
      <c r="I14" s="467"/>
      <c r="J14" s="467"/>
      <c r="K14" s="1669">
        <f t="shared" si="0"/>
        <v>22613</v>
      </c>
      <c r="L14" s="466">
        <v>21262</v>
      </c>
    </row>
    <row r="15" spans="1:14" x14ac:dyDescent="0.2">
      <c r="A15" s="1504" t="s">
        <v>963</v>
      </c>
      <c r="B15" s="614">
        <v>1600</v>
      </c>
      <c r="C15" s="466"/>
      <c r="D15" s="466"/>
      <c r="E15" s="466"/>
      <c r="F15" s="466"/>
      <c r="G15" s="466"/>
      <c r="H15" s="466"/>
      <c r="I15" s="467"/>
      <c r="J15" s="467"/>
      <c r="K15" s="1669">
        <f t="shared" si="0"/>
        <v>0</v>
      </c>
      <c r="L15" s="466"/>
    </row>
    <row r="16" spans="1:14" x14ac:dyDescent="0.2">
      <c r="A16" s="1504" t="s">
        <v>986</v>
      </c>
      <c r="B16" s="614" t="s">
        <v>423</v>
      </c>
      <c r="C16" s="466"/>
      <c r="D16" s="466"/>
      <c r="E16" s="466"/>
      <c r="F16" s="466"/>
      <c r="G16" s="466"/>
      <c r="H16" s="466"/>
      <c r="I16" s="467"/>
      <c r="J16" s="467"/>
      <c r="K16" s="1669">
        <f t="shared" si="0"/>
        <v>0</v>
      </c>
      <c r="L16" s="466"/>
    </row>
    <row r="17" spans="1:12" x14ac:dyDescent="0.2">
      <c r="A17" s="1504" t="s">
        <v>723</v>
      </c>
      <c r="B17" s="614" t="s">
        <v>162</v>
      </c>
      <c r="C17" s="467"/>
      <c r="D17" s="467"/>
      <c r="E17" s="467"/>
      <c r="F17" s="467"/>
      <c r="G17" s="467"/>
      <c r="H17" s="467"/>
      <c r="I17" s="467"/>
      <c r="J17" s="467"/>
      <c r="K17" s="1669">
        <f t="shared" si="0"/>
        <v>0</v>
      </c>
      <c r="L17" s="466"/>
    </row>
    <row r="18" spans="1:12" x14ac:dyDescent="0.2">
      <c r="A18" s="1504" t="s">
        <v>1086</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737</v>
      </c>
      <c r="B20" s="602" t="s">
        <v>724</v>
      </c>
      <c r="C20" s="477"/>
      <c r="D20" s="477"/>
      <c r="E20" s="477"/>
      <c r="F20" s="477"/>
      <c r="G20" s="477"/>
      <c r="H20" s="474"/>
      <c r="I20" s="616"/>
      <c r="J20" s="475"/>
      <c r="K20" s="1669">
        <f t="shared" si="0"/>
        <v>0</v>
      </c>
      <c r="L20" s="471"/>
    </row>
    <row r="21" spans="1:12" x14ac:dyDescent="0.2">
      <c r="A21" s="1505" t="s">
        <v>738</v>
      </c>
      <c r="B21" s="602" t="s">
        <v>725</v>
      </c>
      <c r="C21" s="477"/>
      <c r="D21" s="477"/>
      <c r="E21" s="477"/>
      <c r="F21" s="477"/>
      <c r="G21" s="477"/>
      <c r="H21" s="474"/>
      <c r="I21" s="616"/>
      <c r="J21" s="477"/>
      <c r="K21" s="1669">
        <f t="shared" si="0"/>
        <v>0</v>
      </c>
      <c r="L21" s="471"/>
    </row>
    <row r="22" spans="1:12" x14ac:dyDescent="0.2">
      <c r="A22" s="1505" t="s">
        <v>739</v>
      </c>
      <c r="B22" s="602" t="s">
        <v>726</v>
      </c>
      <c r="C22" s="477"/>
      <c r="D22" s="477"/>
      <c r="E22" s="477"/>
      <c r="F22" s="477"/>
      <c r="G22" s="477"/>
      <c r="H22" s="474"/>
      <c r="I22" s="616"/>
      <c r="J22" s="477"/>
      <c r="K22" s="1669">
        <f t="shared" si="0"/>
        <v>0</v>
      </c>
      <c r="L22" s="471"/>
    </row>
    <row r="23" spans="1:12" x14ac:dyDescent="0.2">
      <c r="A23" s="1505" t="s">
        <v>740</v>
      </c>
      <c r="B23" s="602" t="s">
        <v>727</v>
      </c>
      <c r="C23" s="477"/>
      <c r="D23" s="477"/>
      <c r="E23" s="477"/>
      <c r="F23" s="477"/>
      <c r="G23" s="477"/>
      <c r="H23" s="474"/>
      <c r="I23" s="616"/>
      <c r="J23" s="477"/>
      <c r="K23" s="1669">
        <f t="shared" si="0"/>
        <v>0</v>
      </c>
      <c r="L23" s="471"/>
    </row>
    <row r="24" spans="1:12" ht="12.75" customHeight="1" x14ac:dyDescent="0.2">
      <c r="A24" s="1505" t="s">
        <v>741</v>
      </c>
      <c r="B24" s="602" t="s">
        <v>728</v>
      </c>
      <c r="C24" s="477"/>
      <c r="D24" s="477"/>
      <c r="E24" s="477"/>
      <c r="F24" s="477"/>
      <c r="G24" s="477"/>
      <c r="H24" s="474"/>
      <c r="I24" s="616"/>
      <c r="J24" s="477"/>
      <c r="K24" s="1669">
        <f t="shared" si="0"/>
        <v>0</v>
      </c>
      <c r="L24" s="471"/>
    </row>
    <row r="25" spans="1:12" ht="12.75" customHeight="1" x14ac:dyDescent="0.2">
      <c r="A25" s="1505" t="s">
        <v>801</v>
      </c>
      <c r="B25" s="602" t="s">
        <v>729</v>
      </c>
      <c r="C25" s="477"/>
      <c r="D25" s="477"/>
      <c r="E25" s="477"/>
      <c r="F25" s="477"/>
      <c r="G25" s="477"/>
      <c r="H25" s="474"/>
      <c r="I25" s="616"/>
      <c r="J25" s="477"/>
      <c r="K25" s="1669">
        <f t="shared" si="0"/>
        <v>0</v>
      </c>
      <c r="L25" s="471"/>
    </row>
    <row r="26" spans="1:12" x14ac:dyDescent="0.2">
      <c r="A26" s="1505" t="s">
        <v>621</v>
      </c>
      <c r="B26" s="602" t="s">
        <v>730</v>
      </c>
      <c r="C26" s="477"/>
      <c r="D26" s="477"/>
      <c r="E26" s="477"/>
      <c r="F26" s="477"/>
      <c r="G26" s="477"/>
      <c r="H26" s="474"/>
      <c r="I26" s="616"/>
      <c r="J26" s="477"/>
      <c r="K26" s="1669">
        <f t="shared" si="0"/>
        <v>0</v>
      </c>
      <c r="L26" s="471"/>
    </row>
    <row r="27" spans="1:12" x14ac:dyDescent="0.2">
      <c r="A27" s="1505" t="s">
        <v>622</v>
      </c>
      <c r="B27" s="602" t="s">
        <v>731</v>
      </c>
      <c r="C27" s="477"/>
      <c r="D27" s="477"/>
      <c r="E27" s="477"/>
      <c r="F27" s="477"/>
      <c r="G27" s="477"/>
      <c r="H27" s="474"/>
      <c r="I27" s="616"/>
      <c r="J27" s="477"/>
      <c r="K27" s="1669">
        <f t="shared" si="0"/>
        <v>0</v>
      </c>
      <c r="L27" s="471"/>
    </row>
    <row r="28" spans="1:12" x14ac:dyDescent="0.2">
      <c r="A28" s="1505" t="s">
        <v>150</v>
      </c>
      <c r="B28" s="602" t="s">
        <v>732</v>
      </c>
      <c r="C28" s="477"/>
      <c r="D28" s="477"/>
      <c r="E28" s="477"/>
      <c r="F28" s="477"/>
      <c r="G28" s="477"/>
      <c r="H28" s="474"/>
      <c r="I28" s="616"/>
      <c r="J28" s="477"/>
      <c r="K28" s="1669">
        <f t="shared" si="0"/>
        <v>0</v>
      </c>
      <c r="L28" s="471"/>
    </row>
    <row r="29" spans="1:12" x14ac:dyDescent="0.2">
      <c r="A29" s="1505" t="s">
        <v>151</v>
      </c>
      <c r="B29" s="602" t="s">
        <v>733</v>
      </c>
      <c r="C29" s="477"/>
      <c r="D29" s="477"/>
      <c r="E29" s="477"/>
      <c r="F29" s="477"/>
      <c r="G29" s="477"/>
      <c r="H29" s="474"/>
      <c r="I29" s="616"/>
      <c r="J29" s="477"/>
      <c r="K29" s="1669">
        <f t="shared" si="0"/>
        <v>0</v>
      </c>
      <c r="L29" s="471"/>
    </row>
    <row r="30" spans="1:12" x14ac:dyDescent="0.2">
      <c r="A30" s="1505" t="s">
        <v>152</v>
      </c>
      <c r="B30" s="602" t="s">
        <v>734</v>
      </c>
      <c r="C30" s="477"/>
      <c r="D30" s="477"/>
      <c r="E30" s="477"/>
      <c r="F30" s="477"/>
      <c r="G30" s="477"/>
      <c r="H30" s="474"/>
      <c r="I30" s="616"/>
      <c r="J30" s="477"/>
      <c r="K30" s="1669">
        <f t="shared" si="0"/>
        <v>0</v>
      </c>
      <c r="L30" s="471"/>
    </row>
    <row r="31" spans="1:12" x14ac:dyDescent="0.2">
      <c r="A31" s="1505" t="s">
        <v>153</v>
      </c>
      <c r="B31" s="602" t="s">
        <v>735</v>
      </c>
      <c r="C31" s="477"/>
      <c r="D31" s="477"/>
      <c r="E31" s="477"/>
      <c r="F31" s="477"/>
      <c r="G31" s="477"/>
      <c r="H31" s="474"/>
      <c r="I31" s="616"/>
      <c r="J31" s="477"/>
      <c r="K31" s="1669">
        <f t="shared" si="0"/>
        <v>0</v>
      </c>
      <c r="L31" s="471"/>
    </row>
    <row r="32" spans="1:12" x14ac:dyDescent="0.2">
      <c r="A32" s="1506" t="s">
        <v>1128</v>
      </c>
      <c r="B32" s="614" t="s">
        <v>736</v>
      </c>
      <c r="C32" s="477"/>
      <c r="D32" s="477"/>
      <c r="E32" s="477"/>
      <c r="F32" s="477"/>
      <c r="G32" s="477"/>
      <c r="H32" s="474"/>
      <c r="I32" s="616"/>
      <c r="J32" s="480"/>
      <c r="K32" s="1669">
        <f t="shared" si="0"/>
        <v>0</v>
      </c>
      <c r="L32" s="471"/>
    </row>
    <row r="33" spans="1:14" ht="12.75" customHeight="1" thickBot="1" x14ac:dyDescent="0.25">
      <c r="A33" s="1666" t="s">
        <v>1667</v>
      </c>
      <c r="B33" s="1667" t="s">
        <v>569</v>
      </c>
      <c r="C33" s="1668">
        <f>SUM(C5:C32)</f>
        <v>964045</v>
      </c>
      <c r="D33" s="1668">
        <f t="shared" ref="D33:L33" si="1">SUM(D5:D32)</f>
        <v>184074</v>
      </c>
      <c r="E33" s="1668">
        <f t="shared" si="1"/>
        <v>43515</v>
      </c>
      <c r="F33" s="1668">
        <f t="shared" si="1"/>
        <v>61120</v>
      </c>
      <c r="G33" s="1668">
        <f t="shared" si="1"/>
        <v>48317</v>
      </c>
      <c r="H33" s="1668">
        <f t="shared" si="1"/>
        <v>0</v>
      </c>
      <c r="I33" s="1668">
        <f t="shared" si="1"/>
        <v>0</v>
      </c>
      <c r="J33" s="1668">
        <f t="shared" si="1"/>
        <v>0</v>
      </c>
      <c r="K33" s="1668">
        <f t="shared" si="1"/>
        <v>1301071</v>
      </c>
      <c r="L33" s="1668">
        <f t="shared" si="1"/>
        <v>1281807</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c r="D36" s="481"/>
      <c r="E36" s="481"/>
      <c r="F36" s="481"/>
      <c r="G36" s="481"/>
      <c r="H36" s="481"/>
      <c r="I36" s="467"/>
      <c r="J36" s="467"/>
      <c r="K36" s="1669">
        <f t="shared" ref="K36:K41" si="2">SUM(C36:J36)</f>
        <v>0</v>
      </c>
      <c r="L36" s="466"/>
    </row>
    <row r="37" spans="1:14" x14ac:dyDescent="0.2">
      <c r="A37" s="1504" t="s">
        <v>1089</v>
      </c>
      <c r="B37" s="614">
        <v>2120</v>
      </c>
      <c r="C37" s="466"/>
      <c r="D37" s="466"/>
      <c r="E37" s="466"/>
      <c r="F37" s="466"/>
      <c r="G37" s="466"/>
      <c r="H37" s="466"/>
      <c r="I37" s="467"/>
      <c r="J37" s="467"/>
      <c r="K37" s="1669">
        <f t="shared" si="2"/>
        <v>0</v>
      </c>
      <c r="L37" s="466"/>
    </row>
    <row r="38" spans="1:14" x14ac:dyDescent="0.2">
      <c r="A38" s="1504" t="s">
        <v>198</v>
      </c>
      <c r="B38" s="614">
        <v>2130</v>
      </c>
      <c r="C38" s="466">
        <v>10246</v>
      </c>
      <c r="D38" s="466"/>
      <c r="E38" s="466"/>
      <c r="F38" s="466">
        <v>546</v>
      </c>
      <c r="G38" s="466"/>
      <c r="H38" s="466"/>
      <c r="I38" s="467"/>
      <c r="J38" s="467"/>
      <c r="K38" s="1669">
        <f t="shared" si="2"/>
        <v>10792</v>
      </c>
      <c r="L38" s="466">
        <v>9782</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v>37101</v>
      </c>
      <c r="F40" s="466"/>
      <c r="G40" s="466"/>
      <c r="H40" s="466"/>
      <c r="I40" s="467"/>
      <c r="J40" s="467"/>
      <c r="K40" s="1669">
        <f t="shared" si="2"/>
        <v>37101</v>
      </c>
      <c r="L40" s="466">
        <v>21836</v>
      </c>
    </row>
    <row r="41" spans="1:14" x14ac:dyDescent="0.2">
      <c r="A41" s="1504" t="s">
        <v>1668</v>
      </c>
      <c r="B41" s="614">
        <v>2190</v>
      </c>
      <c r="C41" s="466"/>
      <c r="D41" s="466"/>
      <c r="E41" s="466"/>
      <c r="F41" s="466"/>
      <c r="G41" s="466"/>
      <c r="H41" s="466"/>
      <c r="I41" s="467"/>
      <c r="J41" s="467"/>
      <c r="K41" s="1669">
        <f t="shared" si="2"/>
        <v>0</v>
      </c>
      <c r="L41" s="466"/>
    </row>
    <row r="42" spans="1:14" ht="12.75" customHeight="1" thickBot="1" x14ac:dyDescent="0.25">
      <c r="A42" s="1666" t="s">
        <v>559</v>
      </c>
      <c r="B42" s="1667" t="s">
        <v>715</v>
      </c>
      <c r="C42" s="1668">
        <f>SUM(C36:C41)</f>
        <v>10246</v>
      </c>
      <c r="D42" s="1668">
        <f t="shared" ref="D42:L42" si="3">SUM(D36:D41)</f>
        <v>0</v>
      </c>
      <c r="E42" s="1668">
        <f t="shared" si="3"/>
        <v>37101</v>
      </c>
      <c r="F42" s="1668">
        <f t="shared" si="3"/>
        <v>546</v>
      </c>
      <c r="G42" s="1668">
        <f t="shared" si="3"/>
        <v>0</v>
      </c>
      <c r="H42" s="1668">
        <f t="shared" si="3"/>
        <v>0</v>
      </c>
      <c r="I42" s="1668">
        <f t="shared" si="3"/>
        <v>0</v>
      </c>
      <c r="J42" s="1668">
        <f t="shared" si="3"/>
        <v>0</v>
      </c>
      <c r="K42" s="1668">
        <f t="shared" si="3"/>
        <v>47893</v>
      </c>
      <c r="L42" s="1668">
        <f t="shared" si="3"/>
        <v>31618</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c r="D44" s="481"/>
      <c r="E44" s="481">
        <v>125</v>
      </c>
      <c r="F44" s="481"/>
      <c r="G44" s="481"/>
      <c r="H44" s="481"/>
      <c r="I44" s="467"/>
      <c r="J44" s="467"/>
      <c r="K44" s="1670">
        <f>SUM(C44:J44)</f>
        <v>125</v>
      </c>
      <c r="L44" s="481">
        <v>500</v>
      </c>
    </row>
    <row r="45" spans="1:14" x14ac:dyDescent="0.2">
      <c r="A45" s="1504" t="s">
        <v>814</v>
      </c>
      <c r="B45" s="614">
        <v>2220</v>
      </c>
      <c r="C45" s="466"/>
      <c r="D45" s="466"/>
      <c r="E45" s="466">
        <v>492</v>
      </c>
      <c r="F45" s="466"/>
      <c r="G45" s="466"/>
      <c r="H45" s="466"/>
      <c r="I45" s="467"/>
      <c r="J45" s="467"/>
      <c r="K45" s="1670">
        <f>SUM(C45:J45)</f>
        <v>492</v>
      </c>
      <c r="L45" s="466"/>
    </row>
    <row r="46" spans="1:14" x14ac:dyDescent="0.2">
      <c r="A46" s="1504" t="s">
        <v>815</v>
      </c>
      <c r="B46" s="614">
        <v>2230</v>
      </c>
      <c r="C46" s="466"/>
      <c r="D46" s="466"/>
      <c r="E46" s="466"/>
      <c r="F46" s="466"/>
      <c r="G46" s="466"/>
      <c r="H46" s="466"/>
      <c r="I46" s="467"/>
      <c r="J46" s="467"/>
      <c r="K46" s="1670">
        <f>SUM(C46:J46)</f>
        <v>0</v>
      </c>
      <c r="L46" s="466"/>
    </row>
    <row r="47" spans="1:14" ht="12.75" customHeight="1" thickBot="1" x14ac:dyDescent="0.25">
      <c r="A47" s="1666" t="s">
        <v>560</v>
      </c>
      <c r="B47" s="1667" t="s">
        <v>32</v>
      </c>
      <c r="C47" s="1668">
        <f>SUM(C44:C46)</f>
        <v>0</v>
      </c>
      <c r="D47" s="1668">
        <f t="shared" ref="D47:K47" si="4">SUM(D44:D46)</f>
        <v>0</v>
      </c>
      <c r="E47" s="1668">
        <f t="shared" si="4"/>
        <v>617</v>
      </c>
      <c r="F47" s="1668">
        <f t="shared" si="4"/>
        <v>0</v>
      </c>
      <c r="G47" s="1668">
        <f t="shared" si="4"/>
        <v>0</v>
      </c>
      <c r="H47" s="1668">
        <f t="shared" si="4"/>
        <v>0</v>
      </c>
      <c r="I47" s="1668">
        <f t="shared" si="4"/>
        <v>0</v>
      </c>
      <c r="J47" s="1668">
        <f t="shared" si="4"/>
        <v>0</v>
      </c>
      <c r="K47" s="1668">
        <f t="shared" si="4"/>
        <v>617</v>
      </c>
      <c r="L47" s="1668">
        <f>SUM(L44:L46)</f>
        <v>500</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3060</v>
      </c>
      <c r="D49" s="481"/>
      <c r="E49" s="481">
        <v>32434</v>
      </c>
      <c r="F49" s="481">
        <v>2897</v>
      </c>
      <c r="G49" s="481"/>
      <c r="H49" s="481"/>
      <c r="I49" s="467"/>
      <c r="J49" s="467"/>
      <c r="K49" s="1670">
        <f>SUM(C49:J49)</f>
        <v>38391</v>
      </c>
      <c r="L49" s="481">
        <v>36358</v>
      </c>
    </row>
    <row r="50" spans="1:14" x14ac:dyDescent="0.2">
      <c r="A50" s="1504" t="s">
        <v>817</v>
      </c>
      <c r="B50" s="614">
        <v>2320</v>
      </c>
      <c r="C50" s="466">
        <v>83553</v>
      </c>
      <c r="D50" s="466">
        <v>13587</v>
      </c>
      <c r="E50" s="466">
        <v>16</v>
      </c>
      <c r="F50" s="466">
        <v>295</v>
      </c>
      <c r="G50" s="466"/>
      <c r="H50" s="466"/>
      <c r="I50" s="467"/>
      <c r="J50" s="467"/>
      <c r="K50" s="1670">
        <f>SUM(C50:J50)</f>
        <v>97451</v>
      </c>
      <c r="L50" s="466">
        <v>102614</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297</v>
      </c>
      <c r="B52" s="627" t="s">
        <v>365</v>
      </c>
      <c r="C52" s="474"/>
      <c r="D52" s="474"/>
      <c r="E52" s="474"/>
      <c r="F52" s="474"/>
      <c r="G52" s="474"/>
      <c r="H52" s="474"/>
      <c r="I52" s="474"/>
      <c r="J52" s="474"/>
      <c r="K52" s="1670">
        <f>SUM(C52:J52)</f>
        <v>0</v>
      </c>
      <c r="L52" s="474"/>
    </row>
    <row r="53" spans="1:14" ht="12.75" customHeight="1" thickBot="1" x14ac:dyDescent="0.25">
      <c r="A53" s="1666" t="s">
        <v>716</v>
      </c>
      <c r="B53" s="1667" t="s">
        <v>33</v>
      </c>
      <c r="C53" s="1668">
        <f>SUM(C49:C52)</f>
        <v>86613</v>
      </c>
      <c r="D53" s="1668">
        <f t="shared" ref="D53:L53" si="5">SUM(D49:D52)</f>
        <v>13587</v>
      </c>
      <c r="E53" s="1668">
        <f t="shared" si="5"/>
        <v>32450</v>
      </c>
      <c r="F53" s="1668">
        <f t="shared" si="5"/>
        <v>3192</v>
      </c>
      <c r="G53" s="1668">
        <f t="shared" si="5"/>
        <v>0</v>
      </c>
      <c r="H53" s="1668">
        <f t="shared" si="5"/>
        <v>0</v>
      </c>
      <c r="I53" s="1668">
        <f t="shared" si="5"/>
        <v>0</v>
      </c>
      <c r="J53" s="1668">
        <f t="shared" si="5"/>
        <v>0</v>
      </c>
      <c r="K53" s="1668">
        <f t="shared" si="5"/>
        <v>135842</v>
      </c>
      <c r="L53" s="1668">
        <f t="shared" si="5"/>
        <v>138972</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51478</v>
      </c>
      <c r="D55" s="481">
        <v>11790</v>
      </c>
      <c r="E55" s="481">
        <v>1070</v>
      </c>
      <c r="F55" s="481"/>
      <c r="G55" s="481">
        <v>837</v>
      </c>
      <c r="H55" s="481"/>
      <c r="I55" s="467"/>
      <c r="J55" s="467"/>
      <c r="K55" s="1670">
        <f>SUM(C55:J55)</f>
        <v>65175</v>
      </c>
      <c r="L55" s="481">
        <v>67172</v>
      </c>
    </row>
    <row r="56" spans="1:14" ht="12.75" customHeight="1" x14ac:dyDescent="0.2">
      <c r="A56" s="1508" t="s">
        <v>375</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51478</v>
      </c>
      <c r="D57" s="1672">
        <f t="shared" ref="D57:K57" si="6">SUM(D55:D56)</f>
        <v>11790</v>
      </c>
      <c r="E57" s="1672">
        <f t="shared" si="6"/>
        <v>1070</v>
      </c>
      <c r="F57" s="1672">
        <f t="shared" si="6"/>
        <v>0</v>
      </c>
      <c r="G57" s="1672">
        <f t="shared" si="6"/>
        <v>837</v>
      </c>
      <c r="H57" s="1672">
        <f t="shared" si="6"/>
        <v>0</v>
      </c>
      <c r="I57" s="1672">
        <f t="shared" si="6"/>
        <v>0</v>
      </c>
      <c r="J57" s="1672">
        <f t="shared" si="6"/>
        <v>0</v>
      </c>
      <c r="K57" s="1672">
        <f t="shared" si="6"/>
        <v>65175</v>
      </c>
      <c r="L57" s="1668">
        <f>SUM(L55:L56)</f>
        <v>67172</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27707</v>
      </c>
      <c r="D59" s="481">
        <v>5375</v>
      </c>
      <c r="E59" s="481">
        <v>1102</v>
      </c>
      <c r="F59" s="481">
        <v>880</v>
      </c>
      <c r="G59" s="481"/>
      <c r="H59" s="481"/>
      <c r="I59" s="467"/>
      <c r="J59" s="467"/>
      <c r="K59" s="1670">
        <f t="shared" ref="K59:K64" si="7">SUM(C59:J59)</f>
        <v>35064</v>
      </c>
      <c r="L59" s="481">
        <v>35043</v>
      </c>
      <c r="M59" s="609"/>
      <c r="N59" s="609"/>
    </row>
    <row r="60" spans="1:14" s="343" customFormat="1" x14ac:dyDescent="0.2">
      <c r="A60" s="1504" t="s">
        <v>462</v>
      </c>
      <c r="B60" s="614">
        <v>2520</v>
      </c>
      <c r="C60" s="466"/>
      <c r="D60" s="466"/>
      <c r="E60" s="466"/>
      <c r="F60" s="466"/>
      <c r="G60" s="466"/>
      <c r="H60" s="466"/>
      <c r="I60" s="467"/>
      <c r="J60" s="467"/>
      <c r="K60" s="1670">
        <f t="shared" si="7"/>
        <v>0</v>
      </c>
      <c r="L60" s="466"/>
      <c r="M60" s="609"/>
      <c r="N60" s="609"/>
    </row>
    <row r="61" spans="1:14" s="343" customFormat="1" x14ac:dyDescent="0.2">
      <c r="A61" s="1504" t="s">
        <v>197</v>
      </c>
      <c r="B61" s="614">
        <v>2540</v>
      </c>
      <c r="C61" s="466">
        <v>60612</v>
      </c>
      <c r="D61" s="466">
        <v>10750</v>
      </c>
      <c r="E61" s="466">
        <v>53459</v>
      </c>
      <c r="F61" s="466">
        <v>8361</v>
      </c>
      <c r="G61" s="466"/>
      <c r="H61" s="466"/>
      <c r="I61" s="467"/>
      <c r="J61" s="467"/>
      <c r="K61" s="1670">
        <f t="shared" si="7"/>
        <v>133182</v>
      </c>
      <c r="L61" s="466">
        <v>125279</v>
      </c>
      <c r="M61" s="609"/>
      <c r="N61" s="609"/>
    </row>
    <row r="62" spans="1:14" s="343" customFormat="1" x14ac:dyDescent="0.2">
      <c r="A62" s="1504" t="s">
        <v>952</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57368</v>
      </c>
      <c r="D63" s="466">
        <v>7880</v>
      </c>
      <c r="E63" s="466">
        <v>2980</v>
      </c>
      <c r="F63" s="466">
        <v>46578</v>
      </c>
      <c r="G63" s="466">
        <v>2083</v>
      </c>
      <c r="H63" s="466"/>
      <c r="I63" s="467"/>
      <c r="J63" s="467"/>
      <c r="K63" s="1670">
        <f t="shared" si="7"/>
        <v>116889</v>
      </c>
      <c r="L63" s="466">
        <v>111963</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718</v>
      </c>
      <c r="B65" s="1667" t="s">
        <v>35</v>
      </c>
      <c r="C65" s="1668">
        <f>SUM(C59:C64)</f>
        <v>145687</v>
      </c>
      <c r="D65" s="1668">
        <f t="shared" ref="D65:L65" si="8">SUM(D59:D64)</f>
        <v>24005</v>
      </c>
      <c r="E65" s="1668">
        <f t="shared" si="8"/>
        <v>57541</v>
      </c>
      <c r="F65" s="1668">
        <f t="shared" si="8"/>
        <v>55819</v>
      </c>
      <c r="G65" s="1668">
        <f t="shared" si="8"/>
        <v>2083</v>
      </c>
      <c r="H65" s="1668">
        <f t="shared" si="8"/>
        <v>0</v>
      </c>
      <c r="I65" s="1668">
        <f t="shared" si="8"/>
        <v>0</v>
      </c>
      <c r="J65" s="1668">
        <f t="shared" si="8"/>
        <v>0</v>
      </c>
      <c r="K65" s="1668">
        <f t="shared" si="8"/>
        <v>285135</v>
      </c>
      <c r="L65" s="1668">
        <f t="shared" si="8"/>
        <v>272285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0">
        <f>SUM(C67:J67)</f>
        <v>0</v>
      </c>
      <c r="L67" s="481"/>
      <c r="M67" s="609"/>
      <c r="N67" s="609"/>
    </row>
    <row r="68" spans="1:14" s="343" customFormat="1" x14ac:dyDescent="0.2">
      <c r="A68" s="1504" t="s">
        <v>606</v>
      </c>
      <c r="B68" s="614">
        <v>2620</v>
      </c>
      <c r="C68" s="466"/>
      <c r="D68" s="466"/>
      <c r="E68" s="466"/>
      <c r="F68" s="466"/>
      <c r="G68" s="466"/>
      <c r="H68" s="466"/>
      <c r="I68" s="467"/>
      <c r="J68" s="467"/>
      <c r="K68" s="1670">
        <f>SUM(C68:J68)</f>
        <v>0</v>
      </c>
      <c r="L68" s="466"/>
      <c r="M68" s="609"/>
      <c r="N68" s="609"/>
    </row>
    <row r="69" spans="1:14" s="343" customFormat="1" x14ac:dyDescent="0.2">
      <c r="A69" s="1504" t="s">
        <v>1060</v>
      </c>
      <c r="B69" s="614">
        <v>2630</v>
      </c>
      <c r="C69" s="466"/>
      <c r="D69" s="466"/>
      <c r="E69" s="466"/>
      <c r="F69" s="466"/>
      <c r="G69" s="466"/>
      <c r="H69" s="466"/>
      <c r="I69" s="467"/>
      <c r="J69" s="467"/>
      <c r="K69" s="1670">
        <f>SUM(C69:J69)</f>
        <v>0</v>
      </c>
      <c r="L69" s="466"/>
      <c r="M69" s="609"/>
      <c r="N69" s="609"/>
    </row>
    <row r="70" spans="1:14" s="343" customFormat="1" x14ac:dyDescent="0.2">
      <c r="A70" s="1504" t="s">
        <v>402</v>
      </c>
      <c r="B70" s="614">
        <v>2640</v>
      </c>
      <c r="C70" s="466"/>
      <c r="D70" s="466"/>
      <c r="E70" s="466"/>
      <c r="F70" s="466"/>
      <c r="G70" s="466"/>
      <c r="H70" s="466"/>
      <c r="I70" s="467"/>
      <c r="J70" s="467"/>
      <c r="K70" s="1670">
        <f>SUM(C70:J70)</f>
        <v>0</v>
      </c>
      <c r="L70" s="466"/>
      <c r="M70" s="609"/>
      <c r="N70" s="609"/>
    </row>
    <row r="71" spans="1:14" s="343" customFormat="1" x14ac:dyDescent="0.2">
      <c r="A71" s="1504" t="s">
        <v>403</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68">
        <f>SUM(C73:J73)</f>
        <v>0</v>
      </c>
      <c r="L73" s="576"/>
      <c r="M73" s="609"/>
      <c r="N73" s="609"/>
    </row>
    <row r="74" spans="1:14" ht="12.75" customHeight="1" thickTop="1" thickBot="1" x14ac:dyDescent="0.25">
      <c r="A74" s="1666" t="s">
        <v>810</v>
      </c>
      <c r="B74" s="1674">
        <v>2000</v>
      </c>
      <c r="C74" s="1675">
        <f>SUM(C42,C47,C53,C57,C65,C72,C73)</f>
        <v>294024</v>
      </c>
      <c r="D74" s="1675">
        <f t="shared" ref="D74:K74" si="10">SUM(D42,D47,D53,D57,D65,D72,D73)</f>
        <v>49382</v>
      </c>
      <c r="E74" s="1675">
        <f t="shared" si="10"/>
        <v>128779</v>
      </c>
      <c r="F74" s="1675">
        <f t="shared" si="10"/>
        <v>59557</v>
      </c>
      <c r="G74" s="1675">
        <f t="shared" si="10"/>
        <v>2920</v>
      </c>
      <c r="H74" s="1675">
        <f t="shared" si="10"/>
        <v>0</v>
      </c>
      <c r="I74" s="1675">
        <f t="shared" si="10"/>
        <v>0</v>
      </c>
      <c r="J74" s="1675">
        <f t="shared" si="10"/>
        <v>0</v>
      </c>
      <c r="K74" s="1675">
        <f t="shared" si="10"/>
        <v>534662</v>
      </c>
      <c r="L74" s="1675">
        <f>SUM(L42,L47,L53,L57,L65,L72,L73)</f>
        <v>510547</v>
      </c>
    </row>
    <row r="75" spans="1:14" s="259" customFormat="1" ht="15.75" customHeight="1" thickTop="1" thickBot="1" x14ac:dyDescent="0.25">
      <c r="A75" s="1610" t="s">
        <v>47</v>
      </c>
      <c r="B75" s="1611" t="s">
        <v>574</v>
      </c>
      <c r="C75" s="573"/>
      <c r="D75" s="573"/>
      <c r="E75" s="573"/>
      <c r="F75" s="573"/>
      <c r="G75" s="573"/>
      <c r="H75" s="573"/>
      <c r="I75" s="531"/>
      <c r="J75" s="531"/>
      <c r="K75" s="1668">
        <f>SUM(C75:J75)</f>
        <v>0</v>
      </c>
      <c r="L75" s="576"/>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69">
        <f t="shared" ref="K78:K83" si="11">SUM(C78:J78)</f>
        <v>0</v>
      </c>
      <c r="L78" s="481"/>
    </row>
    <row r="79" spans="1:14" x14ac:dyDescent="0.2">
      <c r="A79" s="1504" t="s">
        <v>303</v>
      </c>
      <c r="B79" s="614">
        <v>4120</v>
      </c>
      <c r="C79" s="616"/>
      <c r="D79" s="616"/>
      <c r="E79" s="466">
        <v>26656</v>
      </c>
      <c r="F79" s="616"/>
      <c r="G79" s="616"/>
      <c r="H79" s="466"/>
      <c r="I79" s="477"/>
      <c r="J79" s="477"/>
      <c r="K79" s="1669">
        <f t="shared" si="11"/>
        <v>26656</v>
      </c>
      <c r="L79" s="466">
        <v>26656</v>
      </c>
    </row>
    <row r="80" spans="1:14" x14ac:dyDescent="0.2">
      <c r="A80" s="1504" t="s">
        <v>304</v>
      </c>
      <c r="B80" s="614">
        <v>4130</v>
      </c>
      <c r="C80" s="616"/>
      <c r="D80" s="616"/>
      <c r="E80" s="466"/>
      <c r="F80" s="616"/>
      <c r="G80" s="616"/>
      <c r="H80" s="466"/>
      <c r="I80" s="477"/>
      <c r="J80" s="477"/>
      <c r="K80" s="1669">
        <f t="shared" si="11"/>
        <v>0</v>
      </c>
      <c r="L80" s="466"/>
    </row>
    <row r="81" spans="1:12" x14ac:dyDescent="0.2">
      <c r="A81" s="1504" t="s">
        <v>696</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697</v>
      </c>
      <c r="B83" s="628">
        <v>4190</v>
      </c>
      <c r="C83" s="616"/>
      <c r="D83" s="616"/>
      <c r="E83" s="466"/>
      <c r="F83" s="616"/>
      <c r="G83" s="616"/>
      <c r="H83" s="466"/>
      <c r="I83" s="477"/>
      <c r="J83" s="477"/>
      <c r="K83" s="1669">
        <f t="shared" si="11"/>
        <v>0</v>
      </c>
      <c r="L83" s="466"/>
    </row>
    <row r="84" spans="1:12" ht="13.5" thickBot="1" x14ac:dyDescent="0.25">
      <c r="A84" s="1666" t="s">
        <v>1484</v>
      </c>
      <c r="B84" s="1676">
        <v>4100</v>
      </c>
      <c r="C84" s="616"/>
      <c r="D84" s="616"/>
      <c r="E84" s="1668">
        <f>SUM(E78:E83)</f>
        <v>26656</v>
      </c>
      <c r="F84" s="616"/>
      <c r="G84" s="616"/>
      <c r="H84" s="1668">
        <f>SUM(H78:H83)</f>
        <v>0</v>
      </c>
      <c r="I84" s="477"/>
      <c r="J84" s="477"/>
      <c r="K84" s="1668">
        <f>SUM(K78:K83)</f>
        <v>26656</v>
      </c>
      <c r="L84" s="1668">
        <f>SUM(L78:L83)</f>
        <v>26656</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698</v>
      </c>
      <c r="B86" s="637">
        <v>4220</v>
      </c>
      <c r="C86" s="616"/>
      <c r="D86" s="616"/>
      <c r="E86" s="638"/>
      <c r="F86" s="616"/>
      <c r="G86" s="616"/>
      <c r="H86" s="467">
        <v>86222</v>
      </c>
      <c r="I86" s="477"/>
      <c r="J86" s="477"/>
      <c r="K86" s="1675">
        <f t="shared" ref="K86:K98" si="12">H86</f>
        <v>86222</v>
      </c>
      <c r="L86" s="530">
        <v>38375</v>
      </c>
    </row>
    <row r="87" spans="1:12" ht="14.25" thickTop="1" thickBot="1" x14ac:dyDescent="0.25">
      <c r="A87" s="1513" t="s">
        <v>699</v>
      </c>
      <c r="B87" s="639">
        <v>4230</v>
      </c>
      <c r="C87" s="616"/>
      <c r="D87" s="616"/>
      <c r="E87" s="638"/>
      <c r="F87" s="616"/>
      <c r="G87" s="616"/>
      <c r="H87" s="467"/>
      <c r="I87" s="477"/>
      <c r="J87" s="477"/>
      <c r="K87" s="1675">
        <f t="shared" si="12"/>
        <v>0</v>
      </c>
      <c r="L87" s="530"/>
    </row>
    <row r="88" spans="1:12" ht="12.75" customHeight="1" thickTop="1" thickBot="1" x14ac:dyDescent="0.25">
      <c r="A88" s="1513" t="s">
        <v>764</v>
      </c>
      <c r="B88" s="639">
        <v>4240</v>
      </c>
      <c r="C88" s="616"/>
      <c r="D88" s="616"/>
      <c r="E88" s="638"/>
      <c r="F88" s="616"/>
      <c r="G88" s="616"/>
      <c r="H88" s="467"/>
      <c r="I88" s="477"/>
      <c r="J88" s="477"/>
      <c r="K88" s="1675">
        <f t="shared" si="12"/>
        <v>0</v>
      </c>
      <c r="L88" s="530"/>
    </row>
    <row r="89" spans="1:12" ht="12.75" customHeight="1" thickTop="1" thickBot="1" x14ac:dyDescent="0.25">
      <c r="A89" s="1513" t="s">
        <v>700</v>
      </c>
      <c r="B89" s="639">
        <v>4270</v>
      </c>
      <c r="C89" s="616"/>
      <c r="D89" s="616"/>
      <c r="E89" s="638"/>
      <c r="F89" s="616"/>
      <c r="G89" s="616"/>
      <c r="H89" s="467"/>
      <c r="I89" s="477"/>
      <c r="J89" s="477"/>
      <c r="K89" s="1675">
        <f t="shared" si="12"/>
        <v>0</v>
      </c>
      <c r="L89" s="530"/>
    </row>
    <row r="90" spans="1:12" ht="12.75" customHeight="1" thickTop="1" thickBot="1" x14ac:dyDescent="0.25">
      <c r="A90" s="1513" t="s">
        <v>685</v>
      </c>
      <c r="B90" s="639">
        <v>4280</v>
      </c>
      <c r="C90" s="616"/>
      <c r="D90" s="616"/>
      <c r="E90" s="638"/>
      <c r="F90" s="616"/>
      <c r="G90" s="616"/>
      <c r="H90" s="467"/>
      <c r="I90" s="477"/>
      <c r="J90" s="477"/>
      <c r="K90" s="1675">
        <f t="shared" si="12"/>
        <v>0</v>
      </c>
      <c r="L90" s="530"/>
    </row>
    <row r="91" spans="1:12" ht="12.75" customHeight="1" thickTop="1" thickBot="1" x14ac:dyDescent="0.25">
      <c r="A91" s="1513" t="s">
        <v>686</v>
      </c>
      <c r="B91" s="639">
        <v>4290</v>
      </c>
      <c r="C91" s="616"/>
      <c r="D91" s="616"/>
      <c r="E91" s="638"/>
      <c r="F91" s="616"/>
      <c r="G91" s="616"/>
      <c r="H91" s="467"/>
      <c r="I91" s="477"/>
      <c r="J91" s="477"/>
      <c r="K91" s="1675">
        <f t="shared" si="12"/>
        <v>0</v>
      </c>
      <c r="L91" s="530"/>
    </row>
    <row r="92" spans="1:12" ht="14.25" thickTop="1" thickBot="1" x14ac:dyDescent="0.25">
      <c r="A92" s="1678" t="s">
        <v>1559</v>
      </c>
      <c r="B92" s="1676">
        <v>4200</v>
      </c>
      <c r="C92" s="616"/>
      <c r="D92" s="616"/>
      <c r="E92" s="638"/>
      <c r="F92" s="616"/>
      <c r="G92" s="616"/>
      <c r="H92" s="1668">
        <f>SUM(H85:H91)</f>
        <v>86222</v>
      </c>
      <c r="I92" s="477"/>
      <c r="J92" s="477"/>
      <c r="K92" s="1675">
        <f t="shared" si="12"/>
        <v>86222</v>
      </c>
      <c r="L92" s="1668">
        <f>SUM(L85:L91)</f>
        <v>38375</v>
      </c>
    </row>
    <row r="93" spans="1:12" ht="14.25" thickTop="1" thickBot="1" x14ac:dyDescent="0.25">
      <c r="A93" s="1512" t="s">
        <v>687</v>
      </c>
      <c r="B93" s="640">
        <v>4310</v>
      </c>
      <c r="C93" s="616"/>
      <c r="D93" s="616"/>
      <c r="E93" s="638"/>
      <c r="F93" s="616"/>
      <c r="G93" s="616"/>
      <c r="H93" s="641"/>
      <c r="I93" s="477"/>
      <c r="J93" s="477"/>
      <c r="K93" s="1675">
        <f t="shared" si="12"/>
        <v>0</v>
      </c>
      <c r="L93" s="532"/>
    </row>
    <row r="94" spans="1:12" ht="12.75" customHeight="1" thickTop="1" thickBot="1" x14ac:dyDescent="0.25">
      <c r="A94" s="1513" t="s">
        <v>688</v>
      </c>
      <c r="B94" s="639">
        <v>4320</v>
      </c>
      <c r="C94" s="616"/>
      <c r="D94" s="616"/>
      <c r="E94" s="638"/>
      <c r="F94" s="616"/>
      <c r="G94" s="616"/>
      <c r="H94" s="467"/>
      <c r="I94" s="477"/>
      <c r="J94" s="477"/>
      <c r="K94" s="1675">
        <f t="shared" si="12"/>
        <v>0</v>
      </c>
      <c r="L94" s="530"/>
    </row>
    <row r="95" spans="1:12" ht="15" customHeight="1" thickTop="1" thickBot="1" x14ac:dyDescent="0.25">
      <c r="A95" s="1513" t="s">
        <v>1487</v>
      </c>
      <c r="B95" s="639">
        <v>4330</v>
      </c>
      <c r="C95" s="616"/>
      <c r="D95" s="616"/>
      <c r="E95" s="638"/>
      <c r="F95" s="616"/>
      <c r="G95" s="616"/>
      <c r="H95" s="467"/>
      <c r="I95" s="477"/>
      <c r="J95" s="477"/>
      <c r="K95" s="1675">
        <f t="shared" si="12"/>
        <v>0</v>
      </c>
      <c r="L95" s="530"/>
    </row>
    <row r="96" spans="1:12" ht="14.25" thickTop="1" thickBot="1" x14ac:dyDescent="0.25">
      <c r="A96" s="1513" t="s">
        <v>689</v>
      </c>
      <c r="B96" s="639">
        <v>4340</v>
      </c>
      <c r="C96" s="616"/>
      <c r="D96" s="616"/>
      <c r="E96" s="638"/>
      <c r="F96" s="616"/>
      <c r="G96" s="616"/>
      <c r="H96" s="467"/>
      <c r="I96" s="477"/>
      <c r="J96" s="477"/>
      <c r="K96" s="1675">
        <f t="shared" si="12"/>
        <v>0</v>
      </c>
      <c r="L96" s="530"/>
    </row>
    <row r="97" spans="1:14" ht="12.75" customHeight="1" thickTop="1" thickBot="1" x14ac:dyDescent="0.25">
      <c r="A97" s="1513" t="s">
        <v>762</v>
      </c>
      <c r="B97" s="639">
        <v>4370</v>
      </c>
      <c r="C97" s="616"/>
      <c r="D97" s="616"/>
      <c r="E97" s="638"/>
      <c r="F97" s="616"/>
      <c r="G97" s="616"/>
      <c r="H97" s="467"/>
      <c r="I97" s="477"/>
      <c r="J97" s="477"/>
      <c r="K97" s="1675">
        <f t="shared" si="12"/>
        <v>0</v>
      </c>
      <c r="L97" s="530"/>
    </row>
    <row r="98" spans="1:14" ht="14.25" thickTop="1" thickBot="1" x14ac:dyDescent="0.25">
      <c r="A98" s="1513" t="s">
        <v>763</v>
      </c>
      <c r="B98" s="639">
        <v>4380</v>
      </c>
      <c r="C98" s="616"/>
      <c r="D98" s="616"/>
      <c r="E98" s="642"/>
      <c r="F98" s="616"/>
      <c r="G98" s="616"/>
      <c r="H98" s="467"/>
      <c r="I98" s="477"/>
      <c r="J98" s="477"/>
      <c r="K98" s="1675">
        <f t="shared" si="12"/>
        <v>0</v>
      </c>
      <c r="L98" s="530"/>
    </row>
    <row r="99" spans="1:14" ht="14.25" thickTop="1" thickBot="1" x14ac:dyDescent="0.25">
      <c r="A99" s="1513" t="s">
        <v>366</v>
      </c>
      <c r="B99" s="639">
        <v>4390</v>
      </c>
      <c r="C99" s="616"/>
      <c r="D99" s="616"/>
      <c r="E99" s="532"/>
      <c r="F99" s="616"/>
      <c r="G99" s="616"/>
      <c r="H99" s="467"/>
      <c r="I99" s="477"/>
      <c r="J99" s="477"/>
      <c r="K99" s="1675">
        <f>SUM(E99,H99)</f>
        <v>0</v>
      </c>
      <c r="L99" s="530"/>
    </row>
    <row r="100" spans="1:14" ht="14.25" thickTop="1" thickBot="1" x14ac:dyDescent="0.25">
      <c r="A100" s="1678" t="s">
        <v>1485</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1488</v>
      </c>
      <c r="B101" s="643" t="s">
        <v>930</v>
      </c>
      <c r="C101" s="616"/>
      <c r="D101" s="616"/>
      <c r="E101" s="531"/>
      <c r="F101" s="616"/>
      <c r="G101" s="616"/>
      <c r="H101" s="531"/>
      <c r="I101" s="477"/>
      <c r="J101" s="477"/>
      <c r="K101" s="1677">
        <f>SUM(C101:J101)</f>
        <v>0</v>
      </c>
      <c r="L101" s="530"/>
    </row>
    <row r="102" spans="1:14" ht="12.75" customHeight="1" thickTop="1" thickBot="1" x14ac:dyDescent="0.25">
      <c r="A102" s="1666" t="s">
        <v>1486</v>
      </c>
      <c r="B102" s="1676">
        <v>4000</v>
      </c>
      <c r="C102" s="616"/>
      <c r="D102" s="616"/>
      <c r="E102" s="1675">
        <f>SUM(E84,E92,E100,E101)</f>
        <v>26656</v>
      </c>
      <c r="F102" s="616"/>
      <c r="G102" s="616"/>
      <c r="H102" s="1675">
        <f>SUM(H84,H92,H100,H101)</f>
        <v>86222</v>
      </c>
      <c r="I102" s="477"/>
      <c r="J102" s="477"/>
      <c r="K102" s="1675">
        <f>SUM(K84,K92,K100,K101)</f>
        <v>112878</v>
      </c>
      <c r="L102" s="1675">
        <f>SUM(L84,L92,L100,L101)</f>
        <v>65031</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588</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1101</v>
      </c>
      <c r="B110" s="1673" t="s">
        <v>717</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637</v>
      </c>
      <c r="B112" s="1667" t="s">
        <v>491</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1258069</v>
      </c>
      <c r="D114" s="1668">
        <f t="shared" ref="D114:K114" si="13">SUM(D33,D74,D75,D102,D112,D113)</f>
        <v>233456</v>
      </c>
      <c r="E114" s="1668">
        <f t="shared" si="13"/>
        <v>198950</v>
      </c>
      <c r="F114" s="1668">
        <f t="shared" si="13"/>
        <v>120677</v>
      </c>
      <c r="G114" s="1668">
        <f t="shared" si="13"/>
        <v>51237</v>
      </c>
      <c r="H114" s="1668">
        <f>SUM(H33,H74,H75,H102,H112,H113)</f>
        <v>86222</v>
      </c>
      <c r="I114" s="1668">
        <f t="shared" si="13"/>
        <v>0</v>
      </c>
      <c r="J114" s="1668">
        <f t="shared" si="13"/>
        <v>0</v>
      </c>
      <c r="K114" s="1668">
        <f t="shared" si="13"/>
        <v>1948611</v>
      </c>
      <c r="L114" s="1668">
        <f>SUM(L33,L74,L75,L102,L112,L113)</f>
        <v>1857385</v>
      </c>
    </row>
    <row r="115" spans="1:14" ht="13.5" thickTop="1" x14ac:dyDescent="0.2">
      <c r="A115" s="2154" t="s">
        <v>995</v>
      </c>
      <c r="B115" s="2155"/>
      <c r="C115" s="618"/>
      <c r="D115" s="618"/>
      <c r="E115" s="618"/>
      <c r="F115" s="618"/>
      <c r="G115" s="618"/>
      <c r="H115" s="618"/>
      <c r="I115" s="618"/>
      <c r="J115" s="618"/>
      <c r="K115" s="1682">
        <f>'Revenues 9-14'!C268-'Expenditures 15-22'!K114</f>
        <v>-54270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295</v>
      </c>
      <c r="B117" s="2160"/>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2057</v>
      </c>
      <c r="B120" s="628" t="s">
        <v>715</v>
      </c>
      <c r="C120" s="466"/>
      <c r="D120" s="466"/>
      <c r="E120" s="466"/>
      <c r="F120" s="466"/>
      <c r="G120" s="466"/>
      <c r="H120" s="466"/>
      <c r="I120" s="467"/>
      <c r="J120" s="467"/>
      <c r="K120" s="1669">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c r="H123" s="466"/>
      <c r="I123" s="467"/>
      <c r="J123" s="467"/>
      <c r="K123" s="1668">
        <f>SUM(C123:J123)</f>
        <v>0</v>
      </c>
      <c r="L123" s="466"/>
    </row>
    <row r="124" spans="1:14" ht="14.25" thickTop="1" thickBot="1" x14ac:dyDescent="0.25">
      <c r="A124" s="1504" t="s">
        <v>197</v>
      </c>
      <c r="B124" s="614">
        <v>2540</v>
      </c>
      <c r="C124" s="466"/>
      <c r="D124" s="466"/>
      <c r="E124" s="466">
        <v>20831</v>
      </c>
      <c r="F124" s="466">
        <v>21508</v>
      </c>
      <c r="G124" s="466">
        <v>26311</v>
      </c>
      <c r="H124" s="466"/>
      <c r="I124" s="467"/>
      <c r="J124" s="467"/>
      <c r="K124" s="1668">
        <f>SUM(C124:J124)</f>
        <v>68650</v>
      </c>
      <c r="L124" s="466">
        <v>53598</v>
      </c>
    </row>
    <row r="125" spans="1:14" ht="14.25" thickTop="1" thickBot="1" x14ac:dyDescent="0.25">
      <c r="A125" s="1504" t="s">
        <v>952</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718</v>
      </c>
      <c r="B127" s="1667" t="s">
        <v>35</v>
      </c>
      <c r="C127" s="1668">
        <f>SUM(C122:C126)</f>
        <v>0</v>
      </c>
      <c r="D127" s="1668">
        <f t="shared" ref="D127:L127" si="14">SUM(D122:D126)</f>
        <v>0</v>
      </c>
      <c r="E127" s="1668">
        <f t="shared" si="14"/>
        <v>20831</v>
      </c>
      <c r="F127" s="1668">
        <f t="shared" si="14"/>
        <v>21508</v>
      </c>
      <c r="G127" s="1668">
        <f t="shared" si="14"/>
        <v>26311</v>
      </c>
      <c r="H127" s="1668">
        <f t="shared" si="14"/>
        <v>0</v>
      </c>
      <c r="I127" s="1668">
        <f t="shared" si="14"/>
        <v>0</v>
      </c>
      <c r="J127" s="1668">
        <f t="shared" si="14"/>
        <v>0</v>
      </c>
      <c r="K127" s="1668">
        <f t="shared" si="14"/>
        <v>68650</v>
      </c>
      <c r="L127" s="1668">
        <f t="shared" si="14"/>
        <v>53598</v>
      </c>
    </row>
    <row r="128" spans="1:14" ht="12.75" customHeight="1" thickTop="1" x14ac:dyDescent="0.2">
      <c r="A128" s="1511" t="s">
        <v>979</v>
      </c>
      <c r="B128" s="655" t="s">
        <v>573</v>
      </c>
      <c r="C128" s="656"/>
      <c r="D128" s="656"/>
      <c r="E128" s="656"/>
      <c r="F128" s="656"/>
      <c r="G128" s="656"/>
      <c r="H128" s="656"/>
      <c r="I128" s="535"/>
      <c r="J128" s="535"/>
      <c r="K128" s="1683">
        <f>SUM(C128:J128)</f>
        <v>0</v>
      </c>
      <c r="L128" s="656"/>
    </row>
    <row r="129" spans="1:14" ht="12.75" customHeight="1" thickBot="1" x14ac:dyDescent="0.25">
      <c r="A129" s="1684" t="s">
        <v>810</v>
      </c>
      <c r="B129" s="1685" t="s">
        <v>568</v>
      </c>
      <c r="C129" s="1675">
        <f>SUM(C120,C127,C128)</f>
        <v>0</v>
      </c>
      <c r="D129" s="1675">
        <f t="shared" ref="D129:L129" si="15">SUM(D120,D127,D128)</f>
        <v>0</v>
      </c>
      <c r="E129" s="1675">
        <f t="shared" si="15"/>
        <v>20831</v>
      </c>
      <c r="F129" s="1675">
        <f t="shared" si="15"/>
        <v>21508</v>
      </c>
      <c r="G129" s="1675">
        <f t="shared" si="15"/>
        <v>26311</v>
      </c>
      <c r="H129" s="1675">
        <f t="shared" si="15"/>
        <v>0</v>
      </c>
      <c r="I129" s="1675">
        <f t="shared" si="15"/>
        <v>0</v>
      </c>
      <c r="J129" s="1675">
        <f t="shared" si="15"/>
        <v>0</v>
      </c>
      <c r="K129" s="1675">
        <f t="shared" si="15"/>
        <v>68650</v>
      </c>
      <c r="L129" s="1675">
        <f t="shared" si="15"/>
        <v>53598</v>
      </c>
    </row>
    <row r="130" spans="1:14" ht="15.75" customHeight="1" thickTop="1" thickBot="1" x14ac:dyDescent="0.25">
      <c r="A130" s="1610" t="s">
        <v>1035</v>
      </c>
      <c r="B130" s="1611" t="s">
        <v>574</v>
      </c>
      <c r="C130" s="576"/>
      <c r="D130" s="576"/>
      <c r="E130" s="576"/>
      <c r="F130" s="576"/>
      <c r="G130" s="576"/>
      <c r="H130" s="576"/>
      <c r="I130" s="531"/>
      <c r="J130" s="531"/>
      <c r="K130" s="1668">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38" t="s">
        <v>1843</v>
      </c>
      <c r="C133" s="468"/>
      <c r="D133" s="468"/>
      <c r="E133" s="641"/>
      <c r="F133" s="468"/>
      <c r="G133" s="468"/>
      <c r="H133" s="641"/>
      <c r="I133" s="468"/>
      <c r="J133" s="468"/>
      <c r="K133" s="1819">
        <f>SUM(E133,H133)</f>
        <v>0</v>
      </c>
      <c r="L133" s="641"/>
      <c r="M133" s="206"/>
      <c r="N133" s="206"/>
    </row>
    <row r="134" spans="1:14" x14ac:dyDescent="0.2">
      <c r="A134" s="1504" t="s">
        <v>303</v>
      </c>
      <c r="B134" s="614">
        <v>4120</v>
      </c>
      <c r="C134" s="616"/>
      <c r="D134" s="616"/>
      <c r="E134" s="478"/>
      <c r="F134" s="616"/>
      <c r="G134" s="616"/>
      <c r="H134" s="481"/>
      <c r="I134" s="477"/>
      <c r="J134" s="616"/>
      <c r="K134" s="1670">
        <f>SUM(E134,H134)</f>
        <v>0</v>
      </c>
      <c r="L134" s="481"/>
    </row>
    <row r="135" spans="1:14" x14ac:dyDescent="0.2">
      <c r="A135" s="1504" t="s">
        <v>696</v>
      </c>
      <c r="B135" s="614">
        <v>4140</v>
      </c>
      <c r="C135" s="616"/>
      <c r="D135" s="616"/>
      <c r="E135" s="467"/>
      <c r="F135" s="616"/>
      <c r="G135" s="616"/>
      <c r="H135" s="466"/>
      <c r="I135" s="477"/>
      <c r="J135" s="616"/>
      <c r="K135" s="1670">
        <f>SUM(E135,H135)</f>
        <v>0</v>
      </c>
      <c r="L135" s="466"/>
    </row>
    <row r="136" spans="1:14" x14ac:dyDescent="0.2">
      <c r="A136" s="1508" t="s">
        <v>697</v>
      </c>
      <c r="B136" s="628">
        <v>4190</v>
      </c>
      <c r="C136" s="616"/>
      <c r="D136" s="616"/>
      <c r="E136" s="467"/>
      <c r="F136" s="616"/>
      <c r="G136" s="616"/>
      <c r="H136" s="466"/>
      <c r="I136" s="477"/>
      <c r="J136" s="616"/>
      <c r="K136" s="1670">
        <f>SUM(E136,H136)</f>
        <v>0</v>
      </c>
      <c r="L136" s="466"/>
    </row>
    <row r="137" spans="1:14" ht="12.75" customHeight="1" thickBot="1" x14ac:dyDescent="0.25">
      <c r="A137" s="1666" t="s">
        <v>479</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930</v>
      </c>
      <c r="C138" s="616"/>
      <c r="D138" s="616"/>
      <c r="E138" s="479"/>
      <c r="F138" s="616"/>
      <c r="G138" s="616"/>
      <c r="H138" s="576"/>
      <c r="I138" s="477"/>
      <c r="J138" s="616"/>
      <c r="K138" s="1670">
        <f>SUM(E138,H138)</f>
        <v>0</v>
      </c>
      <c r="L138" s="576"/>
    </row>
    <row r="139" spans="1:14" ht="12.75" customHeight="1" thickTop="1" thickBot="1" x14ac:dyDescent="0.25">
      <c r="A139" s="1666" t="s">
        <v>1486</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1169</v>
      </c>
      <c r="B144" s="628" t="s">
        <v>616</v>
      </c>
      <c r="C144" s="616"/>
      <c r="D144" s="616"/>
      <c r="E144" s="616"/>
      <c r="F144" s="616"/>
      <c r="G144" s="616"/>
      <c r="H144" s="466"/>
      <c r="I144" s="468"/>
      <c r="J144" s="616"/>
      <c r="K144" s="1670">
        <f>SUM(H144)</f>
        <v>0</v>
      </c>
      <c r="L144" s="466"/>
    </row>
    <row r="145" spans="1:14" x14ac:dyDescent="0.2">
      <c r="A145" s="1504" t="s">
        <v>89</v>
      </c>
      <c r="B145" s="614" t="s">
        <v>588</v>
      </c>
      <c r="C145" s="616"/>
      <c r="D145" s="616"/>
      <c r="E145" s="616"/>
      <c r="F145" s="616"/>
      <c r="G145" s="616"/>
      <c r="H145" s="466"/>
      <c r="I145" s="468"/>
      <c r="J145" s="616"/>
      <c r="K145" s="1670">
        <f>SUM(H145)</f>
        <v>0</v>
      </c>
      <c r="L145" s="466"/>
    </row>
    <row r="146" spans="1:14" ht="12.75" customHeight="1" x14ac:dyDescent="0.2">
      <c r="A146" s="1504" t="s">
        <v>618</v>
      </c>
      <c r="B146" s="614" t="s">
        <v>617</v>
      </c>
      <c r="C146" s="616"/>
      <c r="D146" s="616"/>
      <c r="E146" s="616"/>
      <c r="F146" s="616"/>
      <c r="G146" s="616"/>
      <c r="H146" s="466"/>
      <c r="I146" s="468"/>
      <c r="J146" s="616"/>
      <c r="K146" s="1670">
        <f>SUM(H146)</f>
        <v>0</v>
      </c>
      <c r="L146" s="466"/>
    </row>
    <row r="147" spans="1:14" ht="12.75" customHeight="1" thickBot="1" x14ac:dyDescent="0.25">
      <c r="A147" s="1515" t="s">
        <v>625</v>
      </c>
      <c r="B147" s="659" t="s">
        <v>717</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1102</v>
      </c>
      <c r="B148" s="661" t="s">
        <v>38</v>
      </c>
      <c r="C148" s="616"/>
      <c r="D148" s="616"/>
      <c r="E148" s="616"/>
      <c r="F148" s="616"/>
      <c r="G148" s="616"/>
      <c r="H148" s="479"/>
      <c r="I148" s="468"/>
      <c r="J148" s="616"/>
      <c r="K148" s="1670">
        <f>SUM(H148)</f>
        <v>0</v>
      </c>
      <c r="L148" s="492"/>
    </row>
    <row r="149" spans="1:14" ht="12.75" customHeight="1" thickBot="1" x14ac:dyDescent="0.25">
      <c r="A149" s="1507" t="s">
        <v>637</v>
      </c>
      <c r="B149" s="617" t="s">
        <v>491</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1" t="s">
        <v>619</v>
      </c>
      <c r="B151" s="2151"/>
      <c r="C151" s="1668">
        <f>SUM(C129,C130,C139,C149,C150)</f>
        <v>0</v>
      </c>
      <c r="D151" s="1668">
        <f t="shared" ref="D151:K151" si="16">SUM(D129,D130,D139,D149,D150)</f>
        <v>0</v>
      </c>
      <c r="E151" s="1668">
        <f t="shared" si="16"/>
        <v>20831</v>
      </c>
      <c r="F151" s="1668">
        <f t="shared" si="16"/>
        <v>21508</v>
      </c>
      <c r="G151" s="1668">
        <f t="shared" si="16"/>
        <v>26311</v>
      </c>
      <c r="H151" s="1668">
        <f t="shared" si="16"/>
        <v>0</v>
      </c>
      <c r="I151" s="1668">
        <f t="shared" si="16"/>
        <v>0</v>
      </c>
      <c r="J151" s="1668">
        <f t="shared" si="16"/>
        <v>0</v>
      </c>
      <c r="K151" s="1668">
        <f t="shared" si="16"/>
        <v>68650</v>
      </c>
      <c r="L151" s="1668">
        <f>SUM(L129,L130,L139,L149,L150)</f>
        <v>53598</v>
      </c>
    </row>
    <row r="152" spans="1:14" ht="12.75" customHeight="1" thickTop="1" x14ac:dyDescent="0.2">
      <c r="A152" s="2174" t="s">
        <v>1177</v>
      </c>
      <c r="B152" s="2175"/>
      <c r="C152" s="618"/>
      <c r="D152" s="618"/>
      <c r="E152" s="618"/>
      <c r="F152" s="618"/>
      <c r="G152" s="618"/>
      <c r="H152" s="618"/>
      <c r="I152" s="618"/>
      <c r="J152" s="616"/>
      <c r="K152" s="1682">
        <f>'Revenues 9-14'!D268-'Expenditures 15-22'!K151</f>
        <v>-6385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620</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39"/>
      <c r="I155" s="616"/>
      <c r="J155" s="616"/>
      <c r="K155" s="1823"/>
      <c r="L155" s="1839"/>
      <c r="M155" s="619"/>
      <c r="N155" s="619"/>
    </row>
    <row r="156" spans="1:14" s="620" customFormat="1" ht="15.75" customHeight="1" thickTop="1" x14ac:dyDescent="0.2">
      <c r="A156" s="1820" t="s">
        <v>1844</v>
      </c>
      <c r="B156" s="1821"/>
      <c r="C156" s="616"/>
      <c r="D156" s="616"/>
      <c r="E156" s="616"/>
      <c r="F156" s="616"/>
      <c r="G156" s="616"/>
      <c r="H156" s="1840"/>
      <c r="I156" s="616"/>
      <c r="J156" s="616"/>
      <c r="K156" s="1822"/>
      <c r="L156" s="1840"/>
      <c r="M156" s="619"/>
      <c r="N156" s="619"/>
    </row>
    <row r="157" spans="1:14" s="620" customFormat="1" ht="12" x14ac:dyDescent="0.2">
      <c r="A157" s="1824" t="s">
        <v>495</v>
      </c>
      <c r="B157" s="1825" t="s">
        <v>1843</v>
      </c>
      <c r="C157" s="616"/>
      <c r="D157" s="616"/>
      <c r="E157" s="616"/>
      <c r="F157" s="616"/>
      <c r="G157" s="616"/>
      <c r="H157" s="641"/>
      <c r="I157" s="616"/>
      <c r="J157" s="616"/>
      <c r="K157" s="1669">
        <f>H157</f>
        <v>0</v>
      </c>
      <c r="L157" s="467"/>
      <c r="M157" s="619"/>
      <c r="N157" s="619"/>
    </row>
    <row r="158" spans="1:14" s="620" customFormat="1" ht="12" x14ac:dyDescent="0.2">
      <c r="A158" s="1824" t="s">
        <v>303</v>
      </c>
      <c r="B158" s="1825" t="s">
        <v>1845</v>
      </c>
      <c r="C158" s="616"/>
      <c r="D158" s="616"/>
      <c r="E158" s="616"/>
      <c r="F158" s="616"/>
      <c r="G158" s="616"/>
      <c r="H158" s="467"/>
      <c r="I158" s="616"/>
      <c r="J158" s="616"/>
      <c r="K158" s="1669">
        <f>H158</f>
        <v>0</v>
      </c>
      <c r="L158" s="467"/>
      <c r="M158" s="619"/>
      <c r="N158" s="619"/>
    </row>
    <row r="159" spans="1:14" s="620" customFormat="1" ht="12" x14ac:dyDescent="0.2">
      <c r="A159" s="1824" t="s">
        <v>1846</v>
      </c>
      <c r="B159" s="1825" t="s">
        <v>557</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1847</v>
      </c>
      <c r="B160" s="1827" t="s">
        <v>859</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1169</v>
      </c>
      <c r="B165" s="614" t="s">
        <v>616</v>
      </c>
      <c r="C165" s="616"/>
      <c r="D165" s="616"/>
      <c r="E165" s="616"/>
      <c r="F165" s="616"/>
      <c r="G165" s="616"/>
      <c r="H165" s="466"/>
      <c r="I165" s="616"/>
      <c r="J165" s="616"/>
      <c r="K165" s="1669">
        <f>SUM(C165:J165)</f>
        <v>0</v>
      </c>
      <c r="L165" s="466"/>
    </row>
    <row r="166" spans="1:14" x14ac:dyDescent="0.2">
      <c r="A166" s="1504" t="s">
        <v>89</v>
      </c>
      <c r="B166" s="628" t="s">
        <v>588</v>
      </c>
      <c r="C166" s="616"/>
      <c r="D166" s="616"/>
      <c r="E166" s="616"/>
      <c r="F166" s="616"/>
      <c r="G166" s="616"/>
      <c r="H166" s="466"/>
      <c r="I166" s="616"/>
      <c r="J166" s="616"/>
      <c r="K166" s="1669">
        <f>SUM(C166:J166)</f>
        <v>0</v>
      </c>
      <c r="L166" s="466"/>
    </row>
    <row r="167" spans="1:14" ht="12.75" customHeight="1" x14ac:dyDescent="0.2">
      <c r="A167" s="1504" t="s">
        <v>618</v>
      </c>
      <c r="B167" s="614" t="s">
        <v>617</v>
      </c>
      <c r="C167" s="616"/>
      <c r="D167" s="616"/>
      <c r="E167" s="616"/>
      <c r="F167" s="616"/>
      <c r="G167" s="616"/>
      <c r="H167" s="466"/>
      <c r="I167" s="616"/>
      <c r="J167" s="616"/>
      <c r="K167" s="1669">
        <f>SUM(C167:J167)</f>
        <v>0</v>
      </c>
      <c r="L167" s="466"/>
    </row>
    <row r="168" spans="1:14" ht="13.5" thickBot="1" x14ac:dyDescent="0.25">
      <c r="A168" s="1666" t="s">
        <v>275</v>
      </c>
      <c r="B168" s="1673" t="s">
        <v>717</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442</v>
      </c>
      <c r="I169" s="616"/>
      <c r="J169" s="616"/>
      <c r="K169" s="1669">
        <f>SUM(C169:H169)</f>
        <v>442</v>
      </c>
      <c r="L169" s="656"/>
    </row>
    <row r="170" spans="1:14" ht="33.75" customHeight="1" x14ac:dyDescent="0.2">
      <c r="A170" s="669" t="s">
        <v>1669</v>
      </c>
      <c r="B170" s="671" t="s">
        <v>31</v>
      </c>
      <c r="C170" s="616"/>
      <c r="D170" s="616"/>
      <c r="E170" s="616"/>
      <c r="F170" s="616"/>
      <c r="G170" s="616"/>
      <c r="H170" s="569">
        <v>17322</v>
      </c>
      <c r="I170" s="616"/>
      <c r="J170" s="616"/>
      <c r="K170" s="1669">
        <f>SUM(C170:J170)</f>
        <v>17322</v>
      </c>
      <c r="L170" s="569">
        <v>15300</v>
      </c>
    </row>
    <row r="171" spans="1:14" ht="15.75" customHeight="1" x14ac:dyDescent="0.2">
      <c r="A171" s="621" t="s">
        <v>765</v>
      </c>
      <c r="B171" s="672" t="s">
        <v>84</v>
      </c>
      <c r="C171" s="616"/>
      <c r="D171" s="616"/>
      <c r="E171" s="466"/>
      <c r="F171" s="616"/>
      <c r="G171" s="616"/>
      <c r="H171" s="569">
        <v>250</v>
      </c>
      <c r="I171" s="477"/>
      <c r="J171" s="616"/>
      <c r="K171" s="1669">
        <f>SUM(C171:J171)</f>
        <v>250</v>
      </c>
      <c r="L171" s="569"/>
    </row>
    <row r="172" spans="1:14" ht="12.75" customHeight="1" thickBot="1" x14ac:dyDescent="0.25">
      <c r="A172" s="1666" t="s">
        <v>637</v>
      </c>
      <c r="B172" s="1667" t="s">
        <v>491</v>
      </c>
      <c r="C172" s="616"/>
      <c r="D172" s="616"/>
      <c r="E172" s="1675">
        <f>SUM(E168,E169,E170,E171)</f>
        <v>0</v>
      </c>
      <c r="F172" s="616"/>
      <c r="G172" s="616"/>
      <c r="H172" s="1675">
        <f>SUM(H168,H169,H170,H171)</f>
        <v>18014</v>
      </c>
      <c r="I172" s="638"/>
      <c r="J172" s="616"/>
      <c r="K172" s="1675">
        <f>SUM(K168,K169,K170,K171)</f>
        <v>18014</v>
      </c>
      <c r="L172" s="1675">
        <f>SUM(L168,L169,L170,L171)</f>
        <v>15300</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18014</v>
      </c>
      <c r="I174" s="638"/>
      <c r="J174" s="616"/>
      <c r="K174" s="1675">
        <f>SUM(K160,K172,K173)</f>
        <v>18014</v>
      </c>
      <c r="L174" s="1675">
        <f>SUM(L160,L172,L173)</f>
        <v>15300</v>
      </c>
    </row>
    <row r="175" spans="1:14" ht="13.5" thickTop="1" x14ac:dyDescent="0.2">
      <c r="A175" s="2154" t="s">
        <v>995</v>
      </c>
      <c r="B175" s="2155"/>
      <c r="C175" s="616"/>
      <c r="D175" s="616"/>
      <c r="E175" s="616"/>
      <c r="F175" s="616"/>
      <c r="G175" s="616"/>
      <c r="H175" s="618"/>
      <c r="I175" s="616"/>
      <c r="J175" s="616"/>
      <c r="K175" s="1682">
        <f>'Revenues 9-14'!E268-'Expenditures 15-22'!K174</f>
        <v>-130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2057</v>
      </c>
      <c r="B180" s="614" t="s">
        <v>715</v>
      </c>
      <c r="C180" s="466"/>
      <c r="D180" s="466"/>
      <c r="E180" s="466"/>
      <c r="F180" s="466"/>
      <c r="G180" s="466"/>
      <c r="H180" s="466"/>
      <c r="I180" s="467"/>
      <c r="J180" s="467"/>
      <c r="K180" s="1669">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176292</v>
      </c>
      <c r="D182" s="466">
        <v>10247</v>
      </c>
      <c r="E182" s="466">
        <v>13218</v>
      </c>
      <c r="F182" s="466">
        <v>23435</v>
      </c>
      <c r="G182" s="466">
        <v>158816</v>
      </c>
      <c r="H182" s="466"/>
      <c r="I182" s="467"/>
      <c r="J182" s="467"/>
      <c r="K182" s="1669">
        <f>SUM(C182:J182)</f>
        <v>382008</v>
      </c>
      <c r="L182" s="466">
        <v>237708</v>
      </c>
    </row>
    <row r="183" spans="1:14" ht="12.75" customHeight="1" thickBot="1" x14ac:dyDescent="0.25">
      <c r="A183" s="1509" t="s">
        <v>979</v>
      </c>
      <c r="B183" s="677">
        <v>2900</v>
      </c>
      <c r="C183" s="573"/>
      <c r="D183" s="573"/>
      <c r="E183" s="573"/>
      <c r="F183" s="573"/>
      <c r="G183" s="573"/>
      <c r="H183" s="573"/>
      <c r="I183" s="532"/>
      <c r="J183" s="532"/>
      <c r="K183" s="1675">
        <f>SUM(C183:J183)</f>
        <v>0</v>
      </c>
      <c r="L183" s="573"/>
    </row>
    <row r="184" spans="1:14" ht="12.75" customHeight="1" thickTop="1" thickBot="1" x14ac:dyDescent="0.25">
      <c r="A184" s="1689" t="s">
        <v>810</v>
      </c>
      <c r="B184" s="1667" t="s">
        <v>568</v>
      </c>
      <c r="C184" s="1675">
        <f>SUM(C180,C182,C183)</f>
        <v>176292</v>
      </c>
      <c r="D184" s="1675">
        <f t="shared" ref="D184:J184" si="17">SUM(D180,D182,D183)</f>
        <v>10247</v>
      </c>
      <c r="E184" s="1675">
        <f t="shared" si="17"/>
        <v>13218</v>
      </c>
      <c r="F184" s="1675">
        <f t="shared" si="17"/>
        <v>23435</v>
      </c>
      <c r="G184" s="1675">
        <f t="shared" si="17"/>
        <v>158816</v>
      </c>
      <c r="H184" s="1675">
        <f t="shared" si="17"/>
        <v>0</v>
      </c>
      <c r="I184" s="1675">
        <f t="shared" si="17"/>
        <v>0</v>
      </c>
      <c r="J184" s="1675">
        <f t="shared" si="17"/>
        <v>0</v>
      </c>
      <c r="K184" s="1675">
        <f>SUM(K180,K182,K183)</f>
        <v>382008</v>
      </c>
      <c r="L184" s="1675">
        <f>SUM(L180, L182:L183)</f>
        <v>237708</v>
      </c>
    </row>
    <row r="185" spans="1:14" ht="15.75" customHeight="1" thickTop="1" thickBot="1" x14ac:dyDescent="0.25">
      <c r="A185" s="1622" t="s">
        <v>938</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69">
        <f t="shared" ref="K188:K193" si="18">SUM(E188,H188)</f>
        <v>0</v>
      </c>
      <c r="L188" s="466"/>
    </row>
    <row r="189" spans="1:14" x14ac:dyDescent="0.2">
      <c r="A189" s="1504" t="s">
        <v>303</v>
      </c>
      <c r="B189" s="614">
        <v>4120</v>
      </c>
      <c r="C189" s="616"/>
      <c r="D189" s="616"/>
      <c r="E189" s="466"/>
      <c r="F189" s="616"/>
      <c r="G189" s="616"/>
      <c r="H189" s="466"/>
      <c r="I189" s="477"/>
      <c r="J189" s="616"/>
      <c r="K189" s="1669">
        <f t="shared" si="18"/>
        <v>0</v>
      </c>
      <c r="L189" s="466"/>
    </row>
    <row r="190" spans="1:14" x14ac:dyDescent="0.2">
      <c r="A190" s="1504" t="s">
        <v>304</v>
      </c>
      <c r="B190" s="628">
        <v>4130</v>
      </c>
      <c r="C190" s="616"/>
      <c r="D190" s="616"/>
      <c r="E190" s="466"/>
      <c r="F190" s="616"/>
      <c r="G190" s="616"/>
      <c r="H190" s="466"/>
      <c r="I190" s="477"/>
      <c r="J190" s="616"/>
      <c r="K190" s="1669">
        <f t="shared" si="18"/>
        <v>0</v>
      </c>
      <c r="L190" s="466"/>
    </row>
    <row r="191" spans="1:14" x14ac:dyDescent="0.2">
      <c r="A191" s="1504" t="s">
        <v>696</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697</v>
      </c>
      <c r="B193" s="628">
        <v>4190</v>
      </c>
      <c r="C193" s="616"/>
      <c r="D193" s="616"/>
      <c r="E193" s="466"/>
      <c r="F193" s="616"/>
      <c r="G193" s="616"/>
      <c r="H193" s="466"/>
      <c r="I193" s="477"/>
      <c r="J193" s="616"/>
      <c r="K193" s="1669">
        <f t="shared" si="18"/>
        <v>0</v>
      </c>
      <c r="L193" s="466"/>
    </row>
    <row r="194" spans="1:14" ht="12.75" customHeight="1" thickBot="1" x14ac:dyDescent="0.25">
      <c r="A194" s="1666" t="s">
        <v>1139</v>
      </c>
      <c r="B194" s="1667" t="s">
        <v>558</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930</v>
      </c>
      <c r="C195" s="616"/>
      <c r="D195" s="616"/>
      <c r="E195" s="656"/>
      <c r="F195" s="616"/>
      <c r="G195" s="616"/>
      <c r="H195" s="656"/>
      <c r="I195" s="477"/>
      <c r="J195" s="616"/>
      <c r="K195" s="1683">
        <f>SUM(E195,H195)</f>
        <v>0</v>
      </c>
      <c r="L195" s="656"/>
    </row>
    <row r="196" spans="1:14" ht="12.75" customHeight="1" thickBot="1" x14ac:dyDescent="0.25">
      <c r="A196" s="1666" t="s">
        <v>1486</v>
      </c>
      <c r="B196" s="1667" t="s">
        <v>859</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1169</v>
      </c>
      <c r="B201" s="628" t="s">
        <v>616</v>
      </c>
      <c r="C201" s="616"/>
      <c r="D201" s="616"/>
      <c r="E201" s="616"/>
      <c r="F201" s="616"/>
      <c r="G201" s="616"/>
      <c r="H201" s="466"/>
      <c r="I201" s="616"/>
      <c r="J201" s="616"/>
      <c r="K201" s="1669">
        <f>SUM(H201)</f>
        <v>0</v>
      </c>
      <c r="L201" s="466"/>
    </row>
    <row r="202" spans="1:14" x14ac:dyDescent="0.2">
      <c r="A202" s="1504" t="s">
        <v>89</v>
      </c>
      <c r="B202" s="614" t="s">
        <v>588</v>
      </c>
      <c r="C202" s="616"/>
      <c r="D202" s="616"/>
      <c r="E202" s="616"/>
      <c r="F202" s="616"/>
      <c r="G202" s="616"/>
      <c r="H202" s="466"/>
      <c r="I202" s="616"/>
      <c r="J202" s="616"/>
      <c r="K202" s="1669">
        <f>SUM(H202)</f>
        <v>0</v>
      </c>
      <c r="L202" s="466"/>
    </row>
    <row r="203" spans="1:14" x14ac:dyDescent="0.2">
      <c r="A203" s="1516" t="s">
        <v>618</v>
      </c>
      <c r="B203" s="614" t="s">
        <v>617</v>
      </c>
      <c r="C203" s="616"/>
      <c r="D203" s="616"/>
      <c r="E203" s="616"/>
      <c r="F203" s="616"/>
      <c r="G203" s="616"/>
      <c r="H203" s="471"/>
      <c r="I203" s="616"/>
      <c r="J203" s="616"/>
      <c r="K203" s="1669">
        <f>SUM(H203)</f>
        <v>0</v>
      </c>
      <c r="L203" s="471"/>
    </row>
    <row r="204" spans="1:14" ht="13.5" thickBot="1" x14ac:dyDescent="0.25">
      <c r="A204" s="1666" t="s">
        <v>275</v>
      </c>
      <c r="B204" s="1667" t="s">
        <v>717</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3679</v>
      </c>
      <c r="I205" s="616"/>
      <c r="J205" s="616"/>
      <c r="K205" s="1683">
        <f>SUM(H205)</f>
        <v>3679</v>
      </c>
      <c r="L205" s="535">
        <v>5480</v>
      </c>
    </row>
    <row r="206" spans="1:14" ht="30" customHeight="1" x14ac:dyDescent="0.2">
      <c r="A206" s="681" t="s">
        <v>1670</v>
      </c>
      <c r="B206" s="672" t="s">
        <v>31</v>
      </c>
      <c r="C206" s="616"/>
      <c r="D206" s="616"/>
      <c r="E206" s="616"/>
      <c r="F206" s="616"/>
      <c r="G206" s="616"/>
      <c r="H206" s="466">
        <v>24860</v>
      </c>
      <c r="I206" s="616"/>
      <c r="J206" s="616"/>
      <c r="K206" s="1669">
        <f>SUM(H206)</f>
        <v>24860</v>
      </c>
      <c r="L206" s="466">
        <v>37329</v>
      </c>
    </row>
    <row r="207" spans="1:14" ht="15.75" customHeight="1" x14ac:dyDescent="0.2">
      <c r="A207" s="621" t="s">
        <v>765</v>
      </c>
      <c r="B207" s="672" t="s">
        <v>84</v>
      </c>
      <c r="C207" s="616"/>
      <c r="D207" s="616"/>
      <c r="E207" s="616"/>
      <c r="F207" s="616"/>
      <c r="G207" s="616"/>
      <c r="H207" s="467"/>
      <c r="I207" s="616"/>
      <c r="J207" s="616"/>
      <c r="K207" s="1669">
        <f>H207</f>
        <v>0</v>
      </c>
      <c r="L207" s="466"/>
    </row>
    <row r="208" spans="1:14" ht="12.75" customHeight="1" thickBot="1" x14ac:dyDescent="0.25">
      <c r="A208" s="1684" t="s">
        <v>637</v>
      </c>
      <c r="B208" s="1685" t="s">
        <v>491</v>
      </c>
      <c r="C208" s="616"/>
      <c r="D208" s="616"/>
      <c r="E208" s="616"/>
      <c r="F208" s="616"/>
      <c r="G208" s="616"/>
      <c r="H208" s="1675">
        <f>SUM(H204,H205,H206,H207)</f>
        <v>28539</v>
      </c>
      <c r="I208" s="616"/>
      <c r="J208" s="616"/>
      <c r="K208" s="1675">
        <f>SUM(K204,K205,K206,K207)</f>
        <v>28539</v>
      </c>
      <c r="L208" s="1675">
        <f>SUM(L204,L205,L206,L207)</f>
        <v>42809</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0" t="s">
        <v>276</v>
      </c>
      <c r="B210" s="1691"/>
      <c r="C210" s="1668">
        <f>SUM(C184,C185)</f>
        <v>176292</v>
      </c>
      <c r="D210" s="1668">
        <f>SUM(D184,D185)</f>
        <v>10247</v>
      </c>
      <c r="E210" s="1668">
        <f>SUM(E184,E185,E196)</f>
        <v>13218</v>
      </c>
      <c r="F210" s="1668">
        <f>SUM(F184,F185)</f>
        <v>23435</v>
      </c>
      <c r="G210" s="1668">
        <f>SUM(G184,G185)</f>
        <v>158816</v>
      </c>
      <c r="H210" s="1668">
        <f>SUM(H184,H185,H196,H208,H209)</f>
        <v>28539</v>
      </c>
      <c r="I210" s="1668">
        <f>SUM(I184,I185)</f>
        <v>0</v>
      </c>
      <c r="J210" s="1668">
        <f>SUM(J184,J185)</f>
        <v>0</v>
      </c>
      <c r="K210" s="1669">
        <f>SUM(K184,K185,K196,K208,K209)</f>
        <v>410547</v>
      </c>
      <c r="L210" s="1668">
        <f>SUM(L184,L185,L196,L208,L209)</f>
        <v>280517</v>
      </c>
    </row>
    <row r="211" spans="1:14" ht="13.5" thickTop="1" x14ac:dyDescent="0.2">
      <c r="A211" s="2154" t="s">
        <v>995</v>
      </c>
      <c r="B211" s="2155"/>
      <c r="C211" s="618"/>
      <c r="D211" s="618"/>
      <c r="E211" s="618"/>
      <c r="F211" s="618"/>
      <c r="G211" s="618"/>
      <c r="H211" s="618"/>
      <c r="I211" s="616"/>
      <c r="J211" s="616"/>
      <c r="K211" s="1682">
        <f>'Revenues 9-14'!F268-'Expenditures 15-22'!K210</f>
        <v>-127549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964</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10396</v>
      </c>
      <c r="E215" s="616"/>
      <c r="F215" s="616"/>
      <c r="G215" s="616"/>
      <c r="H215" s="616"/>
      <c r="I215" s="616"/>
      <c r="J215" s="616"/>
      <c r="K215" s="1669">
        <f>D215</f>
        <v>10396</v>
      </c>
      <c r="L215" s="466">
        <v>10559</v>
      </c>
    </row>
    <row r="216" spans="1:14" x14ac:dyDescent="0.2">
      <c r="A216" s="1504" t="s">
        <v>163</v>
      </c>
      <c r="B216" s="614" t="s">
        <v>966</v>
      </c>
      <c r="C216" s="616"/>
      <c r="D216" s="467">
        <v>326</v>
      </c>
      <c r="E216" s="616"/>
      <c r="F216" s="616"/>
      <c r="G216" s="616"/>
      <c r="H216" s="616"/>
      <c r="I216" s="616"/>
      <c r="J216" s="616"/>
      <c r="K216" s="1669">
        <f t="shared" ref="K216:K228" si="19">D216</f>
        <v>326</v>
      </c>
      <c r="L216" s="466">
        <v>326</v>
      </c>
    </row>
    <row r="217" spans="1:14" x14ac:dyDescent="0.2">
      <c r="A217" s="1504" t="s">
        <v>164</v>
      </c>
      <c r="B217" s="614">
        <v>1200</v>
      </c>
      <c r="C217" s="616"/>
      <c r="D217" s="466">
        <v>16726</v>
      </c>
      <c r="E217" s="616"/>
      <c r="F217" s="616"/>
      <c r="G217" s="616"/>
      <c r="H217" s="616"/>
      <c r="I217" s="616"/>
      <c r="J217" s="616"/>
      <c r="K217" s="1669">
        <f t="shared" si="19"/>
        <v>16726</v>
      </c>
      <c r="L217" s="466">
        <v>16429</v>
      </c>
    </row>
    <row r="218" spans="1:14" x14ac:dyDescent="0.2">
      <c r="A218" s="1504" t="s">
        <v>277</v>
      </c>
      <c r="B218" s="614" t="s">
        <v>967</v>
      </c>
      <c r="C218" s="616"/>
      <c r="D218" s="467"/>
      <c r="E218" s="616"/>
      <c r="F218" s="616"/>
      <c r="G218" s="616"/>
      <c r="H218" s="616"/>
      <c r="I218" s="616"/>
      <c r="J218" s="616"/>
      <c r="K218" s="1669">
        <f t="shared" si="19"/>
        <v>0</v>
      </c>
      <c r="L218" s="466"/>
    </row>
    <row r="219" spans="1:14" x14ac:dyDescent="0.2">
      <c r="A219" s="1504" t="s">
        <v>278</v>
      </c>
      <c r="B219" s="614">
        <v>1250</v>
      </c>
      <c r="C219" s="616"/>
      <c r="D219" s="466">
        <v>2127</v>
      </c>
      <c r="E219" s="616"/>
      <c r="F219" s="616"/>
      <c r="G219" s="616"/>
      <c r="H219" s="616"/>
      <c r="I219" s="616"/>
      <c r="J219" s="616"/>
      <c r="K219" s="1669">
        <f t="shared" si="19"/>
        <v>2127</v>
      </c>
      <c r="L219" s="466">
        <v>2224</v>
      </c>
    </row>
    <row r="220" spans="1:14" x14ac:dyDescent="0.2">
      <c r="A220" s="1504" t="s">
        <v>279</v>
      </c>
      <c r="B220" s="614" t="s">
        <v>161</v>
      </c>
      <c r="C220" s="616"/>
      <c r="D220" s="467"/>
      <c r="E220" s="616"/>
      <c r="F220" s="616"/>
      <c r="G220" s="616"/>
      <c r="H220" s="616"/>
      <c r="I220" s="616"/>
      <c r="J220" s="616"/>
      <c r="K220" s="1669">
        <f t="shared" si="19"/>
        <v>0</v>
      </c>
      <c r="L220" s="466"/>
    </row>
    <row r="221" spans="1:14" x14ac:dyDescent="0.2">
      <c r="A221" s="1504" t="s">
        <v>961</v>
      </c>
      <c r="B221" s="614">
        <v>1300</v>
      </c>
      <c r="C221" s="616"/>
      <c r="D221" s="466"/>
      <c r="E221" s="616"/>
      <c r="F221" s="616"/>
      <c r="G221" s="616"/>
      <c r="H221" s="616"/>
      <c r="I221" s="616"/>
      <c r="J221" s="616"/>
      <c r="K221" s="1669">
        <f t="shared" si="19"/>
        <v>0</v>
      </c>
      <c r="L221" s="466"/>
    </row>
    <row r="222" spans="1:14" x14ac:dyDescent="0.2">
      <c r="A222" s="1504" t="s">
        <v>722</v>
      </c>
      <c r="B222" s="614">
        <v>1400</v>
      </c>
      <c r="C222" s="616"/>
      <c r="D222" s="466"/>
      <c r="E222" s="616"/>
      <c r="F222" s="616"/>
      <c r="G222" s="616"/>
      <c r="H222" s="616"/>
      <c r="I222" s="616"/>
      <c r="J222" s="616"/>
      <c r="K222" s="1669">
        <f t="shared" si="19"/>
        <v>0</v>
      </c>
      <c r="L222" s="466"/>
    </row>
    <row r="223" spans="1:14" x14ac:dyDescent="0.2">
      <c r="A223" s="1504" t="s">
        <v>962</v>
      </c>
      <c r="B223" s="614">
        <v>1500</v>
      </c>
      <c r="C223" s="616"/>
      <c r="D223" s="466">
        <v>1332</v>
      </c>
      <c r="E223" s="616"/>
      <c r="F223" s="616"/>
      <c r="G223" s="616"/>
      <c r="H223" s="616"/>
      <c r="I223" s="616"/>
      <c r="J223" s="616"/>
      <c r="K223" s="1669">
        <f t="shared" si="19"/>
        <v>1332</v>
      </c>
      <c r="L223" s="466">
        <v>1262</v>
      </c>
    </row>
    <row r="224" spans="1:14" x14ac:dyDescent="0.2">
      <c r="A224" s="1504" t="s">
        <v>963</v>
      </c>
      <c r="B224" s="614">
        <v>1600</v>
      </c>
      <c r="C224" s="616"/>
      <c r="D224" s="466"/>
      <c r="E224" s="616"/>
      <c r="F224" s="616"/>
      <c r="G224" s="616"/>
      <c r="H224" s="616"/>
      <c r="I224" s="616"/>
      <c r="J224" s="616"/>
      <c r="K224" s="1669">
        <f t="shared" si="19"/>
        <v>0</v>
      </c>
      <c r="L224" s="466"/>
    </row>
    <row r="225" spans="1:12" x14ac:dyDescent="0.2">
      <c r="A225" s="1504" t="s">
        <v>986</v>
      </c>
      <c r="B225" s="614">
        <v>1650</v>
      </c>
      <c r="C225" s="616"/>
      <c r="D225" s="466"/>
      <c r="E225" s="616"/>
      <c r="F225" s="616"/>
      <c r="G225" s="616"/>
      <c r="H225" s="616"/>
      <c r="I225" s="616"/>
      <c r="J225" s="616"/>
      <c r="K225" s="1669">
        <f t="shared" si="19"/>
        <v>0</v>
      </c>
      <c r="L225" s="466"/>
    </row>
    <row r="226" spans="1:12" x14ac:dyDescent="0.2">
      <c r="A226" s="1504" t="s">
        <v>723</v>
      </c>
      <c r="B226" s="614" t="s">
        <v>162</v>
      </c>
      <c r="C226" s="616"/>
      <c r="D226" s="467"/>
      <c r="E226" s="616"/>
      <c r="F226" s="616"/>
      <c r="G226" s="616"/>
      <c r="H226" s="616"/>
      <c r="I226" s="616"/>
      <c r="J226" s="616"/>
      <c r="K226" s="1669">
        <f t="shared" si="19"/>
        <v>0</v>
      </c>
      <c r="L226" s="466"/>
    </row>
    <row r="227" spans="1:12" x14ac:dyDescent="0.2">
      <c r="A227" s="1504" t="s">
        <v>1086</v>
      </c>
      <c r="B227" s="614">
        <v>1800</v>
      </c>
      <c r="C227" s="616"/>
      <c r="D227" s="466"/>
      <c r="E227" s="616"/>
      <c r="F227" s="616"/>
      <c r="G227" s="616"/>
      <c r="H227" s="616"/>
      <c r="I227" s="616"/>
      <c r="J227" s="616"/>
      <c r="K227" s="1669">
        <f t="shared" si="19"/>
        <v>0</v>
      </c>
      <c r="L227" s="466"/>
    </row>
    <row r="228" spans="1:12" x14ac:dyDescent="0.2">
      <c r="A228" s="1504" t="s">
        <v>1087</v>
      </c>
      <c r="B228" s="614">
        <v>1900</v>
      </c>
      <c r="C228" s="616"/>
      <c r="D228" s="466"/>
      <c r="E228" s="616"/>
      <c r="F228" s="616"/>
      <c r="G228" s="616"/>
      <c r="H228" s="616"/>
      <c r="I228" s="616"/>
      <c r="J228" s="616"/>
      <c r="K228" s="1669">
        <f t="shared" si="19"/>
        <v>0</v>
      </c>
      <c r="L228" s="466"/>
    </row>
    <row r="229" spans="1:12" ht="12.75" customHeight="1" thickBot="1" x14ac:dyDescent="0.25">
      <c r="A229" s="1666" t="s">
        <v>714</v>
      </c>
      <c r="B229" s="1673" t="s">
        <v>569</v>
      </c>
      <c r="C229" s="616"/>
      <c r="D229" s="1668">
        <f>SUM(D215:D228)</f>
        <v>30907</v>
      </c>
      <c r="E229" s="616"/>
      <c r="F229" s="616"/>
      <c r="G229" s="616"/>
      <c r="H229" s="616"/>
      <c r="I229" s="616"/>
      <c r="J229" s="616"/>
      <c r="K229" s="1668">
        <f>SUM(K215:K228)</f>
        <v>30907</v>
      </c>
      <c r="L229" s="1668">
        <f>SUM(L215:L228)</f>
        <v>30800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c r="E232" s="616"/>
      <c r="F232" s="616"/>
      <c r="G232" s="616"/>
      <c r="H232" s="616"/>
      <c r="I232" s="616"/>
      <c r="J232" s="616"/>
      <c r="K232" s="1669">
        <f t="shared" ref="K232:K237" si="20">D232</f>
        <v>0</v>
      </c>
      <c r="L232" s="466"/>
    </row>
    <row r="233" spans="1:12" x14ac:dyDescent="0.2">
      <c r="A233" s="1504" t="s">
        <v>1089</v>
      </c>
      <c r="B233" s="614">
        <v>2120</v>
      </c>
      <c r="C233" s="616"/>
      <c r="D233" s="466"/>
      <c r="E233" s="616"/>
      <c r="F233" s="616"/>
      <c r="G233" s="616"/>
      <c r="H233" s="616"/>
      <c r="I233" s="616"/>
      <c r="J233" s="616"/>
      <c r="K233" s="1669">
        <f t="shared" si="20"/>
        <v>0</v>
      </c>
      <c r="L233" s="466"/>
    </row>
    <row r="234" spans="1:12" x14ac:dyDescent="0.2">
      <c r="A234" s="1504" t="s">
        <v>198</v>
      </c>
      <c r="B234" s="614">
        <v>2130</v>
      </c>
      <c r="C234" s="616"/>
      <c r="D234" s="466">
        <v>784</v>
      </c>
      <c r="E234" s="616"/>
      <c r="F234" s="616"/>
      <c r="G234" s="616"/>
      <c r="H234" s="616"/>
      <c r="I234" s="616"/>
      <c r="J234" s="616"/>
      <c r="K234" s="1669">
        <f t="shared" si="20"/>
        <v>784</v>
      </c>
      <c r="L234" s="466">
        <v>796</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559</v>
      </c>
      <c r="B238" s="1673" t="s">
        <v>715</v>
      </c>
      <c r="C238" s="616"/>
      <c r="D238" s="1668">
        <f>SUM(D232:D237)</f>
        <v>784</v>
      </c>
      <c r="E238" s="616"/>
      <c r="F238" s="616"/>
      <c r="G238" s="616"/>
      <c r="H238" s="616"/>
      <c r="I238" s="616"/>
      <c r="J238" s="616"/>
      <c r="K238" s="1668">
        <f>SUM(K232:K237)</f>
        <v>784</v>
      </c>
      <c r="L238" s="1668">
        <f>SUM(L232:L237)</f>
        <v>796</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c r="E240" s="616"/>
      <c r="F240" s="616"/>
      <c r="G240" s="616"/>
      <c r="H240" s="616"/>
      <c r="I240" s="616"/>
      <c r="J240" s="616"/>
      <c r="K240" s="1670">
        <f>D240</f>
        <v>0</v>
      </c>
      <c r="L240" s="481"/>
    </row>
    <row r="241" spans="1:12" x14ac:dyDescent="0.2">
      <c r="A241" s="1504" t="s">
        <v>814</v>
      </c>
      <c r="B241" s="614">
        <v>2220</v>
      </c>
      <c r="C241" s="616"/>
      <c r="D241" s="466"/>
      <c r="E241" s="616"/>
      <c r="F241" s="616"/>
      <c r="G241" s="616"/>
      <c r="H241" s="616"/>
      <c r="I241" s="616"/>
      <c r="J241" s="616"/>
      <c r="K241" s="1670">
        <f>D241</f>
        <v>0</v>
      </c>
      <c r="L241" s="466"/>
    </row>
    <row r="242" spans="1:12" x14ac:dyDescent="0.2">
      <c r="A242" s="1504" t="s">
        <v>815</v>
      </c>
      <c r="B242" s="614">
        <v>2230</v>
      </c>
      <c r="C242" s="616"/>
      <c r="D242" s="466"/>
      <c r="E242" s="616"/>
      <c r="F242" s="616"/>
      <c r="G242" s="616"/>
      <c r="H242" s="616"/>
      <c r="I242" s="616"/>
      <c r="J242" s="616"/>
      <c r="K242" s="1670">
        <f>D242</f>
        <v>0</v>
      </c>
      <c r="L242" s="466"/>
    </row>
    <row r="243" spans="1:12" ht="12.75" customHeight="1" thickBot="1" x14ac:dyDescent="0.25">
      <c r="A243" s="1692" t="s">
        <v>560</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467</v>
      </c>
      <c r="E245" s="616"/>
      <c r="F245" s="616"/>
      <c r="G245" s="616"/>
      <c r="H245" s="616"/>
      <c r="I245" s="616"/>
      <c r="J245" s="616"/>
      <c r="K245" s="1670">
        <f>D245</f>
        <v>467</v>
      </c>
      <c r="L245" s="481">
        <v>466</v>
      </c>
    </row>
    <row r="246" spans="1:12" x14ac:dyDescent="0.2">
      <c r="A246" s="1504" t="s">
        <v>817</v>
      </c>
      <c r="B246" s="614">
        <v>2320</v>
      </c>
      <c r="C246" s="616"/>
      <c r="D246" s="466">
        <v>1289</v>
      </c>
      <c r="E246" s="616"/>
      <c r="F246" s="616"/>
      <c r="G246" s="616"/>
      <c r="H246" s="616"/>
      <c r="I246" s="616"/>
      <c r="J246" s="616"/>
      <c r="K246" s="1670">
        <f t="shared" ref="K246:K256" si="21">D246</f>
        <v>1289</v>
      </c>
      <c r="L246" s="466">
        <v>1181</v>
      </c>
    </row>
    <row r="247" spans="1:12" x14ac:dyDescent="0.2">
      <c r="A247" s="1504" t="s">
        <v>818</v>
      </c>
      <c r="B247" s="614">
        <v>2330</v>
      </c>
      <c r="C247" s="616"/>
      <c r="D247" s="466"/>
      <c r="E247" s="616"/>
      <c r="F247" s="616"/>
      <c r="G247" s="616"/>
      <c r="H247" s="616"/>
      <c r="I247" s="616"/>
      <c r="J247" s="616"/>
      <c r="K247" s="1670">
        <f t="shared" si="21"/>
        <v>0</v>
      </c>
      <c r="L247" s="466"/>
    </row>
    <row r="248" spans="1:12" x14ac:dyDescent="0.2">
      <c r="A248" s="1505" t="s">
        <v>298</v>
      </c>
      <c r="B248" s="602" t="s">
        <v>280</v>
      </c>
      <c r="C248" s="616"/>
      <c r="D248" s="474"/>
      <c r="E248" s="616"/>
      <c r="F248" s="616"/>
      <c r="G248" s="616"/>
      <c r="H248" s="616"/>
      <c r="I248" s="616"/>
      <c r="J248" s="616"/>
      <c r="K248" s="1670">
        <f t="shared" si="21"/>
        <v>0</v>
      </c>
      <c r="L248" s="466"/>
    </row>
    <row r="249" spans="1:12" x14ac:dyDescent="0.2">
      <c r="A249" s="1506" t="s">
        <v>1804</v>
      </c>
      <c r="B249" s="683" t="s">
        <v>281</v>
      </c>
      <c r="C249" s="616"/>
      <c r="D249" s="474"/>
      <c r="E249" s="616"/>
      <c r="F249" s="616"/>
      <c r="G249" s="616"/>
      <c r="H249" s="616"/>
      <c r="I249" s="616"/>
      <c r="J249" s="616"/>
      <c r="K249" s="1670">
        <f t="shared" si="21"/>
        <v>0</v>
      </c>
      <c r="L249" s="466"/>
    </row>
    <row r="250" spans="1:12" x14ac:dyDescent="0.2">
      <c r="A250" s="1505" t="s">
        <v>1805</v>
      </c>
      <c r="B250" s="602" t="s">
        <v>282</v>
      </c>
      <c r="C250" s="616"/>
      <c r="D250" s="474"/>
      <c r="E250" s="616"/>
      <c r="F250" s="616"/>
      <c r="G250" s="616"/>
      <c r="H250" s="616"/>
      <c r="I250" s="616"/>
      <c r="J250" s="616"/>
      <c r="K250" s="1670">
        <f t="shared" si="21"/>
        <v>0</v>
      </c>
      <c r="L250" s="466"/>
    </row>
    <row r="251" spans="1:12" x14ac:dyDescent="0.2">
      <c r="A251" s="1505" t="s">
        <v>238</v>
      </c>
      <c r="B251" s="602" t="s">
        <v>283</v>
      </c>
      <c r="C251" s="616"/>
      <c r="D251" s="474"/>
      <c r="E251" s="616"/>
      <c r="F251" s="616"/>
      <c r="G251" s="616"/>
      <c r="H251" s="616"/>
      <c r="I251" s="616"/>
      <c r="J251" s="616"/>
      <c r="K251" s="1670">
        <f t="shared" si="21"/>
        <v>0</v>
      </c>
      <c r="L251" s="466"/>
    </row>
    <row r="252" spans="1:12" x14ac:dyDescent="0.2">
      <c r="A252" s="1505" t="s">
        <v>701</v>
      </c>
      <c r="B252" s="602" t="s">
        <v>284</v>
      </c>
      <c r="C252" s="616"/>
      <c r="D252" s="474"/>
      <c r="E252" s="616"/>
      <c r="F252" s="616"/>
      <c r="G252" s="616"/>
      <c r="H252" s="616"/>
      <c r="I252" s="616"/>
      <c r="J252" s="616"/>
      <c r="K252" s="1670">
        <f t="shared" si="21"/>
        <v>0</v>
      </c>
      <c r="L252" s="466"/>
    </row>
    <row r="253" spans="1:12" x14ac:dyDescent="0.2">
      <c r="A253" s="1505" t="s">
        <v>239</v>
      </c>
      <c r="B253" s="602" t="s">
        <v>285</v>
      </c>
      <c r="C253" s="616"/>
      <c r="D253" s="474"/>
      <c r="E253" s="616"/>
      <c r="F253" s="616"/>
      <c r="G253" s="616"/>
      <c r="H253" s="616"/>
      <c r="I253" s="616"/>
      <c r="J253" s="616"/>
      <c r="K253" s="1670">
        <f t="shared" si="21"/>
        <v>0</v>
      </c>
      <c r="L253" s="466"/>
    </row>
    <row r="254" spans="1:12" ht="22.5" x14ac:dyDescent="0.2">
      <c r="A254" s="1505" t="s">
        <v>1028</v>
      </c>
      <c r="B254" s="683" t="s">
        <v>286</v>
      </c>
      <c r="C254" s="616"/>
      <c r="D254" s="474"/>
      <c r="E254" s="616"/>
      <c r="F254" s="616"/>
      <c r="G254" s="616"/>
      <c r="H254" s="616"/>
      <c r="I254" s="616"/>
      <c r="J254" s="616"/>
      <c r="K254" s="1670">
        <f t="shared" si="21"/>
        <v>0</v>
      </c>
      <c r="L254" s="466"/>
    </row>
    <row r="255" spans="1:12" x14ac:dyDescent="0.2">
      <c r="A255" s="1505" t="s">
        <v>1029</v>
      </c>
      <c r="B255" s="602" t="s">
        <v>287</v>
      </c>
      <c r="C255" s="616"/>
      <c r="D255" s="474"/>
      <c r="E255" s="616"/>
      <c r="F255" s="616"/>
      <c r="G255" s="616"/>
      <c r="H255" s="616"/>
      <c r="I255" s="616"/>
      <c r="J255" s="616"/>
      <c r="K255" s="1670">
        <f t="shared" si="21"/>
        <v>0</v>
      </c>
      <c r="L255" s="466"/>
    </row>
    <row r="256" spans="1:12" x14ac:dyDescent="0.2">
      <c r="A256" s="1505" t="s">
        <v>970</v>
      </c>
      <c r="B256" s="614" t="s">
        <v>288</v>
      </c>
      <c r="C256" s="616"/>
      <c r="D256" s="474"/>
      <c r="E256" s="616"/>
      <c r="F256" s="616"/>
      <c r="G256" s="616"/>
      <c r="H256" s="616"/>
      <c r="I256" s="616"/>
      <c r="J256" s="616"/>
      <c r="K256" s="1670">
        <f t="shared" si="21"/>
        <v>0</v>
      </c>
      <c r="L256" s="466"/>
    </row>
    <row r="257" spans="1:14" ht="12.75" customHeight="1" thickBot="1" x14ac:dyDescent="0.25">
      <c r="A257" s="1666" t="s">
        <v>716</v>
      </c>
      <c r="B257" s="1694">
        <v>2300</v>
      </c>
      <c r="C257" s="616"/>
      <c r="D257" s="1668">
        <f>SUM(D245:D256)</f>
        <v>1756</v>
      </c>
      <c r="E257" s="616"/>
      <c r="F257" s="616"/>
      <c r="G257" s="616"/>
      <c r="H257" s="616"/>
      <c r="I257" s="616"/>
      <c r="J257" s="616"/>
      <c r="K257" s="1668">
        <f>SUM(K245:K256)</f>
        <v>1756</v>
      </c>
      <c r="L257" s="1668">
        <f>SUM(L245:L256)</f>
        <v>1647</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615</v>
      </c>
      <c r="E259" s="616"/>
      <c r="F259" s="616"/>
      <c r="G259" s="616"/>
      <c r="H259" s="616"/>
      <c r="I259" s="616"/>
      <c r="J259" s="616"/>
      <c r="K259" s="1670">
        <f>D259</f>
        <v>615</v>
      </c>
      <c r="L259" s="481">
        <v>612</v>
      </c>
    </row>
    <row r="260" spans="1:14" s="597" customFormat="1" x14ac:dyDescent="0.2">
      <c r="A260" s="1522" t="s">
        <v>1803</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615</v>
      </c>
      <c r="E261" s="616"/>
      <c r="F261" s="616"/>
      <c r="G261" s="616"/>
      <c r="H261" s="616"/>
      <c r="I261" s="616"/>
      <c r="J261" s="616"/>
      <c r="K261" s="1668">
        <f>SUM(K259:K260)</f>
        <v>615</v>
      </c>
      <c r="L261" s="1668">
        <f>SUM(L259:L260)</f>
        <v>612</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3948</v>
      </c>
      <c r="E263" s="616"/>
      <c r="F263" s="616"/>
      <c r="G263" s="616"/>
      <c r="H263" s="616"/>
      <c r="I263" s="616"/>
      <c r="J263" s="616"/>
      <c r="K263" s="1670">
        <f>D263</f>
        <v>3948</v>
      </c>
      <c r="L263" s="481">
        <v>3945</v>
      </c>
    </row>
    <row r="264" spans="1:14" x14ac:dyDescent="0.2">
      <c r="A264" s="1504" t="s">
        <v>462</v>
      </c>
      <c r="B264" s="685">
        <v>2520</v>
      </c>
      <c r="C264" s="616"/>
      <c r="D264" s="466"/>
      <c r="E264" s="616"/>
      <c r="F264" s="616"/>
      <c r="G264" s="616"/>
      <c r="H264" s="616"/>
      <c r="I264" s="616"/>
      <c r="J264" s="616"/>
      <c r="K264" s="1670">
        <f t="shared" ref="K264:K269" si="22">D264</f>
        <v>0</v>
      </c>
      <c r="L264" s="466"/>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7621</v>
      </c>
      <c r="E266" s="616"/>
      <c r="F266" s="616"/>
      <c r="G266" s="616"/>
      <c r="H266" s="616"/>
      <c r="I266" s="616"/>
      <c r="J266" s="616"/>
      <c r="K266" s="1670">
        <f t="shared" si="22"/>
        <v>7621</v>
      </c>
      <c r="L266" s="466">
        <v>7590</v>
      </c>
    </row>
    <row r="267" spans="1:14" x14ac:dyDescent="0.2">
      <c r="A267" s="1504" t="s">
        <v>952</v>
      </c>
      <c r="B267" s="614">
        <v>2550</v>
      </c>
      <c r="C267" s="616"/>
      <c r="D267" s="466">
        <v>17066</v>
      </c>
      <c r="E267" s="616"/>
      <c r="F267" s="616"/>
      <c r="G267" s="616"/>
      <c r="H267" s="616"/>
      <c r="I267" s="616"/>
      <c r="J267" s="616"/>
      <c r="K267" s="1670">
        <f t="shared" si="22"/>
        <v>17066</v>
      </c>
      <c r="L267" s="466">
        <v>2469</v>
      </c>
    </row>
    <row r="268" spans="1:14" x14ac:dyDescent="0.2">
      <c r="A268" s="1504" t="s">
        <v>100</v>
      </c>
      <c r="B268" s="614">
        <v>2560</v>
      </c>
      <c r="C268" s="616"/>
      <c r="D268" s="466">
        <v>8313</v>
      </c>
      <c r="E268" s="616"/>
      <c r="F268" s="616"/>
      <c r="G268" s="616"/>
      <c r="H268" s="616"/>
      <c r="I268" s="616"/>
      <c r="J268" s="616"/>
      <c r="K268" s="1670">
        <f t="shared" si="22"/>
        <v>8313</v>
      </c>
      <c r="L268" s="466">
        <v>8306</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718</v>
      </c>
      <c r="B270" s="1673" t="s">
        <v>35</v>
      </c>
      <c r="C270" s="616"/>
      <c r="D270" s="1668">
        <f>SUM(D263:D269)</f>
        <v>36948</v>
      </c>
      <c r="E270" s="616"/>
      <c r="F270" s="616"/>
      <c r="G270" s="616"/>
      <c r="H270" s="616"/>
      <c r="I270" s="616"/>
      <c r="J270" s="616"/>
      <c r="K270" s="1668">
        <f>SUM(K263:K269)</f>
        <v>36948</v>
      </c>
      <c r="L270" s="1668">
        <f>SUM(L263:L269)</f>
        <v>22310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0">
        <f>D272</f>
        <v>0</v>
      </c>
      <c r="L272" s="481"/>
    </row>
    <row r="273" spans="1:12" x14ac:dyDescent="0.2">
      <c r="A273" s="1504" t="s">
        <v>606</v>
      </c>
      <c r="B273" s="628">
        <v>2620</v>
      </c>
      <c r="C273" s="616"/>
      <c r="D273" s="466"/>
      <c r="E273" s="616"/>
      <c r="F273" s="616"/>
      <c r="G273" s="616"/>
      <c r="H273" s="616"/>
      <c r="I273" s="616"/>
      <c r="J273" s="616"/>
      <c r="K273" s="1670">
        <f>D273</f>
        <v>0</v>
      </c>
      <c r="L273" s="466"/>
    </row>
    <row r="274" spans="1:12" ht="12" customHeight="1" x14ac:dyDescent="0.2">
      <c r="A274" s="1504" t="s">
        <v>1060</v>
      </c>
      <c r="B274" s="614">
        <v>2630</v>
      </c>
      <c r="C274" s="616"/>
      <c r="D274" s="466"/>
      <c r="E274" s="616"/>
      <c r="F274" s="616"/>
      <c r="G274" s="616"/>
      <c r="H274" s="616"/>
      <c r="I274" s="616"/>
      <c r="J274" s="616"/>
      <c r="K274" s="1670">
        <f>D274</f>
        <v>0</v>
      </c>
      <c r="L274" s="466"/>
    </row>
    <row r="275" spans="1:12" x14ac:dyDescent="0.2">
      <c r="A275" s="1504" t="s">
        <v>402</v>
      </c>
      <c r="B275" s="614">
        <v>2640</v>
      </c>
      <c r="C275" s="616"/>
      <c r="D275" s="466"/>
      <c r="E275" s="616"/>
      <c r="F275" s="616"/>
      <c r="G275" s="616"/>
      <c r="H275" s="616"/>
      <c r="I275" s="616"/>
      <c r="J275" s="616"/>
      <c r="K275" s="1670">
        <f>D275</f>
        <v>0</v>
      </c>
      <c r="L275" s="466"/>
    </row>
    <row r="276" spans="1:12" x14ac:dyDescent="0.2">
      <c r="A276" s="1504" t="s">
        <v>403</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979</v>
      </c>
      <c r="B278" s="655" t="s">
        <v>573</v>
      </c>
      <c r="C278" s="616"/>
      <c r="D278" s="656"/>
      <c r="E278" s="616"/>
      <c r="F278" s="616"/>
      <c r="G278" s="616"/>
      <c r="H278" s="616"/>
      <c r="I278" s="616"/>
      <c r="J278" s="616"/>
      <c r="K278" s="1683">
        <f>D278</f>
        <v>0</v>
      </c>
      <c r="L278" s="656"/>
    </row>
    <row r="279" spans="1:12" ht="12.75" customHeight="1" thickBot="1" x14ac:dyDescent="0.25">
      <c r="A279" s="1696" t="s">
        <v>810</v>
      </c>
      <c r="B279" s="1679">
        <v>2000</v>
      </c>
      <c r="C279" s="616"/>
      <c r="D279" s="1675">
        <f>SUM(D238,D243,D257,D261,D270,D277,D278)</f>
        <v>40103</v>
      </c>
      <c r="E279" s="616"/>
      <c r="F279" s="616"/>
      <c r="G279" s="616"/>
      <c r="H279" s="616"/>
      <c r="I279" s="616"/>
      <c r="J279" s="616"/>
      <c r="K279" s="1675">
        <f>SUM(K238,K243,K257,K261,K270,K277,K278)</f>
        <v>40103</v>
      </c>
      <c r="L279" s="1675">
        <f>SUM(L238,L243,L257,L261,L270,L277,L278)</f>
        <v>25365</v>
      </c>
    </row>
    <row r="280" spans="1:12" ht="15.75" customHeight="1" thickTop="1" thickBot="1" x14ac:dyDescent="0.25">
      <c r="A280" s="1624" t="s">
        <v>874</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28" t="s">
        <v>495</v>
      </c>
      <c r="B282" s="690" t="s">
        <v>1843</v>
      </c>
      <c r="C282" s="616"/>
      <c r="D282" s="467"/>
      <c r="E282" s="616"/>
      <c r="F282" s="616"/>
      <c r="G282" s="616"/>
      <c r="H282" s="616"/>
      <c r="I282" s="616"/>
      <c r="J282" s="616"/>
      <c r="K282" s="1669">
        <f>D282</f>
        <v>0</v>
      </c>
      <c r="L282" s="467"/>
    </row>
    <row r="283" spans="1:12" x14ac:dyDescent="0.2">
      <c r="A283" s="1504" t="s">
        <v>303</v>
      </c>
      <c r="B283" s="614">
        <v>4120</v>
      </c>
      <c r="C283" s="616"/>
      <c r="D283" s="466"/>
      <c r="E283" s="616"/>
      <c r="F283" s="616"/>
      <c r="G283" s="616"/>
      <c r="H283" s="616"/>
      <c r="I283" s="616"/>
      <c r="J283" s="616"/>
      <c r="K283" s="1669">
        <f>D283</f>
        <v>0</v>
      </c>
      <c r="L283" s="466"/>
    </row>
    <row r="284" spans="1:12" x14ac:dyDescent="0.2">
      <c r="A284" s="1504" t="s">
        <v>696</v>
      </c>
      <c r="B284" s="614">
        <v>4140</v>
      </c>
      <c r="C284" s="616"/>
      <c r="D284" s="467"/>
      <c r="E284" s="616"/>
      <c r="F284" s="616"/>
      <c r="G284" s="616"/>
      <c r="H284" s="616"/>
      <c r="I284" s="616"/>
      <c r="J284" s="616"/>
      <c r="K284" s="1669">
        <f>D284</f>
        <v>0</v>
      </c>
      <c r="L284" s="466"/>
    </row>
    <row r="285" spans="1:12" ht="12.75" customHeight="1" thickBot="1" x14ac:dyDescent="0.25">
      <c r="A285" s="1666" t="s">
        <v>1486</v>
      </c>
      <c r="B285" s="1667" t="s">
        <v>859</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1169</v>
      </c>
      <c r="B290" s="628" t="s">
        <v>616</v>
      </c>
      <c r="C290" s="616"/>
      <c r="D290" s="616"/>
      <c r="E290" s="616"/>
      <c r="F290" s="616"/>
      <c r="G290" s="616"/>
      <c r="H290" s="466"/>
      <c r="I290" s="616"/>
      <c r="J290" s="616"/>
      <c r="K290" s="1669">
        <f>H290</f>
        <v>0</v>
      </c>
      <c r="L290" s="466"/>
    </row>
    <row r="291" spans="1:14" x14ac:dyDescent="0.2">
      <c r="A291" s="1504" t="s">
        <v>89</v>
      </c>
      <c r="B291" s="614" t="s">
        <v>588</v>
      </c>
      <c r="C291" s="616"/>
      <c r="D291" s="616"/>
      <c r="E291" s="616"/>
      <c r="F291" s="616"/>
      <c r="G291" s="616"/>
      <c r="H291" s="466"/>
      <c r="I291" s="616"/>
      <c r="J291" s="616"/>
      <c r="K291" s="1669">
        <f>H291</f>
        <v>0</v>
      </c>
      <c r="L291" s="466"/>
    </row>
    <row r="292" spans="1:14" x14ac:dyDescent="0.2">
      <c r="A292" s="1504" t="s">
        <v>761</v>
      </c>
      <c r="B292" s="614" t="s">
        <v>617</v>
      </c>
      <c r="C292" s="616"/>
      <c r="D292" s="616"/>
      <c r="E292" s="616"/>
      <c r="F292" s="616"/>
      <c r="G292" s="616"/>
      <c r="H292" s="466"/>
      <c r="I292" s="616"/>
      <c r="J292" s="616"/>
      <c r="K292" s="1669">
        <f>H292</f>
        <v>0</v>
      </c>
      <c r="L292" s="466"/>
    </row>
    <row r="293" spans="1:14" ht="12.75" customHeight="1" thickBot="1" x14ac:dyDescent="0.25">
      <c r="A293" s="1666" t="s">
        <v>483</v>
      </c>
      <c r="B293" s="1667" t="s">
        <v>491</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2" t="s">
        <v>504</v>
      </c>
      <c r="B295" s="2173"/>
      <c r="C295" s="616"/>
      <c r="D295" s="1668">
        <f>SUM(D229,D279,D280,D285)</f>
        <v>71010</v>
      </c>
      <c r="E295" s="616"/>
      <c r="F295" s="616"/>
      <c r="G295" s="616"/>
      <c r="H295" s="1668">
        <f>H293</f>
        <v>0</v>
      </c>
      <c r="I295" s="616"/>
      <c r="J295" s="616"/>
      <c r="K295" s="1668">
        <f>SUM(K229,K279,K280,K285,K293,K294)</f>
        <v>71010</v>
      </c>
      <c r="L295" s="1668">
        <f>SUM(L229,L279,L280,L285,L293,L294)</f>
        <v>56165</v>
      </c>
    </row>
    <row r="296" spans="1:14" ht="13.5" thickTop="1" x14ac:dyDescent="0.2">
      <c r="A296" s="2154" t="s">
        <v>995</v>
      </c>
      <c r="B296" s="2155"/>
      <c r="C296" s="616"/>
      <c r="D296" s="618"/>
      <c r="E296" s="616"/>
      <c r="F296" s="616"/>
      <c r="G296" s="616"/>
      <c r="H296" s="687"/>
      <c r="I296" s="616"/>
      <c r="J296" s="616"/>
      <c r="K296" s="1682">
        <f>'Revenues 9-14'!G268-'Expenditures 15-22'!K295</f>
        <v>-411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c r="H301" s="466"/>
      <c r="I301" s="467"/>
      <c r="J301" s="467"/>
      <c r="K301" s="1669">
        <f>SUM(C301:J301)</f>
        <v>0</v>
      </c>
      <c r="L301" s="467"/>
    </row>
    <row r="302" spans="1:14" ht="13.5" customHeight="1" x14ac:dyDescent="0.2">
      <c r="A302" s="1517" t="s">
        <v>979</v>
      </c>
      <c r="B302" s="614" t="s">
        <v>573</v>
      </c>
      <c r="C302" s="466"/>
      <c r="D302" s="466"/>
      <c r="E302" s="466"/>
      <c r="F302" s="466"/>
      <c r="G302" s="466"/>
      <c r="H302" s="466"/>
      <c r="I302" s="467"/>
      <c r="J302" s="467"/>
      <c r="K302" s="1669">
        <f>SUM(C302:J302)</f>
        <v>0</v>
      </c>
      <c r="L302" s="466"/>
    </row>
    <row r="303" spans="1:14" ht="12.75" customHeight="1" thickBot="1" x14ac:dyDescent="0.25">
      <c r="A303" s="1666" t="s">
        <v>810</v>
      </c>
      <c r="B303" s="1667" t="s">
        <v>568</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69">
        <f>SUM(E306,H306)</f>
        <v>0</v>
      </c>
      <c r="L306" s="467"/>
    </row>
    <row r="307" spans="1:14" x14ac:dyDescent="0.2">
      <c r="A307" s="1504" t="s">
        <v>303</v>
      </c>
      <c r="B307" s="614">
        <v>4120</v>
      </c>
      <c r="C307" s="616"/>
      <c r="D307" s="616"/>
      <c r="E307" s="467"/>
      <c r="F307" s="616"/>
      <c r="G307" s="616"/>
      <c r="H307" s="467"/>
      <c r="I307" s="477"/>
      <c r="J307" s="616"/>
      <c r="K307" s="1669">
        <f>SUM(E307,H307)</f>
        <v>0</v>
      </c>
      <c r="L307" s="466"/>
    </row>
    <row r="308" spans="1:14" x14ac:dyDescent="0.2">
      <c r="A308" s="1504" t="s">
        <v>696</v>
      </c>
      <c r="B308" s="614">
        <v>4140</v>
      </c>
      <c r="C308" s="616"/>
      <c r="D308" s="616"/>
      <c r="E308" s="467"/>
      <c r="F308" s="616"/>
      <c r="G308" s="616"/>
      <c r="H308" s="467"/>
      <c r="I308" s="477"/>
      <c r="J308" s="616"/>
      <c r="K308" s="1669">
        <f>SUM(E308,H308)</f>
        <v>0</v>
      </c>
      <c r="L308" s="466"/>
    </row>
    <row r="309" spans="1:14" ht="12.75" customHeight="1" x14ac:dyDescent="0.2">
      <c r="A309" s="1508" t="s">
        <v>697</v>
      </c>
      <c r="B309" s="628">
        <v>4190</v>
      </c>
      <c r="C309" s="616"/>
      <c r="D309" s="616"/>
      <c r="E309" s="467"/>
      <c r="F309" s="616"/>
      <c r="G309" s="616"/>
      <c r="H309" s="467"/>
      <c r="I309" s="477"/>
      <c r="J309" s="616"/>
      <c r="K309" s="1669">
        <f>SUM(E309,H309)</f>
        <v>0</v>
      </c>
      <c r="L309" s="466"/>
    </row>
    <row r="310" spans="1:14" ht="12.75" customHeight="1" thickBot="1" x14ac:dyDescent="0.25">
      <c r="A310" s="1666" t="s">
        <v>1486</v>
      </c>
      <c r="B310" s="1673" t="s">
        <v>859</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69" t="s">
        <v>276</v>
      </c>
      <c r="B312" s="2170"/>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5" t="s">
        <v>995</v>
      </c>
      <c r="B313" s="2166"/>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897</v>
      </c>
      <c r="B317" s="2179"/>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69">
        <f>SUM(C319:J319)</f>
        <v>0</v>
      </c>
      <c r="L319" s="467"/>
      <c r="M319" s="665"/>
      <c r="N319" s="665"/>
    </row>
    <row r="320" spans="1:14" s="674" customFormat="1" x14ac:dyDescent="0.2">
      <c r="A320" s="1523" t="s">
        <v>1804</v>
      </c>
      <c r="B320" s="698" t="s">
        <v>281</v>
      </c>
      <c r="C320" s="467"/>
      <c r="D320" s="467"/>
      <c r="E320" s="467">
        <v>4943</v>
      </c>
      <c r="F320" s="467"/>
      <c r="G320" s="467"/>
      <c r="H320" s="467"/>
      <c r="I320" s="467"/>
      <c r="J320" s="467"/>
      <c r="K320" s="1669">
        <f t="shared" ref="K320:K327" si="24">SUM(C320:J320)</f>
        <v>4943</v>
      </c>
      <c r="L320" s="467">
        <v>19502</v>
      </c>
      <c r="M320" s="665"/>
      <c r="N320" s="665"/>
    </row>
    <row r="321" spans="1:14" s="674" customFormat="1" x14ac:dyDescent="0.2">
      <c r="A321" s="1519" t="s">
        <v>299</v>
      </c>
      <c r="B321" s="697" t="s">
        <v>282</v>
      </c>
      <c r="C321" s="467"/>
      <c r="D321" s="467"/>
      <c r="E321" s="467"/>
      <c r="F321" s="467"/>
      <c r="G321" s="467"/>
      <c r="H321" s="467"/>
      <c r="I321" s="467"/>
      <c r="J321" s="467"/>
      <c r="K321" s="1669">
        <f t="shared" si="24"/>
        <v>0</v>
      </c>
      <c r="L321" s="467"/>
      <c r="M321" s="665"/>
      <c r="N321" s="665"/>
    </row>
    <row r="322" spans="1:14" s="674" customFormat="1" x14ac:dyDescent="0.2">
      <c r="A322" s="1519" t="s">
        <v>238</v>
      </c>
      <c r="B322" s="697" t="s">
        <v>283</v>
      </c>
      <c r="C322" s="467"/>
      <c r="D322" s="467"/>
      <c r="E322" s="467">
        <v>32480</v>
      </c>
      <c r="F322" s="467"/>
      <c r="G322" s="467"/>
      <c r="H322" s="467"/>
      <c r="I322" s="467"/>
      <c r="J322" s="467"/>
      <c r="K322" s="1669">
        <f t="shared" si="24"/>
        <v>32480</v>
      </c>
      <c r="L322" s="467">
        <v>17794</v>
      </c>
      <c r="M322" s="665"/>
      <c r="N322" s="665"/>
    </row>
    <row r="323" spans="1:14" s="674" customFormat="1" x14ac:dyDescent="0.2">
      <c r="A323" s="1519" t="s">
        <v>701</v>
      </c>
      <c r="B323" s="697" t="s">
        <v>284</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69">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69">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69">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69">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7">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716</v>
      </c>
      <c r="B330" s="1667" t="s">
        <v>568</v>
      </c>
      <c r="C330" s="1668">
        <f>SUM(C319:C329)</f>
        <v>0</v>
      </c>
      <c r="D330" s="1668">
        <f t="shared" ref="D330:J330" si="25">SUM(D319:D329)</f>
        <v>0</v>
      </c>
      <c r="E330" s="1668">
        <f t="shared" si="25"/>
        <v>37423</v>
      </c>
      <c r="F330" s="1668">
        <f t="shared" si="25"/>
        <v>0</v>
      </c>
      <c r="G330" s="1668">
        <f t="shared" si="25"/>
        <v>0</v>
      </c>
      <c r="H330" s="1668">
        <f t="shared" si="25"/>
        <v>0</v>
      </c>
      <c r="I330" s="1668">
        <f t="shared" si="25"/>
        <v>0</v>
      </c>
      <c r="J330" s="1668">
        <f t="shared" si="25"/>
        <v>0</v>
      </c>
      <c r="K330" s="1668">
        <f>SUM(K319:K329)</f>
        <v>37423</v>
      </c>
      <c r="L330" s="1668">
        <f>SUM(L319:L329)</f>
        <v>37296</v>
      </c>
      <c r="M330" s="665"/>
      <c r="N330" s="665"/>
    </row>
    <row r="331" spans="1:14" s="674" customFormat="1" ht="12.75" customHeight="1" thickTop="1" x14ac:dyDescent="0.2">
      <c r="A331" s="1829" t="s">
        <v>1849</v>
      </c>
      <c r="B331" s="647" t="s">
        <v>859</v>
      </c>
      <c r="C331" s="1831"/>
      <c r="D331" s="1831"/>
      <c r="E331" s="1831"/>
      <c r="F331" s="1831"/>
      <c r="G331" s="1831"/>
      <c r="H331" s="1831"/>
      <c r="I331" s="1831"/>
      <c r="J331" s="1831"/>
      <c r="K331" s="1831"/>
      <c r="L331" s="1831"/>
      <c r="M331" s="665"/>
      <c r="N331" s="665"/>
    </row>
    <row r="332" spans="1:14" s="674" customFormat="1" ht="12.75" customHeight="1" x14ac:dyDescent="0.2">
      <c r="A332" s="1830" t="s">
        <v>495</v>
      </c>
      <c r="B332" s="1825" t="s">
        <v>1843</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303</v>
      </c>
      <c r="B333" s="1825" t="s">
        <v>1845</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1850</v>
      </c>
      <c r="B334" s="1825" t="s">
        <v>859</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69">
        <f>H337</f>
        <v>0</v>
      </c>
      <c r="L337" s="478"/>
    </row>
    <row r="338" spans="1:14" ht="12.75" customHeight="1" x14ac:dyDescent="0.2">
      <c r="A338" s="1518" t="s">
        <v>1169</v>
      </c>
      <c r="B338" s="690" t="s">
        <v>616</v>
      </c>
      <c r="C338" s="638"/>
      <c r="D338" s="638"/>
      <c r="E338" s="638"/>
      <c r="F338" s="638"/>
      <c r="G338" s="638"/>
      <c r="H338" s="478"/>
      <c r="I338" s="638"/>
      <c r="J338" s="638"/>
      <c r="K338" s="1669">
        <f>H338</f>
        <v>0</v>
      </c>
      <c r="L338" s="478"/>
    </row>
    <row r="339" spans="1:14" x14ac:dyDescent="0.2">
      <c r="A339" s="1504" t="s">
        <v>900</v>
      </c>
      <c r="B339" s="628">
        <v>5150</v>
      </c>
      <c r="C339" s="638"/>
      <c r="D339" s="638"/>
      <c r="E339" s="638"/>
      <c r="F339" s="638"/>
      <c r="G339" s="638"/>
      <c r="H339" s="467"/>
      <c r="I339" s="638"/>
      <c r="J339" s="638"/>
      <c r="K339" s="1669">
        <f>H339</f>
        <v>0</v>
      </c>
      <c r="L339" s="467"/>
    </row>
    <row r="340" spans="1:14" ht="13.5" thickBot="1" x14ac:dyDescent="0.25">
      <c r="A340" s="1692" t="s">
        <v>901</v>
      </c>
      <c r="B340" s="1667" t="s">
        <v>491</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4" t="s">
        <v>504</v>
      </c>
      <c r="B342" s="1699"/>
      <c r="C342" s="1668">
        <f>SUM(C330)</f>
        <v>0</v>
      </c>
      <c r="D342" s="1668">
        <f>SUM(D330)</f>
        <v>0</v>
      </c>
      <c r="E342" s="1668">
        <f>SUM(E330)</f>
        <v>37423</v>
      </c>
      <c r="F342" s="1668">
        <f>SUM(F330)</f>
        <v>0</v>
      </c>
      <c r="G342" s="1668">
        <f>SUM(G330)</f>
        <v>0</v>
      </c>
      <c r="H342" s="1668">
        <f>SUM(H330,H334,H340)</f>
        <v>0</v>
      </c>
      <c r="I342" s="1668">
        <f>SUM(I330)</f>
        <v>0</v>
      </c>
      <c r="J342" s="1668">
        <f>SUM(J330)</f>
        <v>0</v>
      </c>
      <c r="K342" s="1668">
        <f>SUM(K330,K334,K340)</f>
        <v>37423</v>
      </c>
      <c r="L342" s="1675">
        <f>SUM(L330,L334,L340,L341)</f>
        <v>37296</v>
      </c>
    </row>
    <row r="343" spans="1:14" ht="12.75" customHeight="1" thickTop="1" x14ac:dyDescent="0.2">
      <c r="A343" s="2167" t="s">
        <v>995</v>
      </c>
      <c r="B343" s="2168"/>
      <c r="C343" s="616"/>
      <c r="D343" s="616"/>
      <c r="E343" s="616"/>
      <c r="F343" s="616"/>
      <c r="G343" s="616"/>
      <c r="H343" s="616"/>
      <c r="I343" s="616"/>
      <c r="J343" s="616"/>
      <c r="K343" s="1682">
        <f>'Revenues 9-14'!J268-'Expenditures 15-22'!K342</f>
        <v>360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965</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row>
    <row r="349" spans="1:14" x14ac:dyDescent="0.2">
      <c r="A349" s="1504" t="s">
        <v>197</v>
      </c>
      <c r="B349" s="614">
        <v>2540</v>
      </c>
      <c r="C349" s="466"/>
      <c r="D349" s="466"/>
      <c r="E349" s="466"/>
      <c r="F349" s="466"/>
      <c r="G349" s="466"/>
      <c r="H349" s="466"/>
      <c r="I349" s="467"/>
      <c r="J349" s="467"/>
      <c r="K349" s="1669">
        <f>SUM(C349:J349)</f>
        <v>0</v>
      </c>
      <c r="L349" s="466"/>
    </row>
    <row r="350" spans="1:14" ht="12.75" customHeight="1" thickBot="1" x14ac:dyDescent="0.25">
      <c r="A350" s="1666" t="s">
        <v>718</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6" t="s">
        <v>623</v>
      </c>
      <c r="B352" s="1673" t="s">
        <v>568</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2" t="s">
        <v>1851</v>
      </c>
      <c r="B354" s="683" t="s">
        <v>1843</v>
      </c>
      <c r="C354" s="616"/>
      <c r="D354" s="616"/>
      <c r="E354" s="616"/>
      <c r="F354" s="616"/>
      <c r="G354" s="616"/>
      <c r="H354" s="474"/>
      <c r="I354" s="701"/>
      <c r="J354" s="616"/>
      <c r="K354" s="1697">
        <f>H354</f>
        <v>0</v>
      </c>
      <c r="L354" s="471"/>
    </row>
    <row r="355" spans="1:14" ht="12.75" customHeight="1" x14ac:dyDescent="0.2">
      <c r="A355" s="1513" t="s">
        <v>1852</v>
      </c>
      <c r="B355" s="690" t="s">
        <v>1845</v>
      </c>
      <c r="C355" s="616"/>
      <c r="D355" s="616"/>
      <c r="E355" s="616"/>
      <c r="F355" s="616"/>
      <c r="G355" s="616"/>
      <c r="H355" s="467"/>
      <c r="I355" s="701"/>
      <c r="J355" s="616"/>
      <c r="K355" s="1741">
        <f>H355</f>
        <v>0</v>
      </c>
      <c r="L355" s="467"/>
    </row>
    <row r="356" spans="1:14" ht="12.75" customHeight="1" x14ac:dyDescent="0.2">
      <c r="A356" s="1832" t="s">
        <v>697</v>
      </c>
      <c r="B356" s="683" t="s">
        <v>557</v>
      </c>
      <c r="C356" s="616"/>
      <c r="D356" s="616"/>
      <c r="E356" s="616"/>
      <c r="F356" s="616"/>
      <c r="G356" s="616"/>
      <c r="H356" s="479"/>
      <c r="I356" s="701"/>
      <c r="J356" s="616"/>
      <c r="K356" s="1738">
        <f>H356</f>
        <v>0</v>
      </c>
      <c r="L356" s="479"/>
    </row>
    <row r="357" spans="1:14" ht="12.75" customHeight="1" thickBot="1" x14ac:dyDescent="0.25">
      <c r="A357" s="1666" t="s">
        <v>1486</v>
      </c>
      <c r="B357" s="1667" t="s">
        <v>859</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618</v>
      </c>
      <c r="B361" s="602" t="s">
        <v>617</v>
      </c>
      <c r="C361" s="616"/>
      <c r="D361" s="616"/>
      <c r="E361" s="616"/>
      <c r="F361" s="616"/>
      <c r="G361" s="616"/>
      <c r="H361" s="467"/>
      <c r="I361" s="616"/>
      <c r="J361" s="616"/>
      <c r="K361" s="1669">
        <f>SUM(C361:J361)</f>
        <v>0</v>
      </c>
      <c r="L361" s="466"/>
    </row>
    <row r="362" spans="1:14" ht="12.75" customHeight="1" thickBot="1" x14ac:dyDescent="0.25">
      <c r="A362" s="1666" t="s">
        <v>625</v>
      </c>
      <c r="B362" s="1667" t="s">
        <v>717</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589</v>
      </c>
      <c r="B365" s="659" t="s">
        <v>491</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0" t="s">
        <v>504</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54" t="s">
        <v>995</v>
      </c>
      <c r="B368" s="2155"/>
      <c r="C368" s="654"/>
      <c r="D368" s="654"/>
      <c r="E368" s="626"/>
      <c r="F368" s="626"/>
      <c r="G368" s="626"/>
      <c r="H368" s="626"/>
      <c r="I368" s="626"/>
      <c r="J368" s="623"/>
      <c r="K368" s="1669">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purl.org/dc/dcmitype/"/>
    <ds:schemaRef ds:uri="http://www.w3.org/XML/1998/namespace"/>
    <ds:schemaRef ds:uri="http://schemas.openxmlformats.org/package/2006/metadata/core-properties"/>
    <ds:schemaRef ds:uri="d21dc803-237d-4c68-8692-8d731fd29118"/>
    <ds:schemaRef ds:uri="http://purl.org/dc/elements/1.1/"/>
    <ds:schemaRef ds:uri="http://purl.org/dc/terms/"/>
    <ds:schemaRef ds:uri="http://schemas.microsoft.com/office/2006/documentManagement/types"/>
    <ds:schemaRef ds:uri="http://schemas.microsoft.com/office/infopath/2007/PartnerControl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2019-10-03T15:09:45Z</cp:lastPrinted>
  <dcterms:created xsi:type="dcterms:W3CDTF">2003-10-29T19:06:34Z</dcterms:created>
  <dcterms:modified xsi:type="dcterms:W3CDTF">2019-12-23T14:15:14Z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