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6066AB5-F92C-4C0F-8753-6DB51A1433C5}"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E19" i="181"/>
  <c r="F19" i="181" s="1"/>
  <c r="F20" i="181" l="1"/>
  <c r="G20" i="181" s="1"/>
  <c r="G19"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352" i="29" l="1"/>
  <c r="J367" i="29" s="1"/>
  <c r="B7245" i="106" s="1"/>
  <c r="D7245" i="106" s="1"/>
  <c r="B3647" i="106"/>
  <c r="D3647" i="106" s="1"/>
  <c r="K76" i="4"/>
  <c r="B3586" i="106" s="1"/>
  <c r="D3586" i="106" s="1"/>
  <c r="L13" i="11"/>
  <c r="B2060" i="106" s="1"/>
  <c r="D2060"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L16" i="11"/>
  <c r="B2061" i="106" s="1"/>
  <c r="D2061" i="106" s="1"/>
  <c r="D7254" i="106"/>
  <c r="J16" i="4"/>
  <c r="B6226" i="106" s="1"/>
  <c r="D6226" i="106" s="1"/>
  <c r="D7250" i="106"/>
  <c r="D44" i="36"/>
  <c r="L114" i="29"/>
  <c r="C114" i="29"/>
  <c r="B757" i="106" s="1"/>
  <c r="D757" i="106" s="1"/>
  <c r="B5527" i="106"/>
  <c r="D5527" i="106" s="1"/>
  <c r="B2031" i="106"/>
  <c r="D2031"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<sst xmlns="http://schemas.openxmlformats.org/spreadsheetml/2006/main" count="5146" uniqueCount="2125">
  <si>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</si>
  <si>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</si>
  <si>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</si>
  <si>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</si>
  <si>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</si>
  <si>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</si>
  <si>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</si>
  <si>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</si>
  <si>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</si>
  <si>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</si>
  <si>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</si>
  <si>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</si>
  <si>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</si>
  <si>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</si>
  <si>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</si>
  <si>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</si>
  <si>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</si>
  <si>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</si>
  <si>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</si>
  <si>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</si>
  <si>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</si>
  <si>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</si>
  <si>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</si>
  <si>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</si>
  <si>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</si>
  <si>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</si>
  <si>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</si>
  <si>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</si>
  <si>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</si>
  <si>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</si>
  <si>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</si>
  <si>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</si>
  <si>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</si>
  <si>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</si>
  <si>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</si>
  <si>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</si>
  <si>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</si>
  <si>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</si>
  <si>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</si>
  <si>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</si>
  <si>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</si>
  <si>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</si>
  <si>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</si>
  <si>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</si>
  <si>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</si>
  <si>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</si>
  <si>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</si>
  <si>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</si>
  <si>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</si>
  <si>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</si>
  <si>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</si>
  <si>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</si>
  <si>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</si>
  <si>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</si>
  <si>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</si>
  <si>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</si>
  <si>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</si>
  <si>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</si>
  <si>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</si>
  <si>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</si>
  <si>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</si>
  <si>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</si>
  <si>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</si>
  <si>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</si>
  <si>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</si>
  <si>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</si>
  <si>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</si>
  <si>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</si>
  <si>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</si>
  <si>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</si>
  <si>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</si>
  <si>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</si>
  <si>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</si>
  <si>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</si>
  <si>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</si>
  <si>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</si>
  <si>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</si>
  <si>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</si>
  <si>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</si>
  <si>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</si>
  <si>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</si>
  <si>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</si>
  <si>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</si>
  <si>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</si>
  <si>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</si>
  <si>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</si>
  <si>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</si>
  <si>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</si>
  <si>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</si>
  <si>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</si>
  <si>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</si>
  <si>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</si>
  <si>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</si>
  <si>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</si>
  <si>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</si>
  <si>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</si>
  <si>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</si>
  <si>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</si>
  <si>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</si>
  <si>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</si>
  <si>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</si>
  <si>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</si>
  <si>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</si>
  <si>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</si>
  <si>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</si>
  <si>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</si>
  <si>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</si>
  <si>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</si>
  <si>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</si>
  <si>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</si>
  <si>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</si>
  <si>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</si>
  <si>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</si>
  <si>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</si>
  <si>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</si>
  <si>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</si>
  <si>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</si>
  <si>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</si>
  <si>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</si>
  <si>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</si>
  <si>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</si>
  <si>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</si>
  <si>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</si>
  <si>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</si>
  <si>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</si>
  <si>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</si>
  <si>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</si>
  <si>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</si>
  <si>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</si>
  <si>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</si>
  <si>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</si>
  <si>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</si>
  <si>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</si>
  <si>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</si>
  <si>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</si>
  <si>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</si>
  <si>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</si>
  <si>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</si>
  <si>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</si>
  <si>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</si>
  <si>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</si>
  <si>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</si>
  <si>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</si>
  <si>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</si>
  <si>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</si>
  <si>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</si>
  <si>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</si>
  <si>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</si>
  <si>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</si>
  <si>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</si>
  <si>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</si>
  <si>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</si>
  <si>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</si>
  <si>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</si>
  <si>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</si>
  <si>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</si>
  <si>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</si>
  <si>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</si>
  <si>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</si>
  <si>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</si>
  <si>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</si>
  <si>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</si>
  <si>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</si>
  <si>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</si>
  <si>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</si>
  <si>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</si>
  <si>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</si>
  <si>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</si>
  <si>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</si>
  <si>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</si>
  <si>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</si>
  <si>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</si>
  <si>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</si>
  <si>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</si>
  <si>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</si>
  <si>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</si>
  <si>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</si>
  <si>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</si>
  <si>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</si>
  <si>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</si>
  <si>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</si>
  <si>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</si>
  <si>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</si>
  <si>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</si>
  <si>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</si>
  <si>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</si>
  <si>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</si>
  <si>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</si>
  <si>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</si>
  <si>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</si>
  <si>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</si>
  <si>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</si>
  <si>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</si>
  <si>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</si>
  <si>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</si>
  <si>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</si>
  <si>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</si>
  <si>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</si>
  <si>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</si>
  <si>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</si>
  <si>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</si>
  <si>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</si>
  <si>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</si>
  <si>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</si>
  <si>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</si>
  <si>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</si>
  <si>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</si>
  <si>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</si>
  <si>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</si>
  <si>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</si>
  <si>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</si>
  <si>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</si>
  <si>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</si>
  <si>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</si>
  <si>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</si>
  <si>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</si>
  <si>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</si>
  <si>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</si>
  <si>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</si>
  <si>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</si>
  <si>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</si>
  <si>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</si>
  <si>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</si>
  <si>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</si>
  <si>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</si>
  <si>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</si>
  <si>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</si>
  <si>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</si>
  <si>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</si>
  <si>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</si>
  <si>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</si>
  <si>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</si>
  <si>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</si>
  <si>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</si>
  <si>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</si>
  <si>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</si>
  <si>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</si>
  <si>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</si>
  <si>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</si>
  <si>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</si>
  <si>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</si>
  <si>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</si>
  <si>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</si>
  <si>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</si>
  <si>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</si>
  <si>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</si>
  <si>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</si>
  <si>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</si>
  <si>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</si>
  <si>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</si>
  <si>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</si>
  <si>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</si>
  <si>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</si>
  <si>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</si>
  <si>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</si>
  <si>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</si>
  <si>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</si>
  <si>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</si>
  <si>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</si>
  <si>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</si>
  <si>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</si>
  <si>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</si>
  <si>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</si>
  <si>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</si>
  <si>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</si>
  <si>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</si>
  <si>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</si>
  <si>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</si>
  <si>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</si>
  <si>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</si>
  <si>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</si>
  <si>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</si>
  <si>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</si>
  <si>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</si>
  <si>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</si>
  <si>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</si>
  <si>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</si>
  <si>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</si>
  <si>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</si>
  <si>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</si>
  <si>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</si>
  <si>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</si>
  <si>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</si>
  <si>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</si>
  <si>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</si>
  <si>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</si>
  <si>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</si>
  <si>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</si>
  <si>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</si>
  <si>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</si>
  <si>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</si>
  <si>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</si>
  <si>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</si>
  <si>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</si>
  <si>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</si>
  <si>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</si>
  <si>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</si>
  <si>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</si>
  <si>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</si>
  <si>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</si>
  <si>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</si>
  <si>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</si>
  <si>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</si>
  <si>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</si>
  <si>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</si>
  <si>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</si>
  <si>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</si>
  <si>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</si>
  <si>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</si>
  <si>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</si>
  <si>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</si>
  <si>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</si>
  <si>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</si>
  <si>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</si>
  <si>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</si>
  <si>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</si>
  <si>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</si>
  <si>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</si>
  <si>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</si>
  <si>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</si>
  <si>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</si>
  <si>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</si>
  <si>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</si>
  <si>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</si>
  <si>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</si>
  <si>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</si>
  <si>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</si>
  <si>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</si>
  <si>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</si>
  <si>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</si>
  <si>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</si>
  <si>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</si>
  <si>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</si>
  <si>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</si>
  <si>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</si>
  <si>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</si>
  <si>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</si>
  <si>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</si>
  <si>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</si>
  <si>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</si>
  <si>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</si>
  <si>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</si>
  <si>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</si>
  <si>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</si>
  <si>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</si>
  <si>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</si>
  <si>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</si>
  <si>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</si>
  <si>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</si>
  <si>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</si>
  <si>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</si>
  <si>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</si>
  <si>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</si>
  <si>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</si>
  <si>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</si>
  <si>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</si>
  <si>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</si>
  <si>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</si>
  <si>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</si>
  <si>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</si>
  <si>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</si>
  <si>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</si>
  <si>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</si>
  <si>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</si>
  <si>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</si>
  <si>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</si>
  <si>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</si>
  <si>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</si>
  <si>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</si>
  <si>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</si>
  <si>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</si>
  <si>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</si>
  <si>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</si>
  <si>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</si>
  <si>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</si>
  <si>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</si>
  <si>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</si>
  <si>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</si>
  <si>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</si>
  <si>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</si>
  <si>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</si>
  <si>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</si>
  <si>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</si>
  <si>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</si>
  <si>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</si>
  <si>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</si>
  <si>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</si>
  <si>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</si>
  <si>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</si>
  <si>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</si>
  <si>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</si>
  <si>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</si>
  <si>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</si>
  <si>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</si>
  <si>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</si>
  <si>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</si>
  <si>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</si>
  <si>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</si>
  <si>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</si>
  <si>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</si>
  <si>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</si>
  <si>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</si>
  <si>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</si>
  <si>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</si>
  <si>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</si>
  <si>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</si>
  <si>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</si>
  <si>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</si>
  <si>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</si>
  <si>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</si>
  <si>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</si>
  <si>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</si>
  <si>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</si>
  <si>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</si>
  <si>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</si>
  <si>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</si>
  <si>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</si>
  <si>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</si>
  <si>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</si>
  <si>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</si>
  <si>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</si>
  <si>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</si>
  <si>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</si>
  <si>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</si>
  <si>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</si>
  <si>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</si>
  <si>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</si>
  <si>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</si>
  <si>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</si>
  <si>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</si>
  <si>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</si>
  <si>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</si>
  <si>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</si>
  <si>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</si>
  <si>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</si>
  <si>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</si>
  <si>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</si>
  <si>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</si>
  <si>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</si>
  <si>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</si>
  <si>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</si>
  <si>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</si>
  <si>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</si>
  <si>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</si>
  <si>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</si>
  <si>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</si>
  <si>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</si>
  <si>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</si>
  <si>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</si>
  <si>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</si>
  <si>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</si>
  <si>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</si>
  <si>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</si>
  <si>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</si>
  <si>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</si>
  <si>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</si>
  <si>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</si>
  <si>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</si>
  <si>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</si>
  <si>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</si>
  <si>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</si>
  <si>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</si>
  <si>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</si>
  <si>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</si>
  <si>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</si>
  <si>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</si>
  <si>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</si>
  <si>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</si>
  <si>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</si>
  <si>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</si>
  <si>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</si>
  <si>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</si>
  <si>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</si>
  <si>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</si>
  <si>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</si>
  <si>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</si>
  <si>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</si>
  <si>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</si>
  <si>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</si>
  <si>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</si>
  <si>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</si>
  <si>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</si>
  <si>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</si>
  <si>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</si>
  <si>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</si>
  <si>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</si>
  <si>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</si>
  <si>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</si>
  <si>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</si>
  <si>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</si>
  <si>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</si>
  <si>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</si>
  <si>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</si>
  <si>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</si>
  <si>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</si>
  <si>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</si>
  <si>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</si>
  <si>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</si>
  <si>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</si>
  <si>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</si>
  <si>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</si>
  <si>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</si>
  <si>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</si>
  <si>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</si>
  <si>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</si>
  <si>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</si>
  <si>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</si>
  <si>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</si>
  <si>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</si>
  <si>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</si>
  <si>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</si>
  <si>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</si>
  <si>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</si>
  <si>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</si>
  <si>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</si>
  <si>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</si>
  <si>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</si>
  <si>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</si>
  <si>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</si>
  <si>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</si>
  <si>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</si>
  <si>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</si>
  <si>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</si>
  <si>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</si>
  <si>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</si>
  <si>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</si>
  <si>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</si>
  <si>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</si>
  <si>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</si>
  <si>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</si>
  <si>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</si>
  <si>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</si>
  <si>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</si>
  <si>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</si>
  <si>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</si>
  <si>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</si>
  <si>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</si>
  <si>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</si>
  <si>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</si>
  <si>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</si>
  <si>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</si>
  <si>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</si>
  <si>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</si>
  <si>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</si>
  <si>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</si>
  <si>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</si>
  <si>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</si>
  <si>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</si>
  <si>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</si>
  <si>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</si>
  <si>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</si>
  <si>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</si>
  <si>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</si>
  <si>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</si>
  <si>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</si>
  <si>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</si>
  <si>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</si>
  <si>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</si>
  <si>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</si>
  <si>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</si>
  <si>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</si>
  <si>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</si>
  <si>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</si>
  <si>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</si>
  <si>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</si>
  <si>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</si>
  <si>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</si>
  <si>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</si>
  <si>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</si>
  <si>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</si>
  <si>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</si>
  <si>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</si>
  <si>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</si>
  <si>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</si>
  <si>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</si>
  <si>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</si>
  <si>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</si>
  <si>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</si>
  <si>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</si>
  <si>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</si>
  <si>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</si>
  <si>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</si>
  <si>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</si>
  <si>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</si>
  <si>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</si>
  <si>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</si>
  <si>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</si>
  <si>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</si>
  <si>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</si>
  <si>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</si>
  <si>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</si>
  <si>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</si>
  <si>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</si>
  <si>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</si>
  <si>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</si>
  <si>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</si>
  <si>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</si>
  <si>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</si>
  <si>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</si>
  <si>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</si>
  <si>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</si>
  <si>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</si>
  <si>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</si>
  <si>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</si>
  <si>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</si>
  <si>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</si>
  <si>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</si>
  <si>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</si>
  <si>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</si>
  <si>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</si>
  <si>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</si>
  <si>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</si>
  <si>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</si>
  <si>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</si>
  <si>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</si>
  <si>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</si>
  <si>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</si>
  <si>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</si>
  <si>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</si>
  <si>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</si>
  <si>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</si>
  <si>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</si>
  <si>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</si>
  <si>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</si>
  <si>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</si>
  <si>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</si>
  <si>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</si>
  <si>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</si>
  <si>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</si>
  <si>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</si>
  <si>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</si>
  <si>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</si>
  <si>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</si>
  <si>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</si>
  <si>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</si>
  <si>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</si>
  <si>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</si>
  <si>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</si>
  <si>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</si>
  <si>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</si>
  <si>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</si>
  <si>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</si>
  <si>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</si>
  <si>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</si>
  <si>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</si>
  <si>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</si>
  <si>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</si>
  <si>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</si>
  <si>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</si>
  <si>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</si>
  <si>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</si>
  <si>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</si>
  <si>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</si>
  <si>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</si>
  <si>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</si>
  <si>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</si>
  <si>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</si>
  <si>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</si>
  <si>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</si>
  <si>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</si>
  <si>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</si>
  <si>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</si>
  <si>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</si>
  <si>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</si>
  <si>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</si>
  <si>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</si>
  <si>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</si>
  <si>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</si>
  <si>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</si>
  <si>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</si>
  <si>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</si>
  <si>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</si>
  <si>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</si>
  <si>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</si>
  <si>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</si>
  <si>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</si>
  <si>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</si>
  <si>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</si>
  <si>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</si>
  <si>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</si>
  <si>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</si>
  <si>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</si>
  <si>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</si>
  <si>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</si>
  <si>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</si>
  <si>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</si>
  <si>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</si>
  <si>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</si>
  <si>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</si>
  <si>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</si>
  <si>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</si>
  <si>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</si>
  <si>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</si>
  <si>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</si>
  <si>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</si>
  <si>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</si>
  <si>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</si>
  <si>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</si>
  <si>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</si>
  <si>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</si>
  <si>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</si>
  <si>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</si>
  <si>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</si>
  <si>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</si>
  <si>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</si>
  <si>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</si>
  <si>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</si>
  <si>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</si>
  <si>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</si>
  <si>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</si>
  <si>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</si>
  <si>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</si>
  <si>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</si>
  <si>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</si>
  <si>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</si>
  <si>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</si>
  <si>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</si>
  <si>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</si>
  <si>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</si>
  <si>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</si>
  <si>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</si>
  <si>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</si>
  <si>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</si>
  <si>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</si>
  <si>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</si>
  <si>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</si>
  <si>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</si>
  <si>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</si>
  <si>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</si>
  <si>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</si>
  <si>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</si>
  <si>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</si>
  <si>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</si>
  <si>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</si>
  <si>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</si>
  <si>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</si>
  <si>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</si>
  <si>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</si>
  <si>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</si>
  <si>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</si>
  <si>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</si>
  <si>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</si>
  <si>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</si>
  <si>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</si>
  <si>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</si>
  <si>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</si>
  <si>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</si>
  <si>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</si>
  <si>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</si>
  <si>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</si>
  <si>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</si>
  <si>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</si>
  <si>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</si>
  <si>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</si>
  <si>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</si>
  <si>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</si>
  <si>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</si>
  <si>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</si>
  <si>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</si>
  <si>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</si>
  <si>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</si>
  <si>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</si>
  <si>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</si>
  <si>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</si>
  <si>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</si>
  <si>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</si>
  <si>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</si>
  <si>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</si>
  <si>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</si>
  <si>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</si>
  <si>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</si>
  <si>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</si>
  <si>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</si>
  <si>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</si>
  <si>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</si>
  <si>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</si>
  <si>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</si>
  <si>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</si>
  <si>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</si>
  <si>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</si>
  <si>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</si>
  <si>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</si>
  <si>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</si>
  <si>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</si>
  <si>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</si>
  <si>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</si>
  <si>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</si>
  <si>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</si>
  <si>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</si>
  <si>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</si>
  <si>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</si>
  <si>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</si>
  <si>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</si>
  <si>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</si>
  <si>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</si>
  <si>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</si>
  <si>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</si>
  <si>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</si>
  <si>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</si>
  <si>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</si>
  <si>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</si>
  <si>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</si>
  <si>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</si>
  <si>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</si>
  <si>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</si>
  <si>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</si>
  <si>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</si>
  <si>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</si>
  <si>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</si>
  <si>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</si>
  <si>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</si>
  <si>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</si>
  <si>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</si>
  <si>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</si>
  <si>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</si>
  <si>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</si>
  <si>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</si>
  <si>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</si>
  <si>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</si>
  <si>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</si>
  <si>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</si>
  <si>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</si>
  <si>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</si>
  <si>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</si>
  <si>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</si>
  <si>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</si>
  <si>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</si>
  <si>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</si>
  <si>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</si>
  <si>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</si>
  <si>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</si>
  <si>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</si>
  <si>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</si>
  <si>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</si>
  <si>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</si>
  <si>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</si>
  <si>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</si>
  <si>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</si>
  <si>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</si>
  <si>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</si>
  <si>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</si>
  <si>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</si>
  <si>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</si>
  <si>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</si>
  <si>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</si>
  <si>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</si>
  <si>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</si>
  <si>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</si>
  <si>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</si>
  <si>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</si>
  <si>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</si>
  <si>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</si>
  <si>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</si>
  <si>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</si>
  <si>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</si>
  <si>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</si>
  <si>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</si>
  <si>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</si>
  <si>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</si>
  <si>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</si>
  <si>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</si>
  <si>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</si>
  <si>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</si>
  <si>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</si>
  <si>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</si>
  <si>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</si>
  <si>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</si>
  <si>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</si>
  <si>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</si>
  <si>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</si>
  <si>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</si>
  <si>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</si>
  <si>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</si>
  <si>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</si>
  <si>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</si>
  <si>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</si>
  <si>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</si>
  <si>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</si>
  <si>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</si>
  <si>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</si>
  <si>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</si>
  <si>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</si>
  <si>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</si>
  <si>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</si>
  <si>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</si>
  <si>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</si>
  <si>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</si>
  <si>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</si>
  <si>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</si>
  <si>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</si>
  <si>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</si>
  <si>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</si>
  <si>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</si>
  <si>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</si>
  <si>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</si>
  <si>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</si>
  <si>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</si>
  <si>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</si>
  <si>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</si>
  <si>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</si>
  <si>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</si>
  <si>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</si>
  <si>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</si>
  <si>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</si>
  <si>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</si>
  <si>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</si>
  <si>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</si>
  <si>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</si>
  <si>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</si>
  <si>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</si>
  <si>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</si>
  <si>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</si>
  <si>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</si>
  <si>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</si>
  <si>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</si>
  <si>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</si>
  <si>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</si>
  <si>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</si>
  <si>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</si>
  <si>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</si>
  <si>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</si>
  <si>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</si>
  <si>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</si>
  <si>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</si>
  <si>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</si>
  <si>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</si>
  <si>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</si>
  <si>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</si>
  <si>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</si>
  <si>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</si>
  <si>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</si>
  <si>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</si>
  <si>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</si>
  <si>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</si>
  <si>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</si>
  <si>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</si>
  <si>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</si>
  <si>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</si>
  <si>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</si>
  <si>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</si>
  <si>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</si>
  <si>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</si>
  <si>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</si>
  <si>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</si>
  <si>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</si>
  <si>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</si>
  <si>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</si>
  <si>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</si>
  <si>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</si>
  <si>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</si>
  <si>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</si>
  <si>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</si>
  <si>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</si>
  <si>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</si>
  <si>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</si>
  <si>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</si>
  <si>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</si>
  <si>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</si>
  <si>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</si>
  <si>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</si>
  <si>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</si>
  <si>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</si>
  <si>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</si>
  <si>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</si>
  <si>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</si>
  <si>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</si>
  <si>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</si>
  <si>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</si>
  <si>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</si>
  <si>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</si>
  <si>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</si>
  <si>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</si>
  <si>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</si>
  <si>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</si>
  <si>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</si>
  <si>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</si>
  <si>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</si>
  <si>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</si>
  <si>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</si>
  <si>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</si>
  <si>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</si>
  <si>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</si>
  <si>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</si>
  <si>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</si>
  <si>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</si>
  <si>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</si>
  <si>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</si>
  <si>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</si>
  <si>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</si>
  <si>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</si>
  <si>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</si>
  <si>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</si>
  <si>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</si>
  <si>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</si>
  <si>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</si>
  <si>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</si>
  <si>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</si>
  <si>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</si>
  <si>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</si>
  <si>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</si>
  <si>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</si>
  <si>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</si>
  <si>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</si>
  <si>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</si>
  <si>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</si>
  <si>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</si>
  <si>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</si>
  <si>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</si>
  <si>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</si>
  <si>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</si>
  <si>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</si>
  <si>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</si>
  <si>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</si>
  <si>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</si>
  <si>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</si>
  <si>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</si>
  <si>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</si>
  <si>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</si>
  <si>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</si>
  <si>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</si>
  <si>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</si>
  <si>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</si>
  <si>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</si>
  <si>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</si>
  <si>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</si>
  <si>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</si>
  <si>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</si>
  <si>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</si>
  <si>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</si>
  <si>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</si>
  <si>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</si>
  <si>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</si>
  <si>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</si>
  <si>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</si>
  <si>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</si>
  <si>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</si>
  <si>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</si>
  <si>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</si>
  <si>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</si>
  <si>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</si>
  <si>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</si>
  <si>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</si>
  <si>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</si>
  <si>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</si>
  <si>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</si>
  <si>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</si>
  <si>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</si>
  <si>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</si>
  <si>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</si>
  <si>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</si>
  <si>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</si>
  <si>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</si>
  <si>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</si>
  <si>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</si>
  <si>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</si>
  <si>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</si>
  <si>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</si>
  <si>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</si>
  <si>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</si>
  <si>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</si>
  <si>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</si>
  <si>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</si>
  <si>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</si>
  <si>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</si>
  <si>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</si>
  <si>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</si>
  <si>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</si>
  <si>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</si>
  <si>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</si>
  <si>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</si>
  <si>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</si>
  <si>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</si>
  <si>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</si>
  <si>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</si>
  <si>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</si>
  <si>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</si>
  <si>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</si>
  <si>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</si>
  <si>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</si>
  <si>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</si>
  <si>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</si>
  <si>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</si>
  <si>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</si>
  <si>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</si>
  <si>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</si>
  <si>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</si>
  <si>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</si>
  <si>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</si>
  <si>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</si>
  <si>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</si>
  <si>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</si>
  <si>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</si>
  <si>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</si>
  <si>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</si>
  <si>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</si>
  <si>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</si>
  <si>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</si>
  <si>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</si>
  <si>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</si>
  <si>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</si>
  <si>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</si>
  <si>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</si>
  <si>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</si>
  <si>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</si>
  <si>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</si>
  <si>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</si>
  <si>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</si>
  <si>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</si>
  <si>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</si>
  <si>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</si>
  <si>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</si>
  <si>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</si>
  <si>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</si>
  <si>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</si>
  <si>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</si>
  <si>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</si>
  <si>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</si>
  <si>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</si>
  <si>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</si>
  <si>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</si>
  <si>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</si>
  <si>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</si>
  <si>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</si>
  <si>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</si>
  <si>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</si>
  <si>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</si>
  <si>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</si>
  <si>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</si>
  <si>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</si>
  <si>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</si>
  <si>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</si>
  <si>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</si>
  <si>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</si>
  <si>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</si>
  <si>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</si>
  <si>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</si>
  <si>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</si>
  <si>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</si>
  <si>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</si>
  <si>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</si>
  <si>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</si>
  <si>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</si>
  <si>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</si>
  <si>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</si>
  <si>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</si>
  <si>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</si>
  <si>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</si>
  <si>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</si>
  <si>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</si>
  <si>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</si>
  <si>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</si>
  <si>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</si>
  <si>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</si>
  <si>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</si>
  <si>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</si>
  <si>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</si>
  <si>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</si>
  <si>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</si>
  <si>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</si>
  <si>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</si>
  <si>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</si>
  <si>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</si>
  <si>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</si>
  <si>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</si>
  <si>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</si>
  <si>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</si>
  <si>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</si>
  <si>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</si>
  <si>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</si>
  <si>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</si>
  <si>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</si>
  <si>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</si>
  <si>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</si>
  <si>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</si>
  <si>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</si>
  <si>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</si>
  <si>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</si>
  <si>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</si>
  <si>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</si>
  <si>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</si>
  <si>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</si>
  <si>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</si>
  <si>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</si>
  <si>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</si>
  <si>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</si>
  <si>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</si>
  <si>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</si>
  <si>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</si>
  <si>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</si>
  <si>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</si>
  <si>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</si>
  <si>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</si>
  <si>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</si>
  <si>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</si>
  <si>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</si>
  <si>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</si>
  <si>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</si>
  <si>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</si>
  <si>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</si>
  <si>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</si>
  <si>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</si>
  <si>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</si>
  <si>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</si>
  <si>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</si>
  <si>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</si>
  <si>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</si>
  <si>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</si>
  <si>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</si>
  <si>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</si>
  <si>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</si>
  <si>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</si>
  <si>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</si>
  <si>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</si>
  <si>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</si>
  <si>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</si>
  <si>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</si>
  <si>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</si>
  <si>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</si>
  <si>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</si>
  <si>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</si>
  <si>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</si>
  <si>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</si>
  <si>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</si>
  <si>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</si>
  <si>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</si>
  <si>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</si>
  <si>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</si>
  <si>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</si>
  <si>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</si>
  <si>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</si>
  <si>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</si>
  <si>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</si>
  <si>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</si>
  <si>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</si>
  <si>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</si>
  <si>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</si>
  <si>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</si>
  <si>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</si>
  <si>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</si>
  <si>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</si>
  <si>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</si>
  <si>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</si>
  <si>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</si>
  <si>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</si>
  <si>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</si>
  <si>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</si>
  <si>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</si>
  <si>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</si>
  <si>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</si>
  <si>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</si>
  <si>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</si>
  <si>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</si>
  <si>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</si>
  <si>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</si>
  <si>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</si>
  <si>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</si>
  <si>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</si>
  <si>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</si>
  <si>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</si>
  <si>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</si>
  <si>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</si>
  <si>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</si>
  <si>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</si>
  <si>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</si>
  <si>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</si>
  <si>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</si>
  <si>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</si>
  <si>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</si>
  <si>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</si>
  <si>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</si>
  <si>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</si>
  <si>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</si>
  <si>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</si>
  <si>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</si>
  <si>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</si>
  <si>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</si>
  <si>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</si>
  <si>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</si>
  <si>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</si>
  <si>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</si>
  <si>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</si>
  <si>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</si>
  <si>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</si>
  <si>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</si>
  <si>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</si>
  <si>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</si>
  <si>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</si>
  <si>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</si>
  <si>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</si>
  <si>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</si>
  <si>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</si>
  <si>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</si>
  <si>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</si>
  <si>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</si>
  <si>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</si>
  <si>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</si>
  <si>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</si>
  <si>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</si>
  <si>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</si>
  <si>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</si>
  <si>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</si>
  <si>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</si>
  <si>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</si>
  <si>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</si>
  <si>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</si>
  <si>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</si>
  <si>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</si>
  <si>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</si>
  <si>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</si>
  <si>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</si>
  <si>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</si>
  <si>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</si>
  <si>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</si>
  <si>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</si>
  <si>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</si>
  <si>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</si>
  <si>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</si>
  <si>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</si>
  <si>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</si>
  <si>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</si>
  <si>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</si>
  <si>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</si>
  <si>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</si>
  <si>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</si>
  <si>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</si>
  <si>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</si>
  <si>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</si>
  <si>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</si>
  <si>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</si>
  <si>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</si>
  <si>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</si>
  <si>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</si>
  <si>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</si>
  <si>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</si>
  <si>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</si>
  <si>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</si>
  <si>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</si>
  <si>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</si>
  <si>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</si>
  <si>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</si>
  <si>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</si>
  <si>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</si>
  <si>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</si>
  <si>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</si>
  <si>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</si>
  <si>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</si>
  <si>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</si>
  <si>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</si>
  <si>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</si>
  <si>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</si>
  <si>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</si>
  <si>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</si>
  <si>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</si>
  <si>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</si>
  <si>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</si>
  <si>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</si>
  <si>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</si>
  <si>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</si>
  <si>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</si>
  <si>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</si>
  <si>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</si>
  <si>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</si>
  <si>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</si>
  <si>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</si>
  <si>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</si>
  <si>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</si>
  <si>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</si>
  <si>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</si>
  <si>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</si>
  <si>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</si>
  <si>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</si>
  <si>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</si>
  <si>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</si>
  <si>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</si>
  <si>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</si>
  <si>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</si>
  <si>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</si>
  <si>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</si>
  <si>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</si>
  <si>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</si>
  <si>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</si>
  <si>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</si>
  <si>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</si>
  <si>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</si>
  <si>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</si>
  <si>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</si>
  <si>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</si>
  <si>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</si>
  <si>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</si>
  <si>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</si>
  <si>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</si>
  <si>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</si>
  <si>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</si>
  <si>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</si>
  <si>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</si>
  <si>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</si>
  <si>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</si>
  <si>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</si>
  <si>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</si>
  <si>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</si>
  <si>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</si>
  <si>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</si>
  <si>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</si>
  <si>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</si>
  <si>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</si>
  <si>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</si>
  <si>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</si>
  <si>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</si>
  <si>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</si>
  <si>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</si>
  <si>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</si>
  <si>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</si>
  <si>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</si>
  <si>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</si>
  <si>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</si>
  <si>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</si>
  <si>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</si>
  <si>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</si>
  <si>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</si>
  <si>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</si>
  <si>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</si>
  <si>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</si>
  <si>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</si>
  <si>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</si>
  <si>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</si>
  <si>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</si>
  <si>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</si>
  <si>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</si>
  <si>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</si>
  <si>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</si>
  <si>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</si>
  <si>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</si>
  <si>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</si>
  <si>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</si>
  <si>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</si>
  <si>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</si>
  <si>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</si>
  <si>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</si>
  <si>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</si>
  <si>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</si>
  <si>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</si>
  <si>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</si>
  <si>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</si>
  <si>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</si>
  <si>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</si>
  <si>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</si>
  <si>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</si>
  <si>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</si>
  <si>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</si>
  <si>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</si>
  <si>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</si>
  <si>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</si>
  <si>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</si>
  <si>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</si>
  <si>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</si>
  <si>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</si>
  <si>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</si>
  <si>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</si>
  <si>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</si>
  <si>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</si>
  <si>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</si>
  <si>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</si>
  <si>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</si>
  <si>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</si>
  <si>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</si>
  <si>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</si>
  <si>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</si>
  <si>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</si>
  <si>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</si>
  <si>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</si>
  <si>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</si>
  <si>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</si>
  <si>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</si>
  <si>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</si>
  <si>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</si>
  <si>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</si>
  <si>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</si>
  <si>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</si>
  <si>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</si>
  <si>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</si>
  <si>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</si>
  <si>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</si>
  <si>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</si>
  <si>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</si>
  <si>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</si>
  <si>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</si>
  <si>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</si>
  <si>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</si>
  <si>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</si>
  <si>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</si>
  <si>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</si>
  <si>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</si>
  <si>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</si>
  <si>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</si>
  <si>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</si>
  <si>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</si>
  <si>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</si>
  <si>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</si>
  <si>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</si>
  <si>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</si>
  <si>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</si>
  <si>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</si>
  <si>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</si>
  <si>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</si>
  <si>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</si>
  <si>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</si>
  <si>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</si>
  <si>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</si>
  <si>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</si>
  <si>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</si>
  <si>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</si>
  <si>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</si>
  <si>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</si>
  <si>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</si>
  <si>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</si>
  <si>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</si>
  <si>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</si>
  <si>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</si>
  <si>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</si>
  <si>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</si>
  <si>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</si>
  <si>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</si>
  <si>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</si>
  <si>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</si>
  <si>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</si>
  <si>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</si>
  <si>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</si>
  <si>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</si>
  <si>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</si>
  <si>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</si>
  <si>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</si>
  <si>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</si>
  <si>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</si>
  <si>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</si>
  <si>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</si>
  <si>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</si>
  <si>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</si>
  <si>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</si>
  <si>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</si>
  <si>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</si>
  <si>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</si>
  <si>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</si>
  <si>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</si>
  <si>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</si>
  <si>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</si>
  <si>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</si>
  <si>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</si>
  <si>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</si>
  <si>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</si>
  <si>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</si>
  <si>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</si>
  <si>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</si>
  <si>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</si>
  <si>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</si>
  <si>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</si>
  <si>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</si>
  <si>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</si>
  <si>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</si>
  <si>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</si>
  <si>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</si>
  <si>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</si>
  <si>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</si>
  <si>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</si>
  <si>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</si>
  <si>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</si>
  <si>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</si>
  <si>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</si>
  <si>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</si>
  <si>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</si>
  <si>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</si>
  <si>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</si>
  <si>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</si>
  <si>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</si>
  <si>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</si>
  <si>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</si>
  <si>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</si>
  <si>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</si>
  <si>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</si>
  <si>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</si>
  <si>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</si>
  <si>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</si>
  <si>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</si>
  <si>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</si>
  <si>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</si>
  <si>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</si>
  <si>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</si>
  <si>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</si>
  <si>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</si>
  <si>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</si>
  <si>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</si>
  <si>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</si>
  <si>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</si>
  <si>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</si>
  <si>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</si>
  <si>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</si>
  <si>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</si>
  <si>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</si>
  <si>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</si>
  <si>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</si>
  <si>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</si>
  <si>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</si>
  <si>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</si>
  <si>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</si>
  <si>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</si>
  <si>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</si>
  <si>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</si>
  <si>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</si>
  <si>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</si>
  <si>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</si>
  <si>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</si>
  <si>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</si>
  <si>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</si>
  <si>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</si>
  <si>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</si>
  <si>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</si>
  <si>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</si>
  <si>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</si>
  <si>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</si>
  <si>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</si>
  <si>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</si>
  <si>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</si>
  <si>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</si>
  <si>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</si>
  <si>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</si>
  <si>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</si>
  <si>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</si>
  <si>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</si>
  <si>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</si>
  <si>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</si>
  <si>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</si>
  <si>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</si>
  <si>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</si>
  <si>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</si>
  <si>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</si>
  <si>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</si>
  <si>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</si>
  <si>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</si>
  <si>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</si>
  <si>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</si>
  <si>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</si>
  <si>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</si>
  <si>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</si>
  <si>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</si>
  <si>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</si>
  <si>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</si>
  <si>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</si>
  <si>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</si>
  <si>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</si>
  <si>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</si>
  <si>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</si>
  <si>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</si>
  <si>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</si>
  <si>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</si>
  <si>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</si>
  <si>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</si>
  <si>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</si>
  <si>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</si>
  <si>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</si>
  <si>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</si>
  <si>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</si>
  <si>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</si>
  <si>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</si>
  <si>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</si>
  <si>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</si>
  <si>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</si>
  <si>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</si>
  <si>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</si>
  <si>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</si>
  <si>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</si>
  <si>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</si>
  <si>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</si>
  <si>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</si>
  <si>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</si>
  <si>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</si>
  <si>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</si>
  <si>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</si>
  <si>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</si>
  <si>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</si>
  <si>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</si>
  <si>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</si>
  <si>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</si>
  <si>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</si>
  <si>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</si>
  <si>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</si>
  <si>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</si>
  <si>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</si>
  <si>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</si>
  <si>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</si>
  <si>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</si>
  <si>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</si>
  <si>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</si>
  <si>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</si>
  <si>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</si>
  <si>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</si>
  <si>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</si>
  <si>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</si>
  <si>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</si>
  <si>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</si>
  <si>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</si>
  <si>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</si>
  <si>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</si>
  <si>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</si>
  <si>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</si>
  <si>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</si>
  <si>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</si>
  <si>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</si>
  <si>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</si>
  <si>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</si>
  <si>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</si>
  <si>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</si>
  <si>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</si>
  <si>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</si>
  <si>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</si>
  <si>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</si>
  <si>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</si>
  <si>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</si>
  <si>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</si>
  <si>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</si>
  <si>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</si>
  <si>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</si>
  <si>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</si>
  <si>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</si>
  <si>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</si>
  <si>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</si>
  <si>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</si>
  <si>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</si>
  <si>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</si>
  <si>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</si>
  <si>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</si>
  <si>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</si>
  <si>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</si>
  <si>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</si>
  <si>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</si>
  <si>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</si>
  <si>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</si>
  <si>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</si>
  <si>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</si>
  <si>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</si>
  <si>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</si>
  <si>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</si>
  <si>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</si>
  <si>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</si>
  <si>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</si>
  <si>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</si>
  <si>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</si>
  <si>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</si>
  <si>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</si>
  <si>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</si>
  <si>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</si>
  <si>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</si>
  <si>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</si>
  <si>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</si>
  <si>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</si>
  <si>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</si>
  <si>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</si>
  <si>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</si>
  <si>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</si>
  <si>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</si>
  <si>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</si>
  <si>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</si>
  <si>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</si>
  <si>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</si>
  <si>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</si>
  <si>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</si>
  <si>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</si>
  <si>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</si>
  <si>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</si>
  <si>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</si>
  <si>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</si>
  <si>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</si>
  <si>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</si>
  <si>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</si>
  <si>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</si>
  <si>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</si>
  <si>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</si>
  <si>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</si>
  <si>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</si>
  <si>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</si>
  <si>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</si>
  <si>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</si>
  <si>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</si>
  <si>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</si>
  <si>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</si>
  <si>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</si>
  <si>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</si>
  <si>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</si>
  <si>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</si>
  <si>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</si>
  <si>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</si>
  <si>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</si>
  <si>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</si>
  <si>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</si>
  <si>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</si>
  <si>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</si>
  <si>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</si>
  <si>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</si>
  <si>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</si>
  <si>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</si>
  <si>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</si>
  <si>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</si>
  <si>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</si>
  <si>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</si>
  <si>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</si>
  <si>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</si>
  <si>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</si>
  <si>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</si>
  <si>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</si>
  <si>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</si>
  <si>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</si>
  <si>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</si>
  <si>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</si>
  <si>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</si>
  <si>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</si>
  <si>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</si>
  <si>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</si>
  <si>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</si>
  <si>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</si>
  <si>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</si>
  <si>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</si>
  <si>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</si>
  <si>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</si>
  <si>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</si>
  <si>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</si>
  <si>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</si>
  <si>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</si>
  <si>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</si>
  <si>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</si>
  <si>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</si>
  <si>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</si>
  <si>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</si>
  <si>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</si>
  <si>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</si>
  <si>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</si>
  <si>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</si>
  <si>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</si>
  <si>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</si>
  <si>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</si>
  <si>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</si>
  <si>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</si>
  <si>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</si>
  <si>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</si>
  <si>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</si>
  <si>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</si>
  <si>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</si>
  <si>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</si>
  <si>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</si>
  <si>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</si>
  <si>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</si>
  <si>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</si>
  <si>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</si>
  <si>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</si>
  <si>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</si>
  <si>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</si>
  <si>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</si>
  <si>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</si>
  <si>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</si>
  <si>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</si>
  <si>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</si>
  <si>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</si>
  <si>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</si>
  <si>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</si>
  <si>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</si>
  <si>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</si>
  <si>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</si>
  <si>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</si>
  <si>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</si>
  <si>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</si>
  <si>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</si>
  <si>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</si>
  <si>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</si>
  <si>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</si>
  <si>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</si>
  <si>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</si>
  <si>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</si>
  <si>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</si>
  <si>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</si>
  <si>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</si>
  <si>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</si>
  <si>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</si>
  <si>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</si>
  <si>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</si>
  <si>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</si>
  <si>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</si>
  <si>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</si>
  <si>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</si>
  <si>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</si>
  <si>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</si>
  <si>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</si>
  <si>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</si>
  <si>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</si>
  <si>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</si>
  <si>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</si>
  <si>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</si>
  <si>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</si>
  <si>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</si>
  <si>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</si>
  <si>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</si>
  <si>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</si>
  <si>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</si>
  <si>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</si>
  <si>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</si>
  <si>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</si>
  <si>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</si>
  <si>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</si>
  <si>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</si>
  <si>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</si>
  <si>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</si>
  <si>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</si>
  <si>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</si>
  <si>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</si>
  <si>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</si>
  <si>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</si>
  <si>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</si>
  <si>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</si>
  <si>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</si>
  <si>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</si>
  <si>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</si>
  <si>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</si>
  <si>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</si>
  <si>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</si>
  <si>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</si>
  <si>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</si>
  <si>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</si>
  <si>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</si>
  <si>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</si>
  <si>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</si>
  <si>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</si>
  <si>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</si>
  <si>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</si>
  <si>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</si>
  <si>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</si>
  <si>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</si>
  <si>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</si>
  <si>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</si>
  <si>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</si>
  <si>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</si>
  <si>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</si>
  <si>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</si>
  <si>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</si>
  <si>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</si>
  <si>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</si>
  <si>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</si>
  <si>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</si>
  <si>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</si>
  <si>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</si>
  <si>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</si>
  <si>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</si>
  <si>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</si>
  <si>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</si>
  <si>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</si>
  <si>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</si>
  <si>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</si>
  <si>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</si>
  <si>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</si>
  <si>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</si>
  <si>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</si>
  <si>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</si>
  <si>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</si>
  <si>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</si>
  <si>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</si>
  <si>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</si>
  <si>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</si>
  <si>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</si>
  <si>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</si>
  <si>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</si>
  <si>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</si>
  <si>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</si>
  <si>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</si>
  <si>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</si>
  <si>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</si>
  <si>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</si>
  <si>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</si>
  <si>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</si>
  <si>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</si>
  <si>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</si>
  <si>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</si>
  <si>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</si>
  <si>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</si>
  <si>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</si>
  <si>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</si>
  <si>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</si>
  <si>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</si>
  <si>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</si>
  <si>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</si>
  <si>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</si>
  <si>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</si>
  <si>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</si>
  <si>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</si>
  <si>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</si>
  <si>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</si>
  <si>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</si>
  <si>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</si>
  <si>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</si>
  <si>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</si>
  <si>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</si>
  <si>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</si>
  <si>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</si>
  <si>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</si>
  <si>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</si>
  <si>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</si>
  <si>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</si>
  <si>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</si>
  <si>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</si>
  <si>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</si>
  <si>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</si>
  <si>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</si>
  <si>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</si>
  <si>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</si>
  <si>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</si>
  <si>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</si>
  <si>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</si>
  <si>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</si>
  <si>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</si>
  <si>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</si>
  <si>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</si>
  <si>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</si>
  <si>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</si>
  <si>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</si>
  <si>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</si>
  <si>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</si>
  <si>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</si>
  <si>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</si>
  <si>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</si>
  <si>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</si>
  <si>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</si>
  <si>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</si>
  <si>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</si>
  <si>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</si>
  <si>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</si>
  <si>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</si>
  <si>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</si>
  <si>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</si>
  <si>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</si>
  <si>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</si>
  <si>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</si>
  <si>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</si>
  <si>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</si>
  <si>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</si>
  <si>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</si>
  <si>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</si>
  <si>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</si>
  <si>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</si>
  <si>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</si>
  <si>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</si>
  <si>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</si>
  <si>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</si>
  <si>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</si>
  <si>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</si>
  <si>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</si>
  <si>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</si>
  <si>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</si>
  <si>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</si>
  <si>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</si>
  <si>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</si>
  <si>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</si>
  <si>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</si>
  <si>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</si>
  <si>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</si>
  <si>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</si>
  <si>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</si>
  <si>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</si>
  <si>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</si>
  <si>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</si>
  <si>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</si>
  <si>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</si>
  <si>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</si>
  <si>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</si>
  <si>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</si>
  <si>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</si>
  <si>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</si>
  <si>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</si>
  <si>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</si>
  <si>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</si>
  <si>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</si>
  <si>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</si>
  <si>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</si>
  <si>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</si>
  <si>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</si>
  <si>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</si>
  <si>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</si>
  <si>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</si>
  <si>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</si>
  <si>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</si>
  <si>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</si>
  <si>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Ron Daniels</t>
  </si>
  <si>
    <t>rdaniels@roe13.org</t>
  </si>
  <si>
    <t>JEFFERSON</t>
  </si>
  <si>
    <t>233 WEST SOUTH</t>
  </si>
  <si>
    <t>DIX</t>
  </si>
  <si>
    <t>eestill@rome2.net</t>
  </si>
  <si>
    <t>618-266-7214</t>
  </si>
  <si>
    <t>618-266-7902</t>
  </si>
  <si>
    <t>General Obligation Refunding Bonds, Series 2011</t>
  </si>
  <si>
    <t>Taxable General Obligation Limited Tax Bonds, Series 2018</t>
  </si>
  <si>
    <t>ED-Instructional-Purchased Service</t>
  </si>
  <si>
    <t>DTI Office Solutions</t>
  </si>
  <si>
    <t>10-1000-300</t>
  </si>
  <si>
    <t>Quality Network Solutions</t>
  </si>
  <si>
    <t>TR-Support Services Business-Purchased Service</t>
  </si>
  <si>
    <t>40-2550-300</t>
  </si>
  <si>
    <t>Durham School Services</t>
  </si>
  <si>
    <t>See below</t>
  </si>
  <si>
    <t>Line 13-FJSPED 801 at Summersville Dist 79 and Field Com Cons Dist 3 and Regional Office of Education 13</t>
  </si>
  <si>
    <t>Illinoiw Power Marketing/Affordable Gas &amp; Electric</t>
  </si>
  <si>
    <t>Prairie State Insurance Cooperative</t>
  </si>
  <si>
    <t>Franklin-Jefferson Counties Special Education Dist. 801</t>
  </si>
  <si>
    <t>Regional Office of Education 13</t>
  </si>
  <si>
    <t>Line 25-FJSPED 801 and Regional Office of Education</t>
  </si>
  <si>
    <t>Page 10, Line 107 - Education - Reimbursements $2,172</t>
  </si>
  <si>
    <t xml:space="preserve">                                         Operations &amp; Maintenance - Erate $5,400; Insurance Proceeds $2,698; Donation $2,100; Refunds $10</t>
  </si>
  <si>
    <t xml:space="preserve">                                         Transportation - Fuel Refund $1,819</t>
  </si>
  <si>
    <t>Page 12, Line 171 - Orphanage Tuition (acct 3950) $12,232 and State Library Grant (acct 3800) $750</t>
  </si>
  <si>
    <t>Page 12, Line 183 - REAP Grant</t>
  </si>
  <si>
    <t>Page 18, Line 171 - Bond Fees</t>
  </si>
  <si>
    <t>Page 25, Line 10 - Mobile Home Tax</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</si>
  <si>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</si>
  <si>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bank reconciliation is not reviewed by anyone independent of the receipt and disbursement process.</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</si>
  <si>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</si>
  <si>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</si>
  <si>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</si>
  <si>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receive the bank statement unopened and review it for unusual items.  The bank statement should be forwarded to the bookkeeper to complete the bank reconciliation.  The reconciliation should then be returned to the Superintendent for review to ensure that it is completed timely and agrees to the general ledger account balance.  The review needs to be documented with the Superintendent's initials on the bank statement and reconciliation.</t>
  </si>
  <si>
    <t>Due to the small size of the District and its limited funds, hiring additional personnel is not feasible.  The District agrees with the finding and recommendation.</t>
  </si>
  <si>
    <t>See PDF page 35</t>
  </si>
  <si>
    <t>ERIK ESTILL</t>
  </si>
  <si>
    <t>Rome CCSD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</si>
</sst>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28575</xdr:rowOff>
        </xdr:from>
        <xdr:to>
          <xdr:col>1</xdr:col>
          <xdr:colOff>2514600</xdr:colOff>
          <xdr:row>8</xdr:row>
          <xdr:rowOff>66675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5" t="s">
        <v>405</v>
      </c>
      <c r="J1" s="2016"/>
      <c r="K1" s="2016"/>
      <c r="L1" s="2016"/>
      <c r="M1" s="2016"/>
      <c r="N1" s="2016"/>
      <c r="O1" s="2016"/>
      <c r="P1" s="2016"/>
      <c r="Q1" s="2016"/>
      <c r="R1" s="2016"/>
      <c r="S1" s="2016"/>
    </row>
    <row r="2" spans="1:28" ht="12" customHeight="1" x14ac:dyDescent="0.2">
      <c r="A2" s="47" t="s">
        <v>1991</v>
      </c>
      <c r="D2" s="48"/>
      <c r="I2" s="2017" t="s">
        <v>979</v>
      </c>
      <c r="J2" s="2016"/>
      <c r="K2" s="2016"/>
      <c r="L2" s="2016"/>
      <c r="M2" s="2016"/>
      <c r="N2" s="2016"/>
      <c r="O2" s="2016"/>
      <c r="P2" s="2016"/>
      <c r="Q2" s="2016"/>
      <c r="R2" s="2016"/>
      <c r="S2" s="2016"/>
    </row>
    <row r="3" spans="1:28" ht="12" customHeight="1" x14ac:dyDescent="0.2">
      <c r="A3" s="155" t="s">
        <v>1943</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2065</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2065</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13041002004</v>
      </c>
      <c r="B13" s="1986"/>
      <c r="C13" s="1986"/>
      <c r="D13" s="1986"/>
      <c r="E13" s="1986"/>
      <c r="F13" s="1986"/>
      <c r="G13" s="1986"/>
      <c r="H13" s="1987"/>
      <c r="I13" s="31"/>
      <c r="J13" s="30"/>
      <c r="K13" s="28"/>
      <c r="L13" s="30"/>
      <c r="M13" s="30"/>
      <c r="N13" s="30"/>
      <c r="O13" s="30"/>
      <c r="P13" s="30"/>
      <c r="Q13" s="30"/>
      <c r="R13" s="30"/>
      <c r="S13" s="30"/>
      <c r="T13" s="1990" t="s">
        <v>2066</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2086</v>
      </c>
      <c r="B15" s="1988"/>
      <c r="C15" s="1988"/>
      <c r="D15" s="1988"/>
      <c r="E15" s="1988"/>
      <c r="F15" s="1988"/>
      <c r="G15" s="1988"/>
      <c r="H15" s="1989"/>
      <c r="T15" s="1951" t="s">
        <v>2067</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2124</v>
      </c>
      <c r="B17" s="2013"/>
      <c r="C17" s="2013"/>
      <c r="D17" s="2013"/>
      <c r="E17" s="2013"/>
      <c r="F17" s="2013"/>
      <c r="G17" s="2013"/>
      <c r="H17" s="2014"/>
      <c r="T17" s="2000" t="s">
        <v>2068</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2087</v>
      </c>
      <c r="B19" s="1984"/>
      <c r="C19" s="1984"/>
      <c r="D19" s="1984"/>
      <c r="E19" s="1984"/>
      <c r="F19" s="1984"/>
      <c r="G19" s="1984"/>
      <c r="H19" s="1982"/>
      <c r="I19" s="30"/>
      <c r="J19" s="99"/>
      <c r="K19" s="40"/>
      <c r="L19" s="38"/>
      <c r="M19" s="112" t="s">
        <v>315</v>
      </c>
      <c r="P19" s="27"/>
      <c r="Q19" s="27"/>
      <c r="R19" s="27"/>
      <c r="S19" s="31"/>
      <c r="T19" s="1983" t="s">
        <v>2069</v>
      </c>
      <c r="U19" s="1981"/>
      <c r="V19" s="1981"/>
      <c r="W19" s="1982"/>
      <c r="X19" s="1998" t="s">
        <v>2070</v>
      </c>
      <c r="Y19" s="1999"/>
      <c r="Z19" s="1996">
        <v>62870</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2088</v>
      </c>
      <c r="B21" s="1981"/>
      <c r="C21" s="1981"/>
      <c r="D21" s="1981"/>
      <c r="E21" s="1981"/>
      <c r="F21" s="1981"/>
      <c r="G21" s="1981"/>
      <c r="H21" s="1982"/>
      <c r="I21" s="2006" t="s">
        <v>678</v>
      </c>
      <c r="J21" s="1969"/>
      <c r="K21" s="1969"/>
      <c r="L21" s="1969"/>
      <c r="M21" s="1969"/>
      <c r="N21" s="1969"/>
      <c r="O21" s="1969"/>
      <c r="P21" s="1969"/>
      <c r="Q21" s="1969"/>
      <c r="R21" s="1969"/>
      <c r="S21" s="1970"/>
      <c r="T21" s="1948" t="s">
        <v>2071</v>
      </c>
      <c r="U21" s="1949"/>
      <c r="V21" s="1949"/>
      <c r="W21" s="1949"/>
      <c r="X21" s="1962" t="s">
        <v>2072</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2089</v>
      </c>
      <c r="B23" s="2004"/>
      <c r="C23" s="2004"/>
      <c r="D23" s="2004"/>
      <c r="E23" s="2004"/>
      <c r="F23" s="2004"/>
      <c r="G23" s="2004"/>
      <c r="H23" s="2005"/>
      <c r="T23" s="1943" t="s">
        <v>2073</v>
      </c>
      <c r="U23" s="1944"/>
      <c r="V23" s="1944"/>
      <c r="W23" s="1944"/>
      <c r="X23" s="1959">
        <v>44530</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62830</v>
      </c>
      <c r="B25" s="1981"/>
      <c r="C25" s="1981"/>
      <c r="D25" s="1981"/>
      <c r="E25" s="1981"/>
      <c r="F25" s="1981"/>
      <c r="G25" s="1981"/>
      <c r="H25" s="1982"/>
      <c r="I25" s="113"/>
      <c r="J25" s="2047"/>
      <c r="K25" s="2047"/>
      <c r="L25" s="2047"/>
      <c r="M25" s="2047"/>
      <c r="N25" s="2047"/>
      <c r="O25" s="2047"/>
      <c r="P25" s="2047"/>
      <c r="Q25" s="2047"/>
      <c r="R25" s="2047"/>
      <c r="S25" s="2048"/>
      <c r="T25" s="1940" t="s">
        <v>2074</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2123</v>
      </c>
      <c r="B38" s="2013"/>
      <c r="C38" s="2013"/>
      <c r="D38" s="2013"/>
      <c r="E38" s="2013"/>
      <c r="F38" s="1981"/>
      <c r="G38" s="1981"/>
      <c r="H38" s="1982"/>
      <c r="I38" s="2032"/>
      <c r="J38" s="1952"/>
      <c r="K38" s="1952"/>
      <c r="L38" s="1952"/>
      <c r="M38" s="1952"/>
      <c r="N38" s="1952"/>
      <c r="O38" s="1952"/>
      <c r="P38" s="1953"/>
      <c r="Q38" s="1953"/>
      <c r="R38" s="1953"/>
      <c r="S38" s="1954"/>
      <c r="T38" s="1951" t="s">
        <v>2084</v>
      </c>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2089</v>
      </c>
      <c r="B40" s="2040"/>
      <c r="C40" s="2041"/>
      <c r="D40" s="2041"/>
      <c r="E40" s="2041"/>
      <c r="F40" s="2042"/>
      <c r="G40" s="2042"/>
      <c r="H40" s="2043"/>
      <c r="I40" s="1955"/>
      <c r="J40" s="1957"/>
      <c r="K40" s="1957"/>
      <c r="L40" s="1957"/>
      <c r="M40" s="1957"/>
      <c r="N40" s="1957"/>
      <c r="O40" s="1957"/>
      <c r="P40" s="1957"/>
      <c r="Q40" s="1957"/>
      <c r="R40" s="1957"/>
      <c r="S40" s="1958"/>
      <c r="T40" s="1955" t="s">
        <v>2085</v>
      </c>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2090</v>
      </c>
      <c r="B42" s="2030"/>
      <c r="C42" s="2031"/>
      <c r="D42" s="2044" t="s">
        <v>2091</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42" sqref="I42:O4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2065</v>
      </c>
      <c r="C53" s="179">
        <v>22</v>
      </c>
      <c r="D53" s="247" t="s">
        <v>1462</v>
      </c>
      <c r="E53" s="248"/>
      <c r="F53" s="249"/>
      <c r="G53" s="249" t="s">
        <v>1461</v>
      </c>
      <c r="H53" s="250">
        <v>36161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2082</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2066</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2122</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I42" sqref="I42:O4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33701131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1.2964399999999999E-2</v>
      </c>
      <c r="E10" s="356" t="s">
        <v>1005</v>
      </c>
      <c r="F10" s="355">
        <v>9.9310000000000006E-3</v>
      </c>
      <c r="G10" s="356" t="s">
        <v>1005</v>
      </c>
      <c r="H10" s="355">
        <v>9.6430000000000005E-3</v>
      </c>
      <c r="I10" s="356" t="s">
        <v>1006</v>
      </c>
      <c r="J10" s="1730">
        <f>ROUND(D10+F10+H10,5)</f>
        <v>3.2539999999999999E-2</v>
      </c>
      <c r="K10" s="222"/>
      <c r="L10" s="355">
        <v>0</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2843703</v>
      </c>
      <c r="E16" s="356"/>
      <c r="F16" s="1731">
        <f>SUM('Acct Summary 7-8'!C17,'Acct Summary 7-8'!D17,'Acct Summary 7-8'!F17)</f>
        <v>3080426</v>
      </c>
      <c r="G16" s="356"/>
      <c r="H16" s="1731">
        <f>SUM(D16-F16)</f>
        <v>-236723</v>
      </c>
      <c r="I16" s="222"/>
      <c r="J16" s="1731">
        <f>SUM('Acct Summary 7-8'!C81,'Acct Summary 7-8'!D81,'Acct Summary 7-8'!F81,'Acct Summary 7-8'!I81)</f>
        <v>2324359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3">
        <f>IF(B31="X",(J7*0.069),IF(B32="X",(J7*0.138),"Enter x in a.or b."))</f>
        <v>2325378.0390000003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329000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I42" sqref="I42:O4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Rome CCSD 2</v>
      </c>
      <c r="E7" s="391"/>
      <c r="G7" s="252"/>
      <c r="H7" s="387"/>
      <c r="I7" s="387"/>
      <c r="J7" s="387"/>
      <c r="K7" s="387"/>
      <c r="L7" s="329"/>
      <c r="M7" s="329"/>
      <c r="N7" s="329"/>
      <c r="O7" s="329"/>
      <c r="P7" s="329"/>
    </row>
    <row r="8" spans="1:18" ht="12.75" x14ac:dyDescent="0.2">
      <c r="A8" s="329"/>
      <c r="B8" s="329"/>
      <c r="C8" s="389" t="s">
        <v>1125</v>
      </c>
      <c r="D8" s="392">
        <f>COVER!A13</f>
        <v>13041002004</v>
      </c>
      <c r="E8" s="393"/>
      <c r="G8" s="329"/>
      <c r="H8" s="329"/>
      <c r="I8" s="329"/>
      <c r="J8" s="329"/>
      <c r="K8" s="329"/>
      <c r="L8" s="329"/>
      <c r="M8" s="329"/>
      <c r="N8" s="329"/>
      <c r="O8" s="329"/>
      <c r="P8" s="329"/>
    </row>
    <row r="9" spans="1:18" ht="12.75" x14ac:dyDescent="0.2">
      <c r="A9" s="329"/>
      <c r="B9" s="329"/>
      <c r="C9" s="389" t="s">
        <v>713</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2324359</v>
      </c>
      <c r="I12" s="404"/>
      <c r="J12" s="404"/>
      <c r="K12" s="405">
        <f>TRUNC((H12/H13*100000),5)/100000</f>
        <v>0.81737051999999999</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2843703</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3080426</v>
      </c>
      <c r="I17" s="404"/>
      <c r="J17" s="416"/>
      <c r="K17" s="405">
        <f>TRUNC((H17/H18*100000),5)/100000</f>
        <v>1.0832446284999999</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2843703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8.6176192999999994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2324359</v>
      </c>
      <c r="I24" s="422"/>
      <c r="J24" s="422"/>
      <c r="K24" s="423">
        <f>TRUNC(((H24/H25*100000)/100000),2)</f>
        <v>271.64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8556.7388900000005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932139.58233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329000</v>
      </c>
      <c r="I32" s="420"/>
      <c r="J32" s="420"/>
      <c r="K32" s="423">
        <f>TRUNC(100-((((H32/H33*100))*100)/100),2)</f>
        <v>85.85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2325378.0390000003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I42" sqref="I42:O42"/>
      <selection pane="bottomLeft" activeCell="I42" sqref="I42:O4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1412079</v>
      </c>
      <c r="D4" s="466">
        <v>206223</v>
      </c>
      <c r="E4" s="466">
        <v>24498</v>
      </c>
      <c r="F4" s="466">
        <v>382812</v>
      </c>
      <c r="G4" s="466">
        <v>48123</v>
      </c>
      <c r="H4" s="466"/>
      <c r="I4" s="466">
        <v>323245</v>
      </c>
      <c r="J4" s="467">
        <v>56363</v>
      </c>
      <c r="K4" s="466">
        <v>2539</v>
      </c>
      <c r="L4" s="466">
        <v>26548</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1412079</v>
      </c>
      <c r="D13" s="1735">
        <f t="shared" ref="D13:L13" si="0">SUM(D4:D12)</f>
        <v>206223</v>
      </c>
      <c r="E13" s="1735">
        <f t="shared" si="0"/>
        <v>24498</v>
      </c>
      <c r="F13" s="1735">
        <f t="shared" si="0"/>
        <v>382812</v>
      </c>
      <c r="G13" s="1735">
        <f t="shared" si="0"/>
        <v>48123</v>
      </c>
      <c r="H13" s="1735">
        <f t="shared" si="0"/>
        <v>0</v>
      </c>
      <c r="I13" s="1735">
        <f t="shared" si="0"/>
        <v>323245</v>
      </c>
      <c r="J13" s="1735">
        <f t="shared" si="0"/>
        <v>56363</v>
      </c>
      <c r="K13" s="1735">
        <f t="shared" si="0"/>
        <v>2539</v>
      </c>
      <c r="L13" s="1735">
        <f t="shared" si="0"/>
        <v>26548</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5000</v>
      </c>
      <c r="N16" s="484"/>
    </row>
    <row r="17" spans="1:14" s="485" customFormat="1" ht="12.75" customHeight="1" x14ac:dyDescent="0.2">
      <c r="A17" s="482" t="s">
        <v>1403</v>
      </c>
      <c r="B17" s="483">
        <v>230</v>
      </c>
      <c r="C17" s="477"/>
      <c r="D17" s="477"/>
      <c r="E17" s="477"/>
      <c r="F17" s="477"/>
      <c r="G17" s="477"/>
      <c r="H17" s="477"/>
      <c r="I17" s="477"/>
      <c r="J17" s="477"/>
      <c r="K17" s="477"/>
      <c r="L17" s="477"/>
      <c r="M17" s="467">
        <v>4666324</v>
      </c>
      <c r="N17" s="484"/>
    </row>
    <row r="18" spans="1:14" s="485" customFormat="1" ht="12.75" customHeight="1" x14ac:dyDescent="0.2">
      <c r="A18" s="482" t="s">
        <v>1404</v>
      </c>
      <c r="B18" s="483">
        <v>240</v>
      </c>
      <c r="C18" s="477"/>
      <c r="D18" s="477"/>
      <c r="E18" s="477"/>
      <c r="F18" s="477"/>
      <c r="G18" s="477"/>
      <c r="H18" s="477"/>
      <c r="I18" s="477"/>
      <c r="J18" s="477"/>
      <c r="K18" s="477"/>
      <c r="L18" s="477"/>
      <c r="M18" s="467">
        <v>147210</v>
      </c>
      <c r="N18" s="484"/>
    </row>
    <row r="19" spans="1:14" s="485" customFormat="1" ht="12.75" customHeight="1" x14ac:dyDescent="0.2">
      <c r="A19" s="482" t="s">
        <v>1405</v>
      </c>
      <c r="B19" s="483">
        <v>250</v>
      </c>
      <c r="C19" s="477"/>
      <c r="D19" s="477"/>
      <c r="E19" s="477"/>
      <c r="F19" s="477"/>
      <c r="G19" s="477"/>
      <c r="H19" s="477"/>
      <c r="I19" s="477"/>
      <c r="J19" s="477"/>
      <c r="K19" s="477"/>
      <c r="L19" s="477"/>
      <c r="M19" s="467">
        <v>814458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24498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304502</v>
      </c>
    </row>
    <row r="23" spans="1:14" ht="13.5" customHeight="1" thickBot="1" x14ac:dyDescent="0.25">
      <c r="A23" s="1734" t="s">
        <v>643</v>
      </c>
      <c r="B23" s="1739"/>
      <c r="C23" s="468"/>
      <c r="D23" s="468"/>
      <c r="E23" s="468"/>
      <c r="F23" s="468"/>
      <c r="G23" s="468"/>
      <c r="H23" s="468"/>
      <c r="I23" s="468"/>
      <c r="J23" s="468"/>
      <c r="K23" s="468"/>
      <c r="L23" s="468"/>
      <c r="M23" s="1686">
        <f>SUM(M15:M22)</f>
        <v>5632992</v>
      </c>
      <c r="N23" s="1686">
        <f>SUM(N21:N22)</f>
        <v>329000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26548</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26548</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329000</v>
      </c>
    </row>
    <row r="37" spans="1:14" ht="13.5" thickBot="1" x14ac:dyDescent="0.25">
      <c r="A37" s="1734" t="s">
        <v>653</v>
      </c>
      <c r="B37" s="1739"/>
      <c r="C37" s="477"/>
      <c r="D37" s="477"/>
      <c r="E37" s="477"/>
      <c r="F37" s="477"/>
      <c r="G37" s="477"/>
      <c r="H37" s="477"/>
      <c r="I37" s="477"/>
      <c r="J37" s="477"/>
      <c r="K37" s="477"/>
      <c r="L37" s="480"/>
      <c r="M37" s="468"/>
      <c r="N37" s="1686">
        <f>SUM(N36:N36)</f>
        <v>329000</v>
      </c>
    </row>
    <row r="38" spans="1:14" s="329" customFormat="1" ht="13.5" customHeight="1" thickTop="1" x14ac:dyDescent="0.2">
      <c r="A38" s="496" t="s">
        <v>420</v>
      </c>
      <c r="B38" s="483">
        <v>714</v>
      </c>
      <c r="C38" s="466"/>
      <c r="D38" s="466"/>
      <c r="E38" s="466"/>
      <c r="F38" s="466"/>
      <c r="G38" s="466">
        <v>24440</v>
      </c>
      <c r="H38" s="466"/>
      <c r="I38" s="466"/>
      <c r="J38" s="467"/>
      <c r="K38" s="466"/>
      <c r="L38" s="481"/>
      <c r="M38" s="497"/>
      <c r="N38" s="497"/>
    </row>
    <row r="39" spans="1:14" s="329" customFormat="1" ht="13.5" customHeight="1" x14ac:dyDescent="0.2">
      <c r="A39" s="496" t="s">
        <v>342</v>
      </c>
      <c r="B39" s="483">
        <v>730</v>
      </c>
      <c r="C39" s="466">
        <v>1412079</v>
      </c>
      <c r="D39" s="466">
        <v>206223</v>
      </c>
      <c r="E39" s="466">
        <v>24498</v>
      </c>
      <c r="F39" s="466">
        <v>382812</v>
      </c>
      <c r="G39" s="466">
        <v>23683</v>
      </c>
      <c r="H39" s="466"/>
      <c r="I39" s="466">
        <v>323245</v>
      </c>
      <c r="J39" s="467">
        <v>56363</v>
      </c>
      <c r="K39" s="466">
        <v>2539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5632992</v>
      </c>
      <c r="N40" s="497"/>
    </row>
    <row r="41" spans="1:14" ht="13.5" customHeight="1" thickBot="1" x14ac:dyDescent="0.25">
      <c r="A41" s="1734" t="s">
        <v>655</v>
      </c>
      <c r="B41" s="1704"/>
      <c r="C41" s="1686">
        <f>(SUM(C34,C37,C38,C39))</f>
        <v>1412079</v>
      </c>
      <c r="D41" s="1686">
        <f t="shared" ref="D41:L41" si="2">SUM(D34,D37,D38:D39)</f>
        <v>206223</v>
      </c>
      <c r="E41" s="1686">
        <f t="shared" si="2"/>
        <v>24498</v>
      </c>
      <c r="F41" s="1686">
        <f t="shared" si="2"/>
        <v>382812</v>
      </c>
      <c r="G41" s="1686">
        <f t="shared" si="2"/>
        <v>48123</v>
      </c>
      <c r="H41" s="1686">
        <f t="shared" si="2"/>
        <v>0</v>
      </c>
      <c r="I41" s="1686">
        <f t="shared" si="2"/>
        <v>323245</v>
      </c>
      <c r="J41" s="1686">
        <f t="shared" si="2"/>
        <v>56363</v>
      </c>
      <c r="K41" s="1686">
        <f t="shared" si="2"/>
        <v>2539</v>
      </c>
      <c r="L41" s="1686">
        <f t="shared" si="2"/>
        <v>26548</v>
      </c>
      <c r="M41" s="1686">
        <f>SUM(M40)</f>
        <v>5632992</v>
      </c>
      <c r="N41" s="1686">
        <f>SUM(N37)</f>
        <v>329000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I42" sqref="I42:O42"/>
      <selection pane="bottomLeft" activeCell="I42" sqref="I42:O4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5" t="s">
        <v>1499</v>
      </c>
      <c r="B4" s="1926">
        <v>1000</v>
      </c>
      <c r="C4" s="1740">
        <f>'Revenues 9-14'!C109</f>
        <v>591009</v>
      </c>
      <c r="D4" s="1740">
        <f>'Revenues 9-14'!D109</f>
        <v>36547</v>
      </c>
      <c r="E4" s="1740">
        <f>'Revenues 9-14'!E109</f>
        <v>65420</v>
      </c>
      <c r="F4" s="1740">
        <f>'Revenues 9-14'!F109</f>
        <v>12903</v>
      </c>
      <c r="G4" s="1740">
        <f>'Revenues 9-14'!G109</f>
        <v>62211</v>
      </c>
      <c r="H4" s="1740">
        <f>'Revenues 9-14'!H109</f>
        <v>0</v>
      </c>
      <c r="I4" s="1740">
        <f>'Revenues 9-14'!I109</f>
        <v>3826</v>
      </c>
      <c r="J4" s="1740">
        <f>'Revenues 9-14'!J109</f>
        <v>24195</v>
      </c>
      <c r="K4" s="1740">
        <f>'Revenues 9-14'!K109</f>
        <v>43</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1748283</v>
      </c>
      <c r="D6" s="1741">
        <f>'Revenues 9-14'!D170</f>
        <v>25000</v>
      </c>
      <c r="E6" s="1741">
        <f>'Revenues 9-14'!E170</f>
        <v>800</v>
      </c>
      <c r="F6" s="1741">
        <f>'Revenues 9-14'!F170</f>
        <v>158192</v>
      </c>
      <c r="G6" s="1741">
        <f>'Revenues 9-14'!G170</f>
        <v>0</v>
      </c>
      <c r="H6" s="1741">
        <f>'Revenues 9-14'!H170</f>
        <v>0</v>
      </c>
      <c r="I6" s="1741">
        <f>'Revenues 9-14'!I170</f>
        <v>0</v>
      </c>
      <c r="J6" s="1741">
        <f>'Revenues 9-14'!J170</f>
        <v>25000</v>
      </c>
      <c r="K6" s="1741">
        <f>'Revenues 9-14'!K170</f>
        <v>0</v>
      </c>
      <c r="L6" s="347"/>
      <c r="M6" s="513"/>
    </row>
    <row r="7" spans="1:13" ht="15.75" customHeight="1" x14ac:dyDescent="0.2">
      <c r="A7" s="1576" t="s">
        <v>1502</v>
      </c>
      <c r="B7" s="1578">
        <v>4000</v>
      </c>
      <c r="C7" s="1741">
        <f>'Revenues 9-14'!C267</f>
        <v>267943</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2607235</v>
      </c>
      <c r="D8" s="1686">
        <f t="shared" ref="D8:K8" si="0">SUM(D4:D7)</f>
        <v>61547</v>
      </c>
      <c r="E8" s="1686">
        <f t="shared" si="0"/>
        <v>66220</v>
      </c>
      <c r="F8" s="1686">
        <f t="shared" si="0"/>
        <v>171095</v>
      </c>
      <c r="G8" s="1686">
        <f t="shared" si="0"/>
        <v>62211</v>
      </c>
      <c r="H8" s="1686">
        <f t="shared" si="0"/>
        <v>0</v>
      </c>
      <c r="I8" s="1686">
        <f t="shared" si="0"/>
        <v>3826</v>
      </c>
      <c r="J8" s="1686">
        <f t="shared" si="0"/>
        <v>49195</v>
      </c>
      <c r="K8" s="1686">
        <f t="shared" si="0"/>
        <v>43</v>
      </c>
      <c r="L8" s="347"/>
    </row>
    <row r="9" spans="1:13" ht="15.75" thickTop="1" x14ac:dyDescent="0.2">
      <c r="A9" s="514" t="s">
        <v>1653</v>
      </c>
      <c r="B9" s="515">
        <v>3998</v>
      </c>
      <c r="C9" s="481">
        <v>1073614</v>
      </c>
      <c r="D9" s="516"/>
      <c r="E9" s="481"/>
      <c r="F9" s="481"/>
      <c r="G9" s="517"/>
      <c r="H9" s="481"/>
      <c r="I9" s="509" t="s">
        <v>1169</v>
      </c>
      <c r="J9" s="478"/>
      <c r="K9" s="481"/>
      <c r="L9" s="347"/>
    </row>
    <row r="10" spans="1:13" s="519" customFormat="1" ht="13.5" thickBot="1" x14ac:dyDescent="0.25">
      <c r="A10" s="1734" t="s">
        <v>1173</v>
      </c>
      <c r="B10" s="1707"/>
      <c r="C10" s="1686">
        <f>SUM(C8:C9)</f>
        <v>3680849</v>
      </c>
      <c r="D10" s="1686">
        <f t="shared" ref="D10:K10" si="1">SUM(D8:D9)</f>
        <v>61547</v>
      </c>
      <c r="E10" s="1686">
        <f t="shared" si="1"/>
        <v>66220</v>
      </c>
      <c r="F10" s="1686">
        <f t="shared" si="1"/>
        <v>171095</v>
      </c>
      <c r="G10" s="1686">
        <f t="shared" si="1"/>
        <v>62211</v>
      </c>
      <c r="H10" s="1686">
        <f t="shared" si="1"/>
        <v>0</v>
      </c>
      <c r="I10" s="1686">
        <f t="shared" si="1"/>
        <v>3826</v>
      </c>
      <c r="J10" s="1686">
        <f t="shared" si="1"/>
        <v>49195</v>
      </c>
      <c r="K10" s="1686">
        <f t="shared" si="1"/>
        <v>43</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0">
        <f>'Expenditures 15-22'!K33</f>
        <v>1814365</v>
      </c>
      <c r="D12" s="520" t="s">
        <v>1169</v>
      </c>
      <c r="E12" s="468" t="s">
        <v>1169</v>
      </c>
      <c r="F12" s="468" t="s">
        <v>1169</v>
      </c>
      <c r="G12" s="1740">
        <f>'Expenditures 15-22'!K229</f>
        <v>37781</v>
      </c>
      <c r="H12" s="521"/>
      <c r="I12" s="468" t="s">
        <v>1169</v>
      </c>
      <c r="J12" s="468" t="s">
        <v>1169</v>
      </c>
      <c r="K12" s="521" t="s">
        <v>1169</v>
      </c>
      <c r="L12" s="347"/>
    </row>
    <row r="13" spans="1:13" ht="15.75" customHeight="1" x14ac:dyDescent="0.2">
      <c r="A13" s="1576" t="s">
        <v>457</v>
      </c>
      <c r="B13" s="1578">
        <v>2000</v>
      </c>
      <c r="C13" s="1741">
        <f>'Expenditures 15-22'!K74</f>
        <v>613962</v>
      </c>
      <c r="D13" s="1741">
        <f>'Expenditures 15-22'!K129</f>
        <v>185358</v>
      </c>
      <c r="E13" s="469" t="s">
        <v>1169</v>
      </c>
      <c r="F13" s="1741">
        <f>'Expenditures 15-22'!K184</f>
        <v>245470</v>
      </c>
      <c r="G13" s="1741">
        <f>'Expenditures 15-22'!K279</f>
        <v>35067</v>
      </c>
      <c r="H13" s="1741">
        <f>'Expenditures 15-22'!K303</f>
        <v>0</v>
      </c>
      <c r="I13" s="468" t="s">
        <v>1169</v>
      </c>
      <c r="J13" s="1741">
        <f>'Expenditures 15-22'!K330</f>
        <v>41631</v>
      </c>
      <c r="K13" s="1745">
        <f>'Expenditures 15-22'!K352</f>
        <v>3689</v>
      </c>
      <c r="L13" s="347"/>
    </row>
    <row r="14" spans="1:13" ht="15.75" customHeight="1" x14ac:dyDescent="0.2">
      <c r="A14" s="1576" t="s">
        <v>449</v>
      </c>
      <c r="B14" s="1578">
        <v>3000</v>
      </c>
      <c r="C14" s="1741">
        <f>'Expenditures 15-22'!K75</f>
        <v>14325</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206946</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64714</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2649598</v>
      </c>
      <c r="D17" s="1686">
        <f t="shared" si="2"/>
        <v>185358</v>
      </c>
      <c r="E17" s="1686">
        <f t="shared" si="2"/>
        <v>64714</v>
      </c>
      <c r="F17" s="1686">
        <f t="shared" si="2"/>
        <v>245470</v>
      </c>
      <c r="G17" s="1686">
        <f t="shared" si="2"/>
        <v>72848</v>
      </c>
      <c r="H17" s="1686">
        <f t="shared" si="2"/>
        <v>0</v>
      </c>
      <c r="I17" s="468"/>
      <c r="J17" s="1686">
        <f>SUM(J12:J16)</f>
        <v>41631</v>
      </c>
      <c r="K17" s="1686">
        <f>SUM(K12:K16)</f>
        <v>3689</v>
      </c>
      <c r="L17" s="347"/>
    </row>
    <row r="18" spans="1:12" ht="15" customHeight="1" thickTop="1" x14ac:dyDescent="0.2">
      <c r="A18" s="1742" t="s">
        <v>1654</v>
      </c>
      <c r="B18" s="1743">
        <v>4180</v>
      </c>
      <c r="C18" s="1740">
        <f t="shared" ref="C18:H18" si="3">C9</f>
        <v>1073614</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3723212</v>
      </c>
      <c r="D19" s="1686">
        <f t="shared" si="4"/>
        <v>185358</v>
      </c>
      <c r="E19" s="1686">
        <f t="shared" si="4"/>
        <v>64714</v>
      </c>
      <c r="F19" s="1686">
        <f t="shared" si="4"/>
        <v>245470</v>
      </c>
      <c r="G19" s="1686">
        <f t="shared" si="4"/>
        <v>72848</v>
      </c>
      <c r="H19" s="1686">
        <f t="shared" si="4"/>
        <v>0</v>
      </c>
      <c r="I19" s="468"/>
      <c r="J19" s="1686">
        <f>SUM(J17:J18)</f>
        <v>41631</v>
      </c>
      <c r="K19" s="1686">
        <f>SUM(K17:K18)</f>
        <v>3689</v>
      </c>
      <c r="L19" s="347"/>
    </row>
    <row r="20" spans="1:12" ht="16.5" thickTop="1" thickBot="1" x14ac:dyDescent="0.25">
      <c r="A20" s="2125" t="s">
        <v>1655</v>
      </c>
      <c r="B20" s="2126"/>
      <c r="C20" s="1744">
        <f>C8-C17</f>
        <v>-42363</v>
      </c>
      <c r="D20" s="1744">
        <f t="shared" ref="D20:K20" si="5">D8-D17</f>
        <v>-123811</v>
      </c>
      <c r="E20" s="1744">
        <f t="shared" si="5"/>
        <v>1506</v>
      </c>
      <c r="F20" s="1744">
        <f t="shared" si="5"/>
        <v>-74375</v>
      </c>
      <c r="G20" s="1744">
        <f t="shared" si="5"/>
        <v>-10637</v>
      </c>
      <c r="H20" s="1744">
        <f t="shared" si="5"/>
        <v>0</v>
      </c>
      <c r="I20" s="1744">
        <f t="shared" si="5"/>
        <v>3826</v>
      </c>
      <c r="J20" s="1744">
        <f t="shared" si="5"/>
        <v>7564</v>
      </c>
      <c r="K20" s="1744">
        <f t="shared" si="5"/>
        <v>-3646</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60000</v>
      </c>
      <c r="D25" s="467">
        <v>52450</v>
      </c>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1">
        <f>SUM(C24:C43)</f>
        <v>60000</v>
      </c>
      <c r="D44" s="1701">
        <f t="shared" ref="D44:K44" si="6">SUM(D24:D43)</f>
        <v>52450</v>
      </c>
      <c r="E44" s="1701">
        <f t="shared" si="6"/>
        <v>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112450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1">
        <f t="shared" ref="C76:K76" si="7">SUM(C47:C75)</f>
        <v>0</v>
      </c>
      <c r="D76" s="1701">
        <f t="shared" si="7"/>
        <v>0</v>
      </c>
      <c r="E76" s="1701">
        <f t="shared" si="7"/>
        <v>0</v>
      </c>
      <c r="F76" s="1701">
        <f t="shared" si="7"/>
        <v>0</v>
      </c>
      <c r="G76" s="1701">
        <f t="shared" si="7"/>
        <v>0</v>
      </c>
      <c r="H76" s="1701">
        <f t="shared" si="7"/>
        <v>0</v>
      </c>
      <c r="I76" s="1701">
        <f t="shared" si="7"/>
        <v>112450</v>
      </c>
      <c r="J76" s="1701">
        <f t="shared" si="7"/>
        <v>0</v>
      </c>
      <c r="K76" s="1701">
        <f t="shared" si="7"/>
        <v>0</v>
      </c>
      <c r="L76" s="524"/>
    </row>
    <row r="77" spans="1:12" ht="14.25" thickTop="1" thickBot="1" x14ac:dyDescent="0.25">
      <c r="A77" s="2117" t="s">
        <v>1177</v>
      </c>
      <c r="B77" s="2118"/>
      <c r="C77" s="1701">
        <f t="shared" ref="C77:K77" si="8">C44-C76</f>
        <v>60000</v>
      </c>
      <c r="D77" s="1701">
        <f t="shared" si="8"/>
        <v>52450</v>
      </c>
      <c r="E77" s="1701">
        <f t="shared" si="8"/>
        <v>0</v>
      </c>
      <c r="F77" s="1701">
        <f t="shared" si="8"/>
        <v>0</v>
      </c>
      <c r="G77" s="1701">
        <f t="shared" si="8"/>
        <v>0</v>
      </c>
      <c r="H77" s="1701">
        <f t="shared" si="8"/>
        <v>0</v>
      </c>
      <c r="I77" s="1701">
        <f t="shared" si="8"/>
        <v>-112450</v>
      </c>
      <c r="J77" s="1701">
        <f t="shared" si="8"/>
        <v>0</v>
      </c>
      <c r="K77" s="1701">
        <f t="shared" si="8"/>
        <v>0</v>
      </c>
      <c r="L77" s="347"/>
    </row>
    <row r="78" spans="1:12" ht="21.75" customHeight="1" thickTop="1" thickBot="1" x14ac:dyDescent="0.25">
      <c r="A78" s="2121" t="s">
        <v>597</v>
      </c>
      <c r="B78" s="2122"/>
      <c r="C78" s="1700">
        <f t="shared" ref="C78:K78" si="9">C20+C77</f>
        <v>17637</v>
      </c>
      <c r="D78" s="1700">
        <f t="shared" si="9"/>
        <v>-71361</v>
      </c>
      <c r="E78" s="1700">
        <f t="shared" si="9"/>
        <v>1506</v>
      </c>
      <c r="F78" s="1700">
        <f t="shared" si="9"/>
        <v>-74375</v>
      </c>
      <c r="G78" s="1700">
        <f t="shared" si="9"/>
        <v>-10637</v>
      </c>
      <c r="H78" s="1700">
        <f t="shared" si="9"/>
        <v>0</v>
      </c>
      <c r="I78" s="1700">
        <f t="shared" si="9"/>
        <v>-108624</v>
      </c>
      <c r="J78" s="1700">
        <f t="shared" si="9"/>
        <v>7564</v>
      </c>
      <c r="K78" s="1700">
        <f t="shared" si="9"/>
        <v>-3646</v>
      </c>
      <c r="L78" s="533"/>
    </row>
    <row r="79" spans="1:12" ht="13.5" thickTop="1" x14ac:dyDescent="0.2">
      <c r="A79" s="1494" t="s">
        <v>1947</v>
      </c>
      <c r="B79" s="534"/>
      <c r="C79" s="478">
        <v>1394442</v>
      </c>
      <c r="D79" s="535">
        <v>277584</v>
      </c>
      <c r="E79" s="535">
        <v>22992</v>
      </c>
      <c r="F79" s="535">
        <v>457187</v>
      </c>
      <c r="G79" s="535">
        <v>58760</v>
      </c>
      <c r="H79" s="535"/>
      <c r="I79" s="535">
        <v>431869</v>
      </c>
      <c r="J79" s="535">
        <v>48799</v>
      </c>
      <c r="K79" s="535">
        <v>6185</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1948</v>
      </c>
      <c r="B81" s="2120"/>
      <c r="C81" s="1686">
        <f>(SUM(C78:C80))</f>
        <v>1412079</v>
      </c>
      <c r="D81" s="1686">
        <f>SUM(D78:D80)</f>
        <v>206223</v>
      </c>
      <c r="E81" s="1686">
        <f t="shared" ref="E81:K81" si="10">SUM(E78:E80)</f>
        <v>24498</v>
      </c>
      <c r="F81" s="1686">
        <f t="shared" si="10"/>
        <v>382812</v>
      </c>
      <c r="G81" s="1686">
        <f t="shared" si="10"/>
        <v>48123</v>
      </c>
      <c r="H81" s="1686">
        <f t="shared" si="10"/>
        <v>0</v>
      </c>
      <c r="I81" s="1686">
        <f t="shared" si="10"/>
        <v>323245</v>
      </c>
      <c r="J81" s="1686">
        <f t="shared" si="10"/>
        <v>56363</v>
      </c>
      <c r="K81" s="1686">
        <f t="shared" si="10"/>
        <v>2539</v>
      </c>
      <c r="L81" s="347"/>
    </row>
    <row r="82" spans="1:12" ht="0.75" customHeight="1" thickTop="1" thickBot="1" x14ac:dyDescent="0.25">
      <c r="A82" s="536" t="s">
        <v>343</v>
      </c>
      <c r="B82" s="537"/>
      <c r="C82" s="538">
        <f>(C81-C79)</f>
        <v>17637</v>
      </c>
      <c r="D82" s="538">
        <f t="shared" ref="D82:K82" si="11">(D81-D79)</f>
        <v>-71361</v>
      </c>
      <c r="E82" s="538">
        <f t="shared" si="11"/>
        <v>1506</v>
      </c>
      <c r="F82" s="538">
        <f t="shared" si="11"/>
        <v>-74375</v>
      </c>
      <c r="G82" s="538">
        <f t="shared" si="11"/>
        <v>-10637</v>
      </c>
      <c r="H82" s="538">
        <f t="shared" si="11"/>
        <v>0</v>
      </c>
      <c r="I82" s="538">
        <f t="shared" si="11"/>
        <v>-108624</v>
      </c>
      <c r="J82" s="538">
        <f t="shared" si="11"/>
        <v>7564</v>
      </c>
      <c r="K82" s="538">
        <f t="shared" si="11"/>
        <v>-3646</v>
      </c>
    </row>
    <row r="83" spans="1:12" ht="14.25" hidden="1" thickTop="1" thickBot="1" x14ac:dyDescent="0.25">
      <c r="A83" s="539" t="s">
        <v>344</v>
      </c>
      <c r="B83" s="464"/>
      <c r="C83" s="540">
        <f>C82/C81</f>
        <v>1.2490094392735818E-2</v>
      </c>
      <c r="D83" s="540">
        <f t="shared" ref="D83:K83" si="12">D82/D81</f>
        <v>-0.34603802679623513</v>
      </c>
      <c r="E83" s="540">
        <f t="shared" si="12"/>
        <v>6.1474406073965225E-2</v>
      </c>
      <c r="F83" s="540">
        <f t="shared" si="12"/>
        <v>-0.19428596804697867</v>
      </c>
      <c r="G83" s="540">
        <f t="shared" si="12"/>
        <v>-0.22103775741329509</v>
      </c>
      <c r="H83" s="540" t="e">
        <f t="shared" si="12"/>
        <v>#DIV/0!</v>
      </c>
      <c r="I83" s="540">
        <f t="shared" si="12"/>
        <v>-0.33604232084022956</v>
      </c>
      <c r="J83" s="540">
        <f t="shared" si="12"/>
        <v>0.13420151517839718</v>
      </c>
      <c r="K83" s="540">
        <f t="shared" si="12"/>
        <v>-1.4359984245766049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7" activePane="bottomLeft" state="frozen"/>
      <selection activeCell="I42" sqref="I42:O42"/>
      <selection pane="bottomLeft" activeCell="C65" sqref="C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453815</v>
      </c>
      <c r="D5" s="481">
        <v>23068</v>
      </c>
      <c r="E5" s="466">
        <v>64269</v>
      </c>
      <c r="F5" s="548">
        <v>6303</v>
      </c>
      <c r="G5" s="466">
        <v>15937</v>
      </c>
      <c r="H5" s="466"/>
      <c r="I5" s="466"/>
      <c r="J5" s="467">
        <v>23308</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3076</v>
      </c>
      <c r="D7" s="466"/>
      <c r="E7" s="468"/>
      <c r="F7" s="467"/>
      <c r="G7" s="467"/>
      <c r="H7" s="467"/>
      <c r="I7" s="468"/>
      <c r="J7" s="468"/>
      <c r="K7" s="468"/>
    </row>
    <row r="8" spans="1:12" x14ac:dyDescent="0.2">
      <c r="A8" s="463" t="s">
        <v>413</v>
      </c>
      <c r="B8" s="470">
        <v>1150</v>
      </c>
      <c r="C8" s="475"/>
      <c r="D8" s="475"/>
      <c r="E8" s="477"/>
      <c r="F8" s="477"/>
      <c r="G8" s="481">
        <v>39844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456891</v>
      </c>
      <c r="D12" s="1705">
        <f t="shared" si="0"/>
        <v>23068</v>
      </c>
      <c r="E12" s="1705">
        <f t="shared" si="0"/>
        <v>64269</v>
      </c>
      <c r="F12" s="1705">
        <f t="shared" si="0"/>
        <v>6303</v>
      </c>
      <c r="G12" s="1705">
        <f t="shared" si="0"/>
        <v>55781</v>
      </c>
      <c r="H12" s="1705">
        <f t="shared" si="0"/>
        <v>0</v>
      </c>
      <c r="I12" s="1705">
        <f t="shared" si="0"/>
        <v>0</v>
      </c>
      <c r="J12" s="1705">
        <f t="shared" si="0"/>
        <v>23308</v>
      </c>
      <c r="K12" s="1686">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5050</v>
      </c>
      <c r="D14" s="466">
        <v>255</v>
      </c>
      <c r="E14" s="466">
        <v>710</v>
      </c>
      <c r="F14" s="466">
        <v>70</v>
      </c>
      <c r="G14" s="466">
        <v>617</v>
      </c>
      <c r="H14" s="466"/>
      <c r="I14" s="466"/>
      <c r="J14" s="467">
        <v>258</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39609</v>
      </c>
      <c r="D16" s="466"/>
      <c r="E16" s="466"/>
      <c r="F16" s="466"/>
      <c r="G16" s="466">
        <v>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44659</v>
      </c>
      <c r="D18" s="1708">
        <f t="shared" ref="D18:K18" si="1">SUM(D14:D17)</f>
        <v>255</v>
      </c>
      <c r="E18" s="1708">
        <f t="shared" si="1"/>
        <v>710</v>
      </c>
      <c r="F18" s="1708">
        <f t="shared" si="1"/>
        <v>70</v>
      </c>
      <c r="G18" s="1708">
        <f t="shared" si="1"/>
        <v>5617</v>
      </c>
      <c r="H18" s="1708">
        <f t="shared" si="1"/>
        <v>0</v>
      </c>
      <c r="I18" s="1708">
        <f t="shared" si="1"/>
        <v>0</v>
      </c>
      <c r="J18" s="1708">
        <f t="shared" si="1"/>
        <v>258</v>
      </c>
      <c r="K18" s="1709">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6435</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6435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17812</v>
      </c>
      <c r="D65" s="466">
        <v>3017</v>
      </c>
      <c r="E65" s="466">
        <v>441</v>
      </c>
      <c r="F65" s="467">
        <v>4711</v>
      </c>
      <c r="G65" s="466">
        <v>813</v>
      </c>
      <c r="H65" s="466"/>
      <c r="I65" s="466">
        <v>3826</v>
      </c>
      <c r="J65" s="467">
        <v>409</v>
      </c>
      <c r="K65" s="466">
        <v>43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17812</v>
      </c>
      <c r="D67" s="1686">
        <f t="shared" ref="D67:K67" si="2">SUM(D65:D66)</f>
        <v>3017</v>
      </c>
      <c r="E67" s="1686">
        <f t="shared" si="2"/>
        <v>441</v>
      </c>
      <c r="F67" s="1686">
        <f t="shared" si="2"/>
        <v>4711</v>
      </c>
      <c r="G67" s="1686">
        <f t="shared" si="2"/>
        <v>813</v>
      </c>
      <c r="H67" s="1686">
        <f t="shared" si="2"/>
        <v>0</v>
      </c>
      <c r="I67" s="1686">
        <f t="shared" si="2"/>
        <v>3826</v>
      </c>
      <c r="J67" s="1686">
        <f t="shared" si="2"/>
        <v>409</v>
      </c>
      <c r="K67" s="1686">
        <f t="shared" si="2"/>
        <v>43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48736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82</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2323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51141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8603</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8603</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2395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2395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901</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v>220</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2172</v>
      </c>
      <c r="D107" s="466">
        <v>10207</v>
      </c>
      <c r="E107" s="466"/>
      <c r="F107" s="466">
        <v>1819</v>
      </c>
      <c r="G107" s="466"/>
      <c r="H107" s="466"/>
      <c r="I107" s="466"/>
      <c r="J107" s="467"/>
      <c r="K107" s="466"/>
    </row>
    <row r="108" spans="1:12" ht="12.75" customHeight="1" thickBot="1" x14ac:dyDescent="0.25">
      <c r="A108" s="1706" t="s">
        <v>487</v>
      </c>
      <c r="B108" s="1710"/>
      <c r="C108" s="1705">
        <f>SUM(C95:C107)</f>
        <v>3073</v>
      </c>
      <c r="D108" s="1705">
        <f t="shared" ref="D108:K108" si="3">SUM(D95:D107)</f>
        <v>10207</v>
      </c>
      <c r="E108" s="1705">
        <f t="shared" si="3"/>
        <v>0</v>
      </c>
      <c r="F108" s="1705">
        <f t="shared" si="3"/>
        <v>1819</v>
      </c>
      <c r="G108" s="1705">
        <f t="shared" si="3"/>
        <v>0</v>
      </c>
      <c r="H108" s="1705">
        <f t="shared" si="3"/>
        <v>0</v>
      </c>
      <c r="I108" s="1705">
        <f t="shared" si="3"/>
        <v>0</v>
      </c>
      <c r="J108" s="1705">
        <f t="shared" si="3"/>
        <v>220</v>
      </c>
      <c r="K108" s="1686">
        <f t="shared" si="3"/>
        <v>0</v>
      </c>
    </row>
    <row r="109" spans="1:12" ht="14.25" thickTop="1" thickBot="1" x14ac:dyDescent="0.25">
      <c r="A109" s="1711" t="s">
        <v>248</v>
      </c>
      <c r="B109" s="1712" t="s">
        <v>570</v>
      </c>
      <c r="C109" s="1713">
        <f t="shared" ref="C109:K109" si="4">SUM(C12,C18,C40,C63,C67,C75,C82,C93,C108,)</f>
        <v>591009</v>
      </c>
      <c r="D109" s="1713">
        <f t="shared" si="4"/>
        <v>36547</v>
      </c>
      <c r="E109" s="1713">
        <f t="shared" si="4"/>
        <v>65420</v>
      </c>
      <c r="F109" s="1713">
        <f t="shared" si="4"/>
        <v>12903</v>
      </c>
      <c r="G109" s="1713">
        <f t="shared" si="4"/>
        <v>62211</v>
      </c>
      <c r="H109" s="1713">
        <f t="shared" si="4"/>
        <v>0</v>
      </c>
      <c r="I109" s="1713">
        <f t="shared" si="4"/>
        <v>3826</v>
      </c>
      <c r="J109" s="1713">
        <f t="shared" si="4"/>
        <v>24195</v>
      </c>
      <c r="K109" s="1700">
        <f t="shared" si="4"/>
        <v>43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1662699</v>
      </c>
      <c r="D117" s="481">
        <v>25000</v>
      </c>
      <c r="E117" s="466">
        <v>800</v>
      </c>
      <c r="F117" s="481"/>
      <c r="G117" s="481"/>
      <c r="H117" s="466"/>
      <c r="I117" s="468"/>
      <c r="J117" s="467">
        <v>25000</v>
      </c>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1662699</v>
      </c>
      <c r="D122" s="1705">
        <f t="shared" si="5"/>
        <v>25000</v>
      </c>
      <c r="E122" s="1705">
        <f t="shared" si="5"/>
        <v>800</v>
      </c>
      <c r="F122" s="1705">
        <f t="shared" si="5"/>
        <v>0</v>
      </c>
      <c r="G122" s="1705">
        <f t="shared" si="5"/>
        <v>0</v>
      </c>
      <c r="H122" s="1705">
        <f t="shared" si="5"/>
        <v>0</v>
      </c>
      <c r="I122" s="468"/>
      <c r="J122" s="1705">
        <f>SUM(J117:J121)</f>
        <v>25000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2990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67599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70589</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2013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103276</v>
      </c>
      <c r="G152" s="467"/>
      <c r="H152" s="468"/>
      <c r="I152" s="468"/>
      <c r="J152" s="468"/>
      <c r="K152" s="468"/>
    </row>
    <row r="153" spans="1:11" ht="12.75" customHeight="1" x14ac:dyDescent="0.2">
      <c r="A153" s="463" t="s">
        <v>1057</v>
      </c>
      <c r="B153" s="562">
        <v>3510</v>
      </c>
      <c r="C153" s="551"/>
      <c r="D153" s="466"/>
      <c r="E153" s="561"/>
      <c r="F153" s="466">
        <v>54916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158192</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12982</v>
      </c>
      <c r="D168" s="580"/>
      <c r="E168" s="580"/>
      <c r="F168" s="580"/>
      <c r="G168" s="581"/>
      <c r="H168" s="582"/>
      <c r="I168" s="581"/>
      <c r="J168" s="581"/>
      <c r="K168" s="582"/>
    </row>
    <row r="169" spans="1:11" ht="12.75" customHeight="1" thickTop="1" thickBot="1" x14ac:dyDescent="0.25">
      <c r="A169" s="2143" t="s">
        <v>398</v>
      </c>
      <c r="B169" s="2144"/>
      <c r="C169" s="1720">
        <f t="shared" ref="C169:K169" si="6">SUM(C132,C141,C145,C146:C150,C155,C156:C167,C168)</f>
        <v>85584</v>
      </c>
      <c r="D169" s="1720">
        <f t="shared" si="6"/>
        <v>0</v>
      </c>
      <c r="E169" s="1720">
        <f t="shared" si="6"/>
        <v>0</v>
      </c>
      <c r="F169" s="1720">
        <f t="shared" si="6"/>
        <v>158192</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1748283</v>
      </c>
      <c r="D170" s="1713">
        <f t="shared" si="7"/>
        <v>25000</v>
      </c>
      <c r="E170" s="1713">
        <f t="shared" si="7"/>
        <v>800</v>
      </c>
      <c r="F170" s="1713">
        <f t="shared" si="7"/>
        <v>158192</v>
      </c>
      <c r="G170" s="1713">
        <f t="shared" si="7"/>
        <v>0</v>
      </c>
      <c r="H170" s="1713">
        <f t="shared" si="7"/>
        <v>0</v>
      </c>
      <c r="I170" s="1713">
        <f t="shared" si="7"/>
        <v>0</v>
      </c>
      <c r="J170" s="1713">
        <f t="shared" si="7"/>
        <v>25000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40958</v>
      </c>
      <c r="D180" s="466"/>
      <c r="E180" s="468"/>
      <c r="F180" s="466"/>
      <c r="G180" s="466"/>
      <c r="H180" s="466"/>
      <c r="I180" s="468"/>
      <c r="J180" s="468"/>
      <c r="K180" s="466"/>
    </row>
    <row r="181" spans="1:11" ht="13.5" thickBot="1" x14ac:dyDescent="0.25">
      <c r="A181" s="2151" t="s">
        <v>785</v>
      </c>
      <c r="B181" s="2152"/>
      <c r="C181" s="1705">
        <f>SUM(C177:C180)</f>
        <v>40958</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87900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36667</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124567</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63194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63194</v>
      </c>
      <c r="D204" s="1705">
        <f>SUM(D200:D203)</f>
        <v>0</v>
      </c>
      <c r="E204" s="468"/>
      <c r="F204" s="1705">
        <f>SUM(F200:F203)</f>
        <v>0</v>
      </c>
      <c r="G204" s="1705">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10614</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10614</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21082</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21082</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1697</v>
      </c>
      <c r="D263" s="576"/>
      <c r="E263" s="468"/>
      <c r="F263" s="576"/>
      <c r="G263" s="576"/>
      <c r="H263" s="468"/>
      <c r="I263" s="468"/>
      <c r="J263" s="468"/>
      <c r="K263" s="468"/>
    </row>
    <row r="264" spans="1:11" ht="12.75" customHeight="1" thickTop="1" thickBot="1" x14ac:dyDescent="0.25">
      <c r="A264" s="463" t="s">
        <v>377</v>
      </c>
      <c r="B264" s="470">
        <v>4992</v>
      </c>
      <c r="C264" s="575">
        <v>5831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226985</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267943</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2607235</v>
      </c>
      <c r="D268" s="1713">
        <f t="shared" si="12"/>
        <v>61547</v>
      </c>
      <c r="E268" s="1713">
        <f t="shared" si="12"/>
        <v>66220</v>
      </c>
      <c r="F268" s="1713">
        <f t="shared" si="12"/>
        <v>171095</v>
      </c>
      <c r="G268" s="1713">
        <f t="shared" si="12"/>
        <v>62211</v>
      </c>
      <c r="H268" s="1713">
        <f t="shared" si="12"/>
        <v>0</v>
      </c>
      <c r="I268" s="1713">
        <f t="shared" si="12"/>
        <v>3826</v>
      </c>
      <c r="J268" s="1713">
        <f t="shared" si="12"/>
        <v>49195</v>
      </c>
      <c r="K268" s="1700">
        <f t="shared" si="12"/>
        <v>43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 activePane="bottomLeft" state="frozen"/>
      <selection activeCell="I42" sqref="I42:O42"/>
      <selection pane="bottomLeft" activeCell="I42" sqref="I42:O4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1114505</v>
      </c>
      <c r="D5" s="466">
        <v>144432</v>
      </c>
      <c r="E5" s="466">
        <v>49138</v>
      </c>
      <c r="F5" s="466">
        <v>35089</v>
      </c>
      <c r="G5" s="466">
        <v>32954</v>
      </c>
      <c r="H5" s="466"/>
      <c r="I5" s="467"/>
      <c r="J5" s="467"/>
      <c r="K5" s="1669">
        <f>SUM(C5:J5)</f>
        <v>1376118</v>
      </c>
      <c r="L5" s="466">
        <v>1377235</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296657</v>
      </c>
      <c r="D8" s="466">
        <v>18264</v>
      </c>
      <c r="E8" s="466">
        <v>147</v>
      </c>
      <c r="F8" s="466"/>
      <c r="G8" s="466"/>
      <c r="H8" s="466"/>
      <c r="I8" s="467"/>
      <c r="J8" s="467"/>
      <c r="K8" s="1669">
        <f t="shared" si="0"/>
        <v>315068</v>
      </c>
      <c r="L8" s="466">
        <v>315850</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52300</v>
      </c>
      <c r="D10" s="466">
        <v>10579</v>
      </c>
      <c r="E10" s="466">
        <v>10200</v>
      </c>
      <c r="F10" s="466">
        <v>37675</v>
      </c>
      <c r="G10" s="466"/>
      <c r="H10" s="466"/>
      <c r="I10" s="467"/>
      <c r="J10" s="467"/>
      <c r="K10" s="1669">
        <f t="shared" si="0"/>
        <v>110754</v>
      </c>
      <c r="L10" s="466">
        <v>128100</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c r="D14" s="466"/>
      <c r="E14" s="466">
        <v>5760</v>
      </c>
      <c r="F14" s="466">
        <v>4165</v>
      </c>
      <c r="G14" s="466"/>
      <c r="H14" s="466">
        <v>1530</v>
      </c>
      <c r="I14" s="467"/>
      <c r="J14" s="467"/>
      <c r="K14" s="1669">
        <f t="shared" si="0"/>
        <v>11455</v>
      </c>
      <c r="L14" s="466">
        <v>12033</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v>55</v>
      </c>
      <c r="F16" s="466"/>
      <c r="G16" s="466"/>
      <c r="H16" s="466">
        <v>915</v>
      </c>
      <c r="I16" s="467"/>
      <c r="J16" s="467"/>
      <c r="K16" s="1669">
        <f t="shared" si="0"/>
        <v>970</v>
      </c>
      <c r="L16" s="466">
        <v>1075</v>
      </c>
    </row>
    <row r="17" spans="1:12" x14ac:dyDescent="0.2">
      <c r="A17" s="1504" t="s">
        <v>724</v>
      </c>
      <c r="B17" s="614" t="s">
        <v>162</v>
      </c>
      <c r="C17" s="467"/>
      <c r="D17" s="467"/>
      <c r="E17" s="467"/>
      <c r="F17" s="467"/>
      <c r="G17" s="467"/>
      <c r="H17" s="467"/>
      <c r="I17" s="467"/>
      <c r="J17" s="467"/>
      <c r="K17" s="1669">
        <f t="shared" si="0"/>
        <v>0</v>
      </c>
      <c r="L17" s="466"/>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1463462</v>
      </c>
      <c r="D33" s="1668">
        <f t="shared" ref="D33:L33" si="1">SUM(D5:D32)</f>
        <v>173275</v>
      </c>
      <c r="E33" s="1668">
        <f t="shared" si="1"/>
        <v>65300</v>
      </c>
      <c r="F33" s="1668">
        <f t="shared" si="1"/>
        <v>76929</v>
      </c>
      <c r="G33" s="1668">
        <f t="shared" si="1"/>
        <v>32954</v>
      </c>
      <c r="H33" s="1668">
        <f t="shared" si="1"/>
        <v>2445</v>
      </c>
      <c r="I33" s="1668">
        <f t="shared" si="1"/>
        <v>0</v>
      </c>
      <c r="J33" s="1668">
        <f t="shared" si="1"/>
        <v>0</v>
      </c>
      <c r="K33" s="1668">
        <f t="shared" si="1"/>
        <v>1814365</v>
      </c>
      <c r="L33" s="1668">
        <f t="shared" si="1"/>
        <v>1834293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c r="D37" s="466"/>
      <c r="E37" s="466"/>
      <c r="F37" s="466"/>
      <c r="G37" s="466"/>
      <c r="H37" s="466"/>
      <c r="I37" s="467"/>
      <c r="J37" s="467"/>
      <c r="K37" s="1669">
        <f t="shared" si="2"/>
        <v>0</v>
      </c>
      <c r="L37" s="466"/>
    </row>
    <row r="38" spans="1:14" x14ac:dyDescent="0.2">
      <c r="A38" s="1504" t="s">
        <v>198</v>
      </c>
      <c r="B38" s="614">
        <v>2130</v>
      </c>
      <c r="C38" s="466">
        <v>23766</v>
      </c>
      <c r="D38" s="466"/>
      <c r="E38" s="466"/>
      <c r="F38" s="466">
        <v>1869</v>
      </c>
      <c r="G38" s="466"/>
      <c r="H38" s="466"/>
      <c r="I38" s="467"/>
      <c r="J38" s="467"/>
      <c r="K38" s="1669">
        <f t="shared" si="2"/>
        <v>25635</v>
      </c>
      <c r="L38" s="466">
        <v>25714</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c r="G40" s="466"/>
      <c r="H40" s="466"/>
      <c r="I40" s="467"/>
      <c r="J40" s="467"/>
      <c r="K40" s="1669">
        <f t="shared" si="2"/>
        <v>0</v>
      </c>
      <c r="L40" s="466"/>
    </row>
    <row r="41" spans="1:14" x14ac:dyDescent="0.2">
      <c r="A41" s="1504"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23766</v>
      </c>
      <c r="D42" s="1668">
        <f t="shared" ref="D42:L42" si="3">SUM(D36:D41)</f>
        <v>0</v>
      </c>
      <c r="E42" s="1668">
        <f t="shared" si="3"/>
        <v>0</v>
      </c>
      <c r="F42" s="1668">
        <f t="shared" si="3"/>
        <v>1869</v>
      </c>
      <c r="G42" s="1668">
        <f t="shared" si="3"/>
        <v>0</v>
      </c>
      <c r="H42" s="1668">
        <f t="shared" si="3"/>
        <v>0</v>
      </c>
      <c r="I42" s="1668">
        <f t="shared" si="3"/>
        <v>0</v>
      </c>
      <c r="J42" s="1668">
        <f t="shared" si="3"/>
        <v>0</v>
      </c>
      <c r="K42" s="1668">
        <f t="shared" si="3"/>
        <v>25635</v>
      </c>
      <c r="L42" s="1668">
        <f t="shared" si="3"/>
        <v>25714</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10599</v>
      </c>
      <c r="F44" s="481"/>
      <c r="G44" s="481"/>
      <c r="H44" s="481"/>
      <c r="I44" s="467"/>
      <c r="J44" s="467"/>
      <c r="K44" s="1670">
        <f>SUM(C44:J44)</f>
        <v>10599</v>
      </c>
      <c r="L44" s="481">
        <v>12500</v>
      </c>
    </row>
    <row r="45" spans="1:14" x14ac:dyDescent="0.2">
      <c r="A45" s="1504" t="s">
        <v>815</v>
      </c>
      <c r="B45" s="614">
        <v>2220</v>
      </c>
      <c r="C45" s="466">
        <v>19305</v>
      </c>
      <c r="D45" s="466"/>
      <c r="E45" s="466"/>
      <c r="F45" s="466">
        <v>66</v>
      </c>
      <c r="G45" s="466"/>
      <c r="H45" s="466"/>
      <c r="I45" s="467"/>
      <c r="J45" s="467"/>
      <c r="K45" s="1670">
        <f>SUM(C45:J45)</f>
        <v>19371</v>
      </c>
      <c r="L45" s="466">
        <v>19700</v>
      </c>
    </row>
    <row r="46" spans="1:14" x14ac:dyDescent="0.2">
      <c r="A46" s="1504"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19305</v>
      </c>
      <c r="D47" s="1668">
        <f t="shared" ref="D47:K47" si="4">SUM(D44:D46)</f>
        <v>0</v>
      </c>
      <c r="E47" s="1668">
        <f t="shared" si="4"/>
        <v>10599</v>
      </c>
      <c r="F47" s="1668">
        <f t="shared" si="4"/>
        <v>66</v>
      </c>
      <c r="G47" s="1668">
        <f t="shared" si="4"/>
        <v>0</v>
      </c>
      <c r="H47" s="1668">
        <f t="shared" si="4"/>
        <v>0</v>
      </c>
      <c r="I47" s="1668">
        <f t="shared" si="4"/>
        <v>0</v>
      </c>
      <c r="J47" s="1668">
        <f t="shared" si="4"/>
        <v>0</v>
      </c>
      <c r="K47" s="1668">
        <f t="shared" si="4"/>
        <v>29970</v>
      </c>
      <c r="L47" s="1668">
        <f>SUM(L44:L46)</f>
        <v>32200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30403</v>
      </c>
      <c r="F49" s="481">
        <v>2309</v>
      </c>
      <c r="G49" s="481"/>
      <c r="H49" s="481">
        <v>1878</v>
      </c>
      <c r="I49" s="467"/>
      <c r="J49" s="467"/>
      <c r="K49" s="1670">
        <f>SUM(C49:J49)</f>
        <v>34590</v>
      </c>
      <c r="L49" s="481">
        <v>31005</v>
      </c>
    </row>
    <row r="50" spans="1:14" x14ac:dyDescent="0.2">
      <c r="A50" s="1504" t="s">
        <v>818</v>
      </c>
      <c r="B50" s="614">
        <v>2320</v>
      </c>
      <c r="C50" s="466">
        <v>101662</v>
      </c>
      <c r="D50" s="466">
        <v>11730</v>
      </c>
      <c r="E50" s="466">
        <v>1454</v>
      </c>
      <c r="F50" s="466">
        <v>61</v>
      </c>
      <c r="G50" s="466"/>
      <c r="H50" s="466"/>
      <c r="I50" s="467"/>
      <c r="J50" s="467"/>
      <c r="K50" s="1670">
        <f>SUM(C50:J50)</f>
        <v>114907</v>
      </c>
      <c r="L50" s="466">
        <v>115228</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101662</v>
      </c>
      <c r="D53" s="1668">
        <f t="shared" ref="D53:L53" si="5">SUM(D49:D52)</f>
        <v>11730</v>
      </c>
      <c r="E53" s="1668">
        <f t="shared" si="5"/>
        <v>31857</v>
      </c>
      <c r="F53" s="1668">
        <f t="shared" si="5"/>
        <v>2370</v>
      </c>
      <c r="G53" s="1668">
        <f t="shared" si="5"/>
        <v>0</v>
      </c>
      <c r="H53" s="1668">
        <f t="shared" si="5"/>
        <v>1878</v>
      </c>
      <c r="I53" s="1668">
        <f t="shared" si="5"/>
        <v>0</v>
      </c>
      <c r="J53" s="1668">
        <f t="shared" si="5"/>
        <v>0</v>
      </c>
      <c r="K53" s="1668">
        <f t="shared" si="5"/>
        <v>149497</v>
      </c>
      <c r="L53" s="1668">
        <f t="shared" si="5"/>
        <v>146233</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97912</v>
      </c>
      <c r="D55" s="481">
        <v>8068</v>
      </c>
      <c r="E55" s="481">
        <v>5174</v>
      </c>
      <c r="F55" s="481">
        <v>279</v>
      </c>
      <c r="G55" s="481"/>
      <c r="H55" s="481">
        <v>365</v>
      </c>
      <c r="I55" s="467"/>
      <c r="J55" s="467"/>
      <c r="K55" s="1670">
        <f>SUM(C55:J55)</f>
        <v>111798</v>
      </c>
      <c r="L55" s="481">
        <v>112600</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97912</v>
      </c>
      <c r="D57" s="1672">
        <f t="shared" ref="D57:K57" si="6">SUM(D55:D56)</f>
        <v>8068</v>
      </c>
      <c r="E57" s="1672">
        <f t="shared" si="6"/>
        <v>5174</v>
      </c>
      <c r="F57" s="1672">
        <f t="shared" si="6"/>
        <v>279</v>
      </c>
      <c r="G57" s="1672">
        <f t="shared" si="6"/>
        <v>0</v>
      </c>
      <c r="H57" s="1672">
        <f t="shared" si="6"/>
        <v>365</v>
      </c>
      <c r="I57" s="1672">
        <f t="shared" si="6"/>
        <v>0</v>
      </c>
      <c r="J57" s="1672">
        <f t="shared" si="6"/>
        <v>0</v>
      </c>
      <c r="K57" s="1672">
        <f t="shared" si="6"/>
        <v>111798</v>
      </c>
      <c r="L57" s="1668">
        <f>SUM(L55:L56)</f>
        <v>112600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48658</v>
      </c>
      <c r="D60" s="466"/>
      <c r="E60" s="466">
        <v>21</v>
      </c>
      <c r="F60" s="466">
        <v>448</v>
      </c>
      <c r="G60" s="466"/>
      <c r="H60" s="466">
        <v>767</v>
      </c>
      <c r="I60" s="467"/>
      <c r="J60" s="467"/>
      <c r="K60" s="1670">
        <f t="shared" si="7"/>
        <v>49894</v>
      </c>
      <c r="L60" s="466">
        <v>50500</v>
      </c>
      <c r="M60" s="609"/>
      <c r="N60" s="609"/>
    </row>
    <row r="61" spans="1:14" s="343" customFormat="1" x14ac:dyDescent="0.2">
      <c r="A61" s="1504" t="s">
        <v>197</v>
      </c>
      <c r="B61" s="614">
        <v>2540</v>
      </c>
      <c r="C61" s="466">
        <v>77697</v>
      </c>
      <c r="D61" s="466"/>
      <c r="E61" s="466">
        <v>94</v>
      </c>
      <c r="F61" s="466"/>
      <c r="G61" s="466"/>
      <c r="H61" s="466"/>
      <c r="I61" s="467"/>
      <c r="J61" s="467"/>
      <c r="K61" s="1670">
        <f t="shared" si="7"/>
        <v>77791</v>
      </c>
      <c r="L61" s="466">
        <v>77800</v>
      </c>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40652</v>
      </c>
      <c r="D63" s="466"/>
      <c r="E63" s="466"/>
      <c r="F63" s="466">
        <v>123532</v>
      </c>
      <c r="G63" s="466"/>
      <c r="H63" s="466">
        <v>5193</v>
      </c>
      <c r="I63" s="467"/>
      <c r="J63" s="467"/>
      <c r="K63" s="1670">
        <f t="shared" si="7"/>
        <v>169377</v>
      </c>
      <c r="L63" s="466">
        <v>169685</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167007</v>
      </c>
      <c r="D65" s="1668">
        <f t="shared" ref="D65:L65" si="8">SUM(D59:D64)</f>
        <v>0</v>
      </c>
      <c r="E65" s="1668">
        <f t="shared" si="8"/>
        <v>115</v>
      </c>
      <c r="F65" s="1668">
        <f t="shared" si="8"/>
        <v>123980</v>
      </c>
      <c r="G65" s="1668">
        <f t="shared" si="8"/>
        <v>0</v>
      </c>
      <c r="H65" s="1668">
        <f t="shared" si="8"/>
        <v>5960</v>
      </c>
      <c r="I65" s="1668">
        <f t="shared" si="8"/>
        <v>0</v>
      </c>
      <c r="J65" s="1668">
        <f t="shared" si="8"/>
        <v>0</v>
      </c>
      <c r="K65" s="1668">
        <f t="shared" si="8"/>
        <v>297062</v>
      </c>
      <c r="L65" s="1668">
        <f t="shared" si="8"/>
        <v>297985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409652</v>
      </c>
      <c r="D74" s="1675">
        <f t="shared" ref="D74:K74" si="10">SUM(D42,D47,D53,D57,D65,D72,D73)</f>
        <v>19798</v>
      </c>
      <c r="E74" s="1675">
        <f t="shared" si="10"/>
        <v>47745</v>
      </c>
      <c r="F74" s="1675">
        <f t="shared" si="10"/>
        <v>128564</v>
      </c>
      <c r="G74" s="1675">
        <f t="shared" si="10"/>
        <v>0</v>
      </c>
      <c r="H74" s="1675">
        <f t="shared" si="10"/>
        <v>8203</v>
      </c>
      <c r="I74" s="1675">
        <f t="shared" si="10"/>
        <v>0</v>
      </c>
      <c r="J74" s="1675">
        <f t="shared" si="10"/>
        <v>0</v>
      </c>
      <c r="K74" s="1675">
        <f t="shared" si="10"/>
        <v>613962</v>
      </c>
      <c r="L74" s="1675">
        <f>SUM(L42,L47,L53,L57,L65,L72,L73)</f>
        <v>614732</v>
      </c>
    </row>
    <row r="75" spans="1:14" s="259" customFormat="1" ht="15.75" customHeight="1" thickTop="1" thickBot="1" x14ac:dyDescent="0.25">
      <c r="A75" s="1610" t="s">
        <v>47</v>
      </c>
      <c r="B75" s="1611" t="s">
        <v>575</v>
      </c>
      <c r="C75" s="573"/>
      <c r="D75" s="573"/>
      <c r="E75" s="573"/>
      <c r="F75" s="573"/>
      <c r="G75" s="573"/>
      <c r="H75" s="573">
        <v>14325</v>
      </c>
      <c r="I75" s="531"/>
      <c r="J75" s="531"/>
      <c r="K75" s="1668">
        <f>SUM(C75:J75)</f>
        <v>14325</v>
      </c>
      <c r="L75" s="576">
        <v>14379</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v>37920</v>
      </c>
      <c r="F79" s="616"/>
      <c r="G79" s="616"/>
      <c r="H79" s="466"/>
      <c r="I79" s="477"/>
      <c r="J79" s="477"/>
      <c r="K79" s="1669">
        <f t="shared" si="11"/>
        <v>37920</v>
      </c>
      <c r="L79" s="466">
        <v>37919</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37920</v>
      </c>
      <c r="F84" s="616"/>
      <c r="G84" s="616"/>
      <c r="H84" s="1668">
        <f>SUM(H78:H83)</f>
        <v>0</v>
      </c>
      <c r="I84" s="477"/>
      <c r="J84" s="477"/>
      <c r="K84" s="1668">
        <f>SUM(K78:K83)</f>
        <v>37920</v>
      </c>
      <c r="L84" s="1668">
        <f>SUM(L78:L83)</f>
        <v>37919</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169026</v>
      </c>
      <c r="I86" s="477"/>
      <c r="J86" s="477"/>
      <c r="K86" s="1675">
        <f t="shared" ref="K86:K98" si="12">H86</f>
        <v>169026</v>
      </c>
      <c r="L86" s="530">
        <v>169100</v>
      </c>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169026</v>
      </c>
      <c r="I92" s="477"/>
      <c r="J92" s="477"/>
      <c r="K92" s="1675">
        <f t="shared" si="12"/>
        <v>169026</v>
      </c>
      <c r="L92" s="1668">
        <f>SUM(L85:L91)</f>
        <v>169100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37920</v>
      </c>
      <c r="F102" s="616"/>
      <c r="G102" s="616"/>
      <c r="H102" s="1675">
        <f>SUM(H84,H92,H100,H101)</f>
        <v>169026</v>
      </c>
      <c r="I102" s="477"/>
      <c r="J102" s="477"/>
      <c r="K102" s="1675">
        <f>SUM(K84,K92,K100,K101)</f>
        <v>206946</v>
      </c>
      <c r="L102" s="1675">
        <f>SUM(L84,L92,L100,L101)</f>
        <v>207019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1873114</v>
      </c>
      <c r="D114" s="1668">
        <f t="shared" ref="D114:K114" si="13">SUM(D33,D74,D75,D102,D112,D113)</f>
        <v>193073</v>
      </c>
      <c r="E114" s="1668">
        <f t="shared" si="13"/>
        <v>150965</v>
      </c>
      <c r="F114" s="1668">
        <f t="shared" si="13"/>
        <v>205493</v>
      </c>
      <c r="G114" s="1668">
        <f t="shared" si="13"/>
        <v>32954</v>
      </c>
      <c r="H114" s="1668">
        <f>SUM(H33,H74,H75,H102,H112,H113)</f>
        <v>193999</v>
      </c>
      <c r="I114" s="1668">
        <f t="shared" si="13"/>
        <v>0</v>
      </c>
      <c r="J114" s="1668">
        <f t="shared" si="13"/>
        <v>0</v>
      </c>
      <c r="K114" s="1668">
        <f t="shared" si="13"/>
        <v>2649598</v>
      </c>
      <c r="L114" s="1668">
        <f>SUM(L33,L74,L75,L102,L112,L113)</f>
        <v>2670423</v>
      </c>
    </row>
    <row r="115" spans="1:14" ht="13.5" thickTop="1" x14ac:dyDescent="0.2">
      <c r="A115" s="2180" t="s">
        <v>996</v>
      </c>
      <c r="B115" s="2181"/>
      <c r="C115" s="618"/>
      <c r="D115" s="618"/>
      <c r="E115" s="618"/>
      <c r="F115" s="618"/>
      <c r="G115" s="618"/>
      <c r="H115" s="618"/>
      <c r="I115" s="618"/>
      <c r="J115" s="618"/>
      <c r="K115" s="1682">
        <f>'Revenues 9-14'!C268-'Expenditures 15-22'!K114</f>
        <v>-42363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c r="H123" s="466"/>
      <c r="I123" s="467"/>
      <c r="J123" s="467"/>
      <c r="K123" s="1668">
        <f>SUM(C123:J123)</f>
        <v>0</v>
      </c>
      <c r="L123" s="466"/>
    </row>
    <row r="124" spans="1:14" ht="14.25" thickTop="1" thickBot="1" x14ac:dyDescent="0.25">
      <c r="A124" s="1504" t="s">
        <v>197</v>
      </c>
      <c r="B124" s="614">
        <v>2540</v>
      </c>
      <c r="C124" s="466"/>
      <c r="D124" s="466"/>
      <c r="E124" s="466">
        <v>46626</v>
      </c>
      <c r="F124" s="466">
        <v>71025</v>
      </c>
      <c r="G124" s="466">
        <v>67707</v>
      </c>
      <c r="H124" s="466"/>
      <c r="I124" s="467"/>
      <c r="J124" s="467"/>
      <c r="K124" s="1668">
        <f>SUM(C124:J124)</f>
        <v>185358</v>
      </c>
      <c r="L124" s="466">
        <v>186626</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0</v>
      </c>
      <c r="D127" s="1668">
        <f t="shared" ref="D127:L127" si="14">SUM(D122:D126)</f>
        <v>0</v>
      </c>
      <c r="E127" s="1668">
        <f t="shared" si="14"/>
        <v>46626</v>
      </c>
      <c r="F127" s="1668">
        <f t="shared" si="14"/>
        <v>71025</v>
      </c>
      <c r="G127" s="1668">
        <f t="shared" si="14"/>
        <v>67707</v>
      </c>
      <c r="H127" s="1668">
        <f t="shared" si="14"/>
        <v>0</v>
      </c>
      <c r="I127" s="1668">
        <f t="shared" si="14"/>
        <v>0</v>
      </c>
      <c r="J127" s="1668">
        <f t="shared" si="14"/>
        <v>0</v>
      </c>
      <c r="K127" s="1668">
        <f t="shared" si="14"/>
        <v>185358</v>
      </c>
      <c r="L127" s="1668">
        <f t="shared" si="14"/>
        <v>186626</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0</v>
      </c>
      <c r="D129" s="1675">
        <f t="shared" ref="D129:L129" si="15">SUM(D120,D127,D128)</f>
        <v>0</v>
      </c>
      <c r="E129" s="1675">
        <f t="shared" si="15"/>
        <v>46626</v>
      </c>
      <c r="F129" s="1675">
        <f t="shared" si="15"/>
        <v>71025</v>
      </c>
      <c r="G129" s="1675">
        <f t="shared" si="15"/>
        <v>67707</v>
      </c>
      <c r="H129" s="1675">
        <f t="shared" si="15"/>
        <v>0</v>
      </c>
      <c r="I129" s="1675">
        <f t="shared" si="15"/>
        <v>0</v>
      </c>
      <c r="J129" s="1675">
        <f t="shared" si="15"/>
        <v>0</v>
      </c>
      <c r="K129" s="1675">
        <f t="shared" si="15"/>
        <v>185358</v>
      </c>
      <c r="L129" s="1675">
        <f t="shared" si="15"/>
        <v>186626</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68">
        <f>SUM(C129,C130,C139,C149,C150)</f>
        <v>0</v>
      </c>
      <c r="D151" s="1668">
        <f t="shared" ref="D151:K151" si="16">SUM(D129,D130,D139,D149,D150)</f>
        <v>0</v>
      </c>
      <c r="E151" s="1668">
        <f t="shared" si="16"/>
        <v>46626</v>
      </c>
      <c r="F151" s="1668">
        <f t="shared" si="16"/>
        <v>71025</v>
      </c>
      <c r="G151" s="1668">
        <f t="shared" si="16"/>
        <v>67707</v>
      </c>
      <c r="H151" s="1668">
        <f t="shared" si="16"/>
        <v>0</v>
      </c>
      <c r="I151" s="1668">
        <f t="shared" si="16"/>
        <v>0</v>
      </c>
      <c r="J151" s="1668">
        <f t="shared" si="16"/>
        <v>0</v>
      </c>
      <c r="K151" s="1668">
        <f t="shared" si="16"/>
        <v>185358</v>
      </c>
      <c r="L151" s="1668">
        <f>SUM(L129,L130,L139,L149,L150)</f>
        <v>186626</v>
      </c>
    </row>
    <row r="152" spans="1:14" ht="12.75" customHeight="1" thickTop="1" x14ac:dyDescent="0.2">
      <c r="A152" s="2173" t="s">
        <v>1178</v>
      </c>
      <c r="B152" s="2174"/>
      <c r="C152" s="618"/>
      <c r="D152" s="618"/>
      <c r="E152" s="618"/>
      <c r="F152" s="618"/>
      <c r="G152" s="618"/>
      <c r="H152" s="618"/>
      <c r="I152" s="618"/>
      <c r="J152" s="616"/>
      <c r="K152" s="1682">
        <f>'Revenues 9-14'!D268-'Expenditures 15-22'!K151</f>
        <v>-123811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1247</v>
      </c>
      <c r="I169" s="616"/>
      <c r="J169" s="616"/>
      <c r="K169" s="1669">
        <f>SUM(C169:H169)</f>
        <v>1247</v>
      </c>
      <c r="L169" s="656">
        <v>2000</v>
      </c>
    </row>
    <row r="170" spans="1:14" ht="33.75" customHeight="1" x14ac:dyDescent="0.2">
      <c r="A170" s="669" t="s">
        <v>1670</v>
      </c>
      <c r="B170" s="671" t="s">
        <v>31</v>
      </c>
      <c r="C170" s="616"/>
      <c r="D170" s="616"/>
      <c r="E170" s="616"/>
      <c r="F170" s="616"/>
      <c r="G170" s="616"/>
      <c r="H170" s="569">
        <v>63117</v>
      </c>
      <c r="I170" s="616"/>
      <c r="J170" s="616"/>
      <c r="K170" s="1669">
        <f>SUM(C170:J170)</f>
        <v>63117</v>
      </c>
      <c r="L170" s="569">
        <v>63117</v>
      </c>
    </row>
    <row r="171" spans="1:14" ht="15.75" customHeight="1" x14ac:dyDescent="0.2">
      <c r="A171" s="621" t="s">
        <v>766</v>
      </c>
      <c r="B171" s="672" t="s">
        <v>84</v>
      </c>
      <c r="C171" s="616"/>
      <c r="D171" s="616"/>
      <c r="E171" s="466"/>
      <c r="F171" s="616"/>
      <c r="G171" s="616"/>
      <c r="H171" s="569">
        <v>350</v>
      </c>
      <c r="I171" s="477"/>
      <c r="J171" s="616"/>
      <c r="K171" s="1669">
        <f>SUM(C171:J171)</f>
        <v>350</v>
      </c>
      <c r="L171" s="569">
        <v>350</v>
      </c>
    </row>
    <row r="172" spans="1:14" ht="12.75" customHeight="1" thickBot="1" x14ac:dyDescent="0.25">
      <c r="A172" s="1666" t="s">
        <v>638</v>
      </c>
      <c r="B172" s="1667" t="s">
        <v>492</v>
      </c>
      <c r="C172" s="616"/>
      <c r="D172" s="616"/>
      <c r="E172" s="1675">
        <f>SUM(E168,E169,E170,E171)</f>
        <v>0</v>
      </c>
      <c r="F172" s="616"/>
      <c r="G172" s="616"/>
      <c r="H172" s="1675">
        <f>SUM(H168,H169,H170,H171)</f>
        <v>64714</v>
      </c>
      <c r="I172" s="638"/>
      <c r="J172" s="616"/>
      <c r="K172" s="1675">
        <f>SUM(K168,K169,K170,K171)</f>
        <v>64714</v>
      </c>
      <c r="L172" s="1675">
        <f>SUM(L168,L169,L170,L171)</f>
        <v>65467</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64714</v>
      </c>
      <c r="I174" s="638"/>
      <c r="J174" s="616"/>
      <c r="K174" s="1675">
        <f>SUM(K160,K172,K173)</f>
        <v>64714</v>
      </c>
      <c r="L174" s="1675">
        <f>SUM(L160,L172,L173)</f>
        <v>65467</v>
      </c>
    </row>
    <row r="175" spans="1:14" ht="13.5" thickTop="1" x14ac:dyDescent="0.2">
      <c r="A175" s="2180" t="s">
        <v>996</v>
      </c>
      <c r="B175" s="2181"/>
      <c r="C175" s="616"/>
      <c r="D175" s="616"/>
      <c r="E175" s="616"/>
      <c r="F175" s="616"/>
      <c r="G175" s="616"/>
      <c r="H175" s="618"/>
      <c r="I175" s="616"/>
      <c r="J175" s="616"/>
      <c r="K175" s="1682">
        <f>'Revenues 9-14'!E268-'Expenditures 15-22'!K174</f>
        <v>1506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10059</v>
      </c>
      <c r="D182" s="466">
        <v>764</v>
      </c>
      <c r="E182" s="466">
        <v>234647</v>
      </c>
      <c r="F182" s="466"/>
      <c r="G182" s="466"/>
      <c r="H182" s="466"/>
      <c r="I182" s="467"/>
      <c r="J182" s="467"/>
      <c r="K182" s="1669">
        <f>SUM(C182:J182)</f>
        <v>245470</v>
      </c>
      <c r="L182" s="466">
        <v>246525</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10059</v>
      </c>
      <c r="D184" s="1675">
        <f t="shared" ref="D184:J184" si="17">SUM(D180,D182,D183)</f>
        <v>764</v>
      </c>
      <c r="E184" s="1675">
        <f t="shared" si="17"/>
        <v>234647</v>
      </c>
      <c r="F184" s="1675">
        <f t="shared" si="17"/>
        <v>0</v>
      </c>
      <c r="G184" s="1675">
        <f t="shared" si="17"/>
        <v>0</v>
      </c>
      <c r="H184" s="1675">
        <f t="shared" si="17"/>
        <v>0</v>
      </c>
      <c r="I184" s="1675">
        <f t="shared" si="17"/>
        <v>0</v>
      </c>
      <c r="J184" s="1675">
        <f t="shared" si="17"/>
        <v>0</v>
      </c>
      <c r="K184" s="1675">
        <f>SUM(K180,K182,K183)</f>
        <v>245470</v>
      </c>
      <c r="L184" s="1675">
        <f>SUM(L180, L182:L183)</f>
        <v>246525</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10059</v>
      </c>
      <c r="D210" s="1668">
        <f>SUM(D184,D185)</f>
        <v>764</v>
      </c>
      <c r="E210" s="1668">
        <f>SUM(E184,E185,E196)</f>
        <v>234647</v>
      </c>
      <c r="F210" s="1668">
        <f>SUM(F184,F185)</f>
        <v>0</v>
      </c>
      <c r="G210" s="1668">
        <f>SUM(G184,G185)</f>
        <v>0</v>
      </c>
      <c r="H210" s="1668">
        <f>SUM(H184,H185,H196,H208,H209)</f>
        <v>0</v>
      </c>
      <c r="I210" s="1668">
        <f>SUM(I184,I185)</f>
        <v>0</v>
      </c>
      <c r="J210" s="1668">
        <f>SUM(J184,J185)</f>
        <v>0</v>
      </c>
      <c r="K210" s="1669">
        <f>SUM(K184,K185,K196,K208,K209)</f>
        <v>245470</v>
      </c>
      <c r="L210" s="1668">
        <f>SUM(L184,L185,L196,L208,L209)</f>
        <v>246525</v>
      </c>
    </row>
    <row r="211" spans="1:14" ht="13.5" thickTop="1" x14ac:dyDescent="0.2">
      <c r="A211" s="2180" t="s">
        <v>996</v>
      </c>
      <c r="B211" s="2181"/>
      <c r="C211" s="618"/>
      <c r="D211" s="618"/>
      <c r="E211" s="618"/>
      <c r="F211" s="618"/>
      <c r="G211" s="618"/>
      <c r="H211" s="618"/>
      <c r="I211" s="616"/>
      <c r="J211" s="616"/>
      <c r="K211" s="1682">
        <f>'Revenues 9-14'!F268-'Expenditures 15-22'!K210</f>
        <v>-74375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16235</v>
      </c>
      <c r="E215" s="616"/>
      <c r="F215" s="616"/>
      <c r="G215" s="616"/>
      <c r="H215" s="616"/>
      <c r="I215" s="616"/>
      <c r="J215" s="616"/>
      <c r="K215" s="1669">
        <f>D215</f>
        <v>16235</v>
      </c>
      <c r="L215" s="466">
        <v>16400</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20867</v>
      </c>
      <c r="E217" s="616"/>
      <c r="F217" s="616"/>
      <c r="G217" s="616"/>
      <c r="H217" s="616"/>
      <c r="I217" s="616"/>
      <c r="J217" s="616"/>
      <c r="K217" s="1669">
        <f t="shared" si="19"/>
        <v>20867</v>
      </c>
      <c r="L217" s="466">
        <v>20950</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679</v>
      </c>
      <c r="E219" s="616"/>
      <c r="F219" s="616"/>
      <c r="G219" s="616"/>
      <c r="H219" s="616"/>
      <c r="I219" s="616"/>
      <c r="J219" s="616"/>
      <c r="K219" s="1669">
        <f t="shared" si="19"/>
        <v>679</v>
      </c>
      <c r="L219" s="466">
        <v>700</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c r="E223" s="616"/>
      <c r="F223" s="616"/>
      <c r="G223" s="616"/>
      <c r="H223" s="616"/>
      <c r="I223" s="616"/>
      <c r="J223" s="616"/>
      <c r="K223" s="1669">
        <f t="shared" si="19"/>
        <v>0</v>
      </c>
      <c r="L223" s="466"/>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c r="E226" s="616"/>
      <c r="F226" s="616"/>
      <c r="G226" s="616"/>
      <c r="H226" s="616"/>
      <c r="I226" s="616"/>
      <c r="J226" s="616"/>
      <c r="K226" s="1669">
        <f t="shared" si="19"/>
        <v>0</v>
      </c>
      <c r="L226" s="466"/>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37781</v>
      </c>
      <c r="E229" s="616"/>
      <c r="F229" s="616"/>
      <c r="G229" s="616"/>
      <c r="H229" s="616"/>
      <c r="I229" s="616"/>
      <c r="J229" s="616"/>
      <c r="K229" s="1668">
        <f>SUM(K215:K228)</f>
        <v>37781</v>
      </c>
      <c r="L229" s="1668">
        <f>SUM(L215:L228)</f>
        <v>38050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c r="E233" s="616"/>
      <c r="F233" s="616"/>
      <c r="G233" s="616"/>
      <c r="H233" s="616"/>
      <c r="I233" s="616"/>
      <c r="J233" s="616"/>
      <c r="K233" s="1669">
        <f t="shared" si="20"/>
        <v>0</v>
      </c>
      <c r="L233" s="466"/>
    </row>
    <row r="234" spans="1:12" x14ac:dyDescent="0.2">
      <c r="A234" s="1504" t="s">
        <v>198</v>
      </c>
      <c r="B234" s="614">
        <v>2130</v>
      </c>
      <c r="C234" s="616"/>
      <c r="D234" s="466">
        <v>3318</v>
      </c>
      <c r="E234" s="616"/>
      <c r="F234" s="616"/>
      <c r="G234" s="616"/>
      <c r="H234" s="616"/>
      <c r="I234" s="616"/>
      <c r="J234" s="616"/>
      <c r="K234" s="1669">
        <f t="shared" si="20"/>
        <v>3318</v>
      </c>
      <c r="L234" s="466">
        <v>3331</v>
      </c>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3318</v>
      </c>
      <c r="E238" s="616"/>
      <c r="F238" s="616"/>
      <c r="G238" s="616"/>
      <c r="H238" s="616"/>
      <c r="I238" s="616"/>
      <c r="J238" s="616"/>
      <c r="K238" s="1668">
        <f>SUM(K232:K237)</f>
        <v>3318</v>
      </c>
      <c r="L238" s="1668">
        <f>SUM(L232:L237)</f>
        <v>3331</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row>
    <row r="241" spans="1:12" x14ac:dyDescent="0.2">
      <c r="A241" s="1504" t="s">
        <v>815</v>
      </c>
      <c r="B241" s="614">
        <v>2220</v>
      </c>
      <c r="C241" s="616"/>
      <c r="D241" s="466">
        <v>2710</v>
      </c>
      <c r="E241" s="616"/>
      <c r="F241" s="616"/>
      <c r="G241" s="616"/>
      <c r="H241" s="616"/>
      <c r="I241" s="616"/>
      <c r="J241" s="616"/>
      <c r="K241" s="1670">
        <f>D241</f>
        <v>2710</v>
      </c>
      <c r="L241" s="466">
        <v>2750</v>
      </c>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2710</v>
      </c>
      <c r="E243" s="616"/>
      <c r="F243" s="616"/>
      <c r="G243" s="616"/>
      <c r="H243" s="616"/>
      <c r="I243" s="616"/>
      <c r="J243" s="616"/>
      <c r="K243" s="1668">
        <f>SUM(K240:K242)</f>
        <v>2710</v>
      </c>
      <c r="L243" s="1668">
        <f>SUM(L240:L242)</f>
        <v>2750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0">
        <f>D245</f>
        <v>0</v>
      </c>
      <c r="L245" s="481"/>
    </row>
    <row r="246" spans="1:12" x14ac:dyDescent="0.2">
      <c r="A246" s="1504" t="s">
        <v>818</v>
      </c>
      <c r="B246" s="614">
        <v>2320</v>
      </c>
      <c r="C246" s="616"/>
      <c r="D246" s="466">
        <v>1474</v>
      </c>
      <c r="E246" s="616"/>
      <c r="F246" s="616"/>
      <c r="G246" s="616"/>
      <c r="H246" s="616"/>
      <c r="I246" s="616"/>
      <c r="J246" s="616"/>
      <c r="K246" s="1670">
        <f t="shared" ref="K246:K256" si="21">D246</f>
        <v>1474</v>
      </c>
      <c r="L246" s="466">
        <v>1500</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1474</v>
      </c>
      <c r="E257" s="616"/>
      <c r="F257" s="616"/>
      <c r="G257" s="616"/>
      <c r="H257" s="616"/>
      <c r="I257" s="616"/>
      <c r="J257" s="616"/>
      <c r="K257" s="1668">
        <f>SUM(K245:K256)</f>
        <v>1474</v>
      </c>
      <c r="L257" s="1668">
        <f>SUM(L245:L256)</f>
        <v>1500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4945</v>
      </c>
      <c r="E259" s="616"/>
      <c r="F259" s="616"/>
      <c r="G259" s="616"/>
      <c r="H259" s="616"/>
      <c r="I259" s="616"/>
      <c r="J259" s="616"/>
      <c r="K259" s="1670">
        <f>D259</f>
        <v>4945</v>
      </c>
      <c r="L259" s="481">
        <v>5140</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4945</v>
      </c>
      <c r="E261" s="616"/>
      <c r="F261" s="616"/>
      <c r="G261" s="616"/>
      <c r="H261" s="616"/>
      <c r="I261" s="616"/>
      <c r="J261" s="616"/>
      <c r="K261" s="1668">
        <f>SUM(K259:K260)</f>
        <v>4945</v>
      </c>
      <c r="L261" s="1668">
        <f>SUM(L259:L260)</f>
        <v>5140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6849</v>
      </c>
      <c r="E264" s="616"/>
      <c r="F264" s="616"/>
      <c r="G264" s="616"/>
      <c r="H264" s="616"/>
      <c r="I264" s="616"/>
      <c r="J264" s="616"/>
      <c r="K264" s="1670">
        <f t="shared" ref="K264:K269" si="22">D264</f>
        <v>6849</v>
      </c>
      <c r="L264" s="466">
        <v>7000</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10120</v>
      </c>
      <c r="E266" s="616"/>
      <c r="F266" s="616"/>
      <c r="G266" s="616"/>
      <c r="H266" s="616"/>
      <c r="I266" s="616"/>
      <c r="J266" s="616"/>
      <c r="K266" s="1670">
        <f t="shared" si="22"/>
        <v>10120</v>
      </c>
      <c r="L266" s="466">
        <v>10220</v>
      </c>
    </row>
    <row r="267" spans="1:14" x14ac:dyDescent="0.2">
      <c r="A267" s="1504" t="s">
        <v>953</v>
      </c>
      <c r="B267" s="614">
        <v>2550</v>
      </c>
      <c r="C267" s="616"/>
      <c r="D267" s="466">
        <v>473</v>
      </c>
      <c r="E267" s="616"/>
      <c r="F267" s="616"/>
      <c r="G267" s="616"/>
      <c r="H267" s="616"/>
      <c r="I267" s="616"/>
      <c r="J267" s="616"/>
      <c r="K267" s="1670">
        <f t="shared" si="22"/>
        <v>473</v>
      </c>
      <c r="L267" s="466">
        <v>825</v>
      </c>
    </row>
    <row r="268" spans="1:14" x14ac:dyDescent="0.2">
      <c r="A268" s="1504" t="s">
        <v>100</v>
      </c>
      <c r="B268" s="614">
        <v>2560</v>
      </c>
      <c r="C268" s="616"/>
      <c r="D268" s="466">
        <v>5178</v>
      </c>
      <c r="E268" s="616"/>
      <c r="F268" s="616"/>
      <c r="G268" s="616"/>
      <c r="H268" s="616"/>
      <c r="I268" s="616"/>
      <c r="J268" s="616"/>
      <c r="K268" s="1670">
        <f t="shared" si="22"/>
        <v>5178</v>
      </c>
      <c r="L268" s="466">
        <v>5350</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22620</v>
      </c>
      <c r="E270" s="616"/>
      <c r="F270" s="616"/>
      <c r="G270" s="616"/>
      <c r="H270" s="616"/>
      <c r="I270" s="616"/>
      <c r="J270" s="616"/>
      <c r="K270" s="1668">
        <f>SUM(K263:K269)</f>
        <v>22620</v>
      </c>
      <c r="L270" s="1668">
        <f>SUM(L263:L269)</f>
        <v>23395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35067</v>
      </c>
      <c r="E279" s="616"/>
      <c r="F279" s="616"/>
      <c r="G279" s="616"/>
      <c r="H279" s="616"/>
      <c r="I279" s="616"/>
      <c r="J279" s="616"/>
      <c r="K279" s="1675">
        <f>SUM(K238,K243,K257,K261,K270,K277,K278)</f>
        <v>35067</v>
      </c>
      <c r="L279" s="1675">
        <f>SUM(L238,L243,L257,L261,L270,L277,L278)</f>
        <v>36116</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8">
        <f>SUM(D229,D279,D280,D285)</f>
        <v>72848</v>
      </c>
      <c r="E295" s="616"/>
      <c r="F295" s="616"/>
      <c r="G295" s="616"/>
      <c r="H295" s="1668">
        <f>H293</f>
        <v>0</v>
      </c>
      <c r="I295" s="616"/>
      <c r="J295" s="616"/>
      <c r="K295" s="1668">
        <f>SUM(K229,K279,K280,K285,K293,K294)</f>
        <v>72848</v>
      </c>
      <c r="L295" s="1668">
        <f>SUM(L229,L279,L280,L285,L293,L294)</f>
        <v>74166</v>
      </c>
    </row>
    <row r="296" spans="1:14" ht="13.5" thickTop="1" x14ac:dyDescent="0.2">
      <c r="A296" s="2180" t="s">
        <v>996</v>
      </c>
      <c r="B296" s="2181"/>
      <c r="C296" s="616"/>
      <c r="D296" s="618"/>
      <c r="E296" s="616"/>
      <c r="F296" s="616"/>
      <c r="G296" s="616"/>
      <c r="H296" s="687"/>
      <c r="I296" s="616"/>
      <c r="J296" s="616"/>
      <c r="K296" s="1682">
        <f>'Revenues 9-14'!G268-'Expenditures 15-22'!K295</f>
        <v>-10637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9">
        <f>SUM(C301:J301)</f>
        <v>0</v>
      </c>
      <c r="L301" s="467"/>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4" t="s">
        <v>996</v>
      </c>
      <c r="B313" s="2165"/>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25982</v>
      </c>
      <c r="F320" s="467"/>
      <c r="G320" s="467"/>
      <c r="H320" s="467"/>
      <c r="I320" s="467"/>
      <c r="J320" s="467"/>
      <c r="K320" s="1669">
        <f t="shared" ref="K320:K327" si="24">SUM(C320:J320)</f>
        <v>25982</v>
      </c>
      <c r="L320" s="467">
        <v>26000</v>
      </c>
      <c r="M320" s="665"/>
      <c r="N320" s="665"/>
    </row>
    <row r="321" spans="1:14" s="674" customFormat="1" x14ac:dyDescent="0.2">
      <c r="A321" s="1519" t="s">
        <v>300</v>
      </c>
      <c r="B321" s="697" t="s">
        <v>283</v>
      </c>
      <c r="C321" s="467"/>
      <c r="D321" s="467"/>
      <c r="E321" s="467">
        <v>3649</v>
      </c>
      <c r="F321" s="467"/>
      <c r="G321" s="467"/>
      <c r="H321" s="467"/>
      <c r="I321" s="467"/>
      <c r="J321" s="467"/>
      <c r="K321" s="1669">
        <f t="shared" si="24"/>
        <v>3649</v>
      </c>
      <c r="L321" s="467">
        <v>3700</v>
      </c>
      <c r="M321" s="665"/>
      <c r="N321" s="665"/>
    </row>
    <row r="322" spans="1:14" s="674" customFormat="1" x14ac:dyDescent="0.2">
      <c r="A322" s="1519" t="s">
        <v>238</v>
      </c>
      <c r="B322" s="697" t="s">
        <v>284</v>
      </c>
      <c r="C322" s="467"/>
      <c r="D322" s="467"/>
      <c r="E322" s="467">
        <v>12000</v>
      </c>
      <c r="F322" s="467"/>
      <c r="G322" s="467"/>
      <c r="H322" s="467"/>
      <c r="I322" s="467"/>
      <c r="J322" s="467"/>
      <c r="K322" s="1669">
        <f t="shared" si="24"/>
        <v>12000</v>
      </c>
      <c r="L322" s="467">
        <v>12000</v>
      </c>
      <c r="M322" s="665"/>
      <c r="N322" s="665"/>
    </row>
    <row r="323" spans="1:14" s="674" customFormat="1" x14ac:dyDescent="0.2">
      <c r="A323" s="1519" t="s">
        <v>702</v>
      </c>
      <c r="B323" s="697" t="s">
        <v>285</v>
      </c>
      <c r="C323" s="467"/>
      <c r="D323" s="467"/>
      <c r="E323" s="467"/>
      <c r="F323" s="467"/>
      <c r="G323" s="467"/>
      <c r="H323" s="467"/>
      <c r="I323" s="467"/>
      <c r="J323" s="467"/>
      <c r="K323" s="1669">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69">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41631</v>
      </c>
      <c r="F330" s="1668">
        <f t="shared" si="25"/>
        <v>0</v>
      </c>
      <c r="G330" s="1668">
        <f t="shared" si="25"/>
        <v>0</v>
      </c>
      <c r="H330" s="1668">
        <f t="shared" si="25"/>
        <v>0</v>
      </c>
      <c r="I330" s="1668">
        <f t="shared" si="25"/>
        <v>0</v>
      </c>
      <c r="J330" s="1668">
        <f t="shared" si="25"/>
        <v>0</v>
      </c>
      <c r="K330" s="1668">
        <f>SUM(K319:K329)</f>
        <v>41631</v>
      </c>
      <c r="L330" s="1668">
        <f>SUM(L319:L329)</f>
        <v>41700</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41631</v>
      </c>
      <c r="F342" s="1668">
        <f>SUM(F330)</f>
        <v>0</v>
      </c>
      <c r="G342" s="1668">
        <f>SUM(G330)</f>
        <v>0</v>
      </c>
      <c r="H342" s="1668">
        <f>SUM(H330,H334,H340)</f>
        <v>0</v>
      </c>
      <c r="I342" s="1668">
        <f>SUM(I330)</f>
        <v>0</v>
      </c>
      <c r="J342" s="1668">
        <f>SUM(J330)</f>
        <v>0</v>
      </c>
      <c r="K342" s="1668">
        <f>SUM(K330,K334,K340)</f>
        <v>41631</v>
      </c>
      <c r="L342" s="1675">
        <f>SUM(L330,L334,L340,L341)</f>
        <v>41700</v>
      </c>
    </row>
    <row r="343" spans="1:14" ht="12.75" customHeight="1" thickTop="1" x14ac:dyDescent="0.2">
      <c r="A343" s="2166" t="s">
        <v>996</v>
      </c>
      <c r="B343" s="2167"/>
      <c r="C343" s="616"/>
      <c r="D343" s="616"/>
      <c r="E343" s="616"/>
      <c r="F343" s="616"/>
      <c r="G343" s="616"/>
      <c r="H343" s="616"/>
      <c r="I343" s="616"/>
      <c r="J343" s="616"/>
      <c r="K343" s="1682">
        <f>'Revenues 9-14'!J268-'Expenditures 15-22'!K342</f>
        <v>7564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3259</v>
      </c>
      <c r="F348" s="466">
        <v>430</v>
      </c>
      <c r="G348" s="466"/>
      <c r="H348" s="466"/>
      <c r="I348" s="467"/>
      <c r="J348" s="467"/>
      <c r="K348" s="1669">
        <f>SUM(C348:J348)</f>
        <v>3689</v>
      </c>
      <c r="L348" s="466">
        <v>6220</v>
      </c>
    </row>
    <row r="349" spans="1:14" x14ac:dyDescent="0.2">
      <c r="A349" s="1504" t="s">
        <v>197</v>
      </c>
      <c r="B349" s="614">
        <v>2540</v>
      </c>
      <c r="C349" s="466"/>
      <c r="D349" s="466"/>
      <c r="E349" s="466"/>
      <c r="F349" s="466"/>
      <c r="G349" s="466"/>
      <c r="H349" s="466"/>
      <c r="I349" s="467"/>
      <c r="J349" s="467"/>
      <c r="K349" s="1669">
        <f>SUM(C349:J349)</f>
        <v>0</v>
      </c>
      <c r="L349" s="466"/>
    </row>
    <row r="350" spans="1:14" ht="12.75" customHeight="1" thickBot="1" x14ac:dyDescent="0.25">
      <c r="A350" s="1666" t="s">
        <v>719</v>
      </c>
      <c r="B350" s="1667" t="s">
        <v>35</v>
      </c>
      <c r="C350" s="1668">
        <f>SUM(C348:C349)</f>
        <v>0</v>
      </c>
      <c r="D350" s="1668">
        <f t="shared" ref="D350:L350" si="26">SUM(D348:D349)</f>
        <v>0</v>
      </c>
      <c r="E350" s="1668">
        <f t="shared" si="26"/>
        <v>3259</v>
      </c>
      <c r="F350" s="1668">
        <f t="shared" si="26"/>
        <v>430</v>
      </c>
      <c r="G350" s="1668">
        <f t="shared" si="26"/>
        <v>0</v>
      </c>
      <c r="H350" s="1668">
        <f t="shared" si="26"/>
        <v>0</v>
      </c>
      <c r="I350" s="1668">
        <f t="shared" si="26"/>
        <v>0</v>
      </c>
      <c r="J350" s="1668">
        <f t="shared" si="26"/>
        <v>0</v>
      </c>
      <c r="K350" s="1668">
        <f t="shared" si="26"/>
        <v>3689</v>
      </c>
      <c r="L350" s="1668">
        <f t="shared" si="26"/>
        <v>6220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3259</v>
      </c>
      <c r="F352" s="1668">
        <f t="shared" si="27"/>
        <v>430</v>
      </c>
      <c r="G352" s="1668">
        <f t="shared" si="27"/>
        <v>0</v>
      </c>
      <c r="H352" s="1668">
        <f t="shared" si="27"/>
        <v>0</v>
      </c>
      <c r="I352" s="1668">
        <f t="shared" si="27"/>
        <v>0</v>
      </c>
      <c r="J352" s="1668">
        <f t="shared" si="27"/>
        <v>0</v>
      </c>
      <c r="K352" s="1668">
        <f t="shared" si="27"/>
        <v>3689</v>
      </c>
      <c r="L352" s="1668">
        <f t="shared" si="27"/>
        <v>6220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3259</v>
      </c>
      <c r="F367" s="1668">
        <f t="shared" si="28"/>
        <v>430</v>
      </c>
      <c r="G367" s="1668">
        <f t="shared" si="28"/>
        <v>0</v>
      </c>
      <c r="H367" s="1668">
        <f t="shared" si="28"/>
        <v>0</v>
      </c>
      <c r="I367" s="1668">
        <f t="shared" si="28"/>
        <v>0</v>
      </c>
      <c r="J367" s="1668">
        <f t="shared" si="28"/>
        <v>0</v>
      </c>
      <c r="K367" s="1668">
        <f t="shared" si="28"/>
        <v>3689</v>
      </c>
      <c r="L367" s="1668">
        <f t="shared" si="28"/>
        <v>6220</v>
      </c>
    </row>
    <row r="368" spans="1:14" ht="13.5" thickTop="1" x14ac:dyDescent="0.2">
      <c r="A368" s="2180" t="s">
        <v>996</v>
      </c>
      <c r="B368" s="2181"/>
      <c r="C368" s="654"/>
      <c r="D368" s="654"/>
      <c r="E368" s="626"/>
      <c r="F368" s="626"/>
      <c r="G368" s="626"/>
      <c r="H368" s="626"/>
      <c r="I368" s="626"/>
      <c r="J368" s="623"/>
      <c r="K368" s="1669">
        <f>'Revenues 9-14'!K268-'Expenditures 15-22'!K367</f>
        <v>-3646</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I42" sqref="I42:O4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1802</v>
      </c>
      <c r="B2" s="1528" t="s">
        <v>1949</v>
      </c>
      <c r="C2" s="714" t="s">
        <v>1950</v>
      </c>
      <c r="D2" s="714" t="s">
        <v>1951</v>
      </c>
      <c r="E2" s="714" t="s">
        <v>1952</v>
      </c>
      <c r="F2" s="714" t="s">
        <v>1953</v>
      </c>
    </row>
    <row r="3" spans="1:6" ht="12" customHeight="1" x14ac:dyDescent="0.2">
      <c r="A3" s="2183"/>
      <c r="B3" s="1525"/>
      <c r="C3" s="1526"/>
      <c r="D3" s="1527" t="s">
        <v>256</v>
      </c>
      <c r="E3" s="1526"/>
      <c r="F3" s="1527" t="s">
        <v>257</v>
      </c>
    </row>
    <row r="4" spans="1:6" ht="13.7" customHeight="1" x14ac:dyDescent="0.2">
      <c r="A4" s="715" t="s">
        <v>1155</v>
      </c>
      <c r="B4" s="1747">
        <f>'Revenues 9-14'!C5</f>
        <v>453815</v>
      </c>
      <c r="C4" s="1524"/>
      <c r="D4" s="1750">
        <f>B4-C4</f>
        <v>453815</v>
      </c>
      <c r="E4" s="1524">
        <v>436915</v>
      </c>
      <c r="F4" s="1750">
        <f>E4-C4</f>
        <v>436915</v>
      </c>
    </row>
    <row r="5" spans="1:6" ht="13.7" customHeight="1" x14ac:dyDescent="0.2">
      <c r="A5" s="715" t="s">
        <v>870</v>
      </c>
      <c r="B5" s="1748">
        <f>'Revenues 9-14'!D5</f>
        <v>23068</v>
      </c>
      <c r="C5" s="585"/>
      <c r="D5" s="1751">
        <f t="shared" ref="D5:D18" si="0">B5-C5</f>
        <v>23068</v>
      </c>
      <c r="E5" s="585">
        <v>33469</v>
      </c>
      <c r="F5" s="1751">
        <f>E5-C5</f>
        <v>33469</v>
      </c>
    </row>
    <row r="6" spans="1:6" ht="13.7" customHeight="1" x14ac:dyDescent="0.2">
      <c r="A6" s="715" t="s">
        <v>411</v>
      </c>
      <c r="B6" s="1748">
        <f>'Revenues 9-14'!E5</f>
        <v>64269</v>
      </c>
      <c r="C6" s="585"/>
      <c r="D6" s="1751">
        <f t="shared" si="0"/>
        <v>64269</v>
      </c>
      <c r="E6" s="585">
        <v>74156</v>
      </c>
      <c r="F6" s="1751">
        <f t="shared" ref="F6:F18" si="1">E6-C6</f>
        <v>74156</v>
      </c>
    </row>
    <row r="7" spans="1:6" ht="13.7" customHeight="1" x14ac:dyDescent="0.2">
      <c r="A7" s="715" t="s">
        <v>155</v>
      </c>
      <c r="B7" s="1748">
        <f>'Revenues 9-14'!F5</f>
        <v>6303</v>
      </c>
      <c r="C7" s="585"/>
      <c r="D7" s="1751">
        <f t="shared" si="0"/>
        <v>6303</v>
      </c>
      <c r="E7" s="585">
        <v>32498</v>
      </c>
      <c r="F7" s="1751">
        <f t="shared" si="1"/>
        <v>32498</v>
      </c>
    </row>
    <row r="8" spans="1:6" ht="13.7" customHeight="1" x14ac:dyDescent="0.2">
      <c r="A8" s="715" t="s">
        <v>1179</v>
      </c>
      <c r="B8" s="1748">
        <f>'Revenues 9-14'!G5</f>
        <v>15937</v>
      </c>
      <c r="C8" s="585"/>
      <c r="D8" s="1751">
        <f t="shared" si="0"/>
        <v>15937</v>
      </c>
      <c r="E8" s="585">
        <v>19810</v>
      </c>
      <c r="F8" s="1751">
        <f t="shared" si="1"/>
        <v>19810</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0</v>
      </c>
      <c r="C10" s="585"/>
      <c r="D10" s="1751">
        <f t="shared" si="0"/>
        <v>0</v>
      </c>
      <c r="E10" s="585"/>
      <c r="F10" s="1751">
        <f t="shared" si="1"/>
        <v>0</v>
      </c>
    </row>
    <row r="11" spans="1:6" x14ac:dyDescent="0.2">
      <c r="A11" s="715" t="s">
        <v>409</v>
      </c>
      <c r="B11" s="1748">
        <f>'Revenues 9-14'!J5</f>
        <v>23308</v>
      </c>
      <c r="C11" s="585"/>
      <c r="D11" s="1751">
        <f t="shared" si="0"/>
        <v>23308</v>
      </c>
      <c r="E11" s="585">
        <v>31696</v>
      </c>
      <c r="F11" s="1751">
        <f t="shared" si="1"/>
        <v>31696</v>
      </c>
    </row>
    <row r="12" spans="1:6" ht="13.7" customHeight="1" x14ac:dyDescent="0.2">
      <c r="A12" s="715" t="s">
        <v>157</v>
      </c>
      <c r="B12" s="1748">
        <f>'Revenues 9-14'!K5</f>
        <v>0</v>
      </c>
      <c r="C12" s="585"/>
      <c r="D12" s="1751">
        <f t="shared" si="0"/>
        <v>0</v>
      </c>
      <c r="E12" s="585"/>
      <c r="F12" s="1751">
        <f t="shared" si="1"/>
        <v>0</v>
      </c>
    </row>
    <row r="13" spans="1:6" ht="13.7" customHeight="1" x14ac:dyDescent="0.2">
      <c r="A13" s="715" t="s">
        <v>936</v>
      </c>
      <c r="B13" s="1748">
        <f>SUM('Revenues 9-14'!C6:D6)</f>
        <v>0</v>
      </c>
      <c r="C13" s="585"/>
      <c r="D13" s="1751">
        <f t="shared" si="0"/>
        <v>0</v>
      </c>
      <c r="E13" s="585"/>
      <c r="F13" s="1751">
        <f t="shared" si="1"/>
        <v>0</v>
      </c>
    </row>
    <row r="14" spans="1:6" ht="13.7" customHeight="1" x14ac:dyDescent="0.2">
      <c r="A14" s="715" t="s">
        <v>410</v>
      </c>
      <c r="B14" s="1748">
        <f>SUM('Revenues 9-14'!C7:D7,'Revenues 9-14'!F7:H7)</f>
        <v>3076</v>
      </c>
      <c r="C14" s="585"/>
      <c r="D14" s="1751">
        <f t="shared" si="0"/>
        <v>3076</v>
      </c>
      <c r="E14" s="585">
        <v>3266</v>
      </c>
      <c r="F14" s="1751">
        <f t="shared" si="1"/>
        <v>3266</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39844</v>
      </c>
      <c r="C16" s="585"/>
      <c r="D16" s="1751">
        <f t="shared" si="0"/>
        <v>39844</v>
      </c>
      <c r="E16" s="585">
        <v>31103</v>
      </c>
      <c r="F16" s="1751">
        <f t="shared" si="1"/>
        <v>31103</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629620</v>
      </c>
      <c r="C19" s="1749">
        <f>SUM(C4:C18)</f>
        <v>0</v>
      </c>
      <c r="D19" s="1749">
        <f>SUM(D4:D18)</f>
        <v>629620</v>
      </c>
      <c r="E19" s="1749">
        <f>SUM(E4:E18)</f>
        <v>662913</v>
      </c>
      <c r="F19" s="1749">
        <f>SUM(F4:F18)</f>
        <v>662913</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7" colorId="8" zoomScale="110" zoomScaleNormal="110" workbookViewId="0">
      <selection activeCell="I42" sqref="I42:O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1" t="s">
        <v>1954</v>
      </c>
      <c r="D2" s="723" t="s">
        <v>1955</v>
      </c>
      <c r="E2" s="723" t="s">
        <v>1956</v>
      </c>
      <c r="F2" s="1881" t="s">
        <v>1957</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3">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6" t="s">
        <v>631</v>
      </c>
      <c r="B15" s="2187"/>
      <c r="C15" s="1753">
        <f>SUM(C6:C14)</f>
        <v>0</v>
      </c>
      <c r="D15" s="1753">
        <f>SUM(D6:D14)</f>
        <v>0</v>
      </c>
      <c r="E15" s="1753">
        <f>SUM(E6:E14)</f>
        <v>0</v>
      </c>
      <c r="F15" s="1753">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3">
        <f>SUM(C17+D17)-E17</f>
        <v>0</v>
      </c>
    </row>
    <row r="18" spans="1:11" ht="12.75" customHeight="1" thickTop="1" thickBot="1" x14ac:dyDescent="0.25">
      <c r="A18" s="2209" t="s">
        <v>6</v>
      </c>
      <c r="B18" s="2210"/>
      <c r="C18" s="726"/>
      <c r="D18" s="585"/>
      <c r="E18" s="726"/>
      <c r="F18" s="1753">
        <f>SUM(C18+D18)-E18</f>
        <v>0</v>
      </c>
    </row>
    <row r="19" spans="1:11" ht="12.75" customHeight="1" thickTop="1" thickBot="1" x14ac:dyDescent="0.25">
      <c r="A19" s="2209" t="s">
        <v>388</v>
      </c>
      <c r="B19" s="2210"/>
      <c r="C19" s="726"/>
      <c r="D19" s="585"/>
      <c r="E19" s="726"/>
      <c r="F19" s="1753">
        <f>SUM(C19+D19)-E19</f>
        <v>0</v>
      </c>
    </row>
    <row r="20" spans="1:11" ht="12.75" customHeight="1" thickTop="1" thickBot="1" x14ac:dyDescent="0.25">
      <c r="A20" s="2209" t="s">
        <v>448</v>
      </c>
      <c r="B20" s="2210"/>
      <c r="C20" s="726"/>
      <c r="D20" s="585"/>
      <c r="E20" s="726"/>
      <c r="F20" s="1753">
        <f>SUM(C20+D20)-E20</f>
        <v>0</v>
      </c>
    </row>
    <row r="21" spans="1:11" ht="14.25" thickTop="1" thickBot="1" x14ac:dyDescent="0.25">
      <c r="A21" s="2186" t="s">
        <v>632</v>
      </c>
      <c r="B21" s="2187"/>
      <c r="C21" s="1753">
        <f>SUM(C17:C20)</f>
        <v>0</v>
      </c>
      <c r="D21" s="1753">
        <f>SUM(D17:D20)</f>
        <v>0</v>
      </c>
      <c r="E21" s="1753">
        <f>SUM(E17:E20)</f>
        <v>0</v>
      </c>
      <c r="F21" s="1753">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3">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3">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3">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t="s">
        <v>2092</v>
      </c>
      <c r="B32" s="733">
        <v>40751</v>
      </c>
      <c r="C32" s="734">
        <v>322645</v>
      </c>
      <c r="D32" s="735">
        <v>3</v>
      </c>
      <c r="E32" s="734">
        <v>63117</v>
      </c>
      <c r="F32" s="734"/>
      <c r="G32" s="734"/>
      <c r="H32" s="734">
        <v>63117</v>
      </c>
      <c r="I32" s="1754">
        <f>((E32+F32)-H32)+G32</f>
        <v>0</v>
      </c>
      <c r="J32" s="734">
        <v>0</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t="s">
        <v>2093</v>
      </c>
      <c r="B34" s="733">
        <v>43172</v>
      </c>
      <c r="C34" s="734">
        <v>329000</v>
      </c>
      <c r="D34" s="735">
        <v>1</v>
      </c>
      <c r="E34" s="734">
        <v>329000</v>
      </c>
      <c r="F34" s="734"/>
      <c r="G34" s="734"/>
      <c r="H34" s="734"/>
      <c r="I34" s="1754">
        <f t="shared" si="1"/>
        <v>329000</v>
      </c>
      <c r="J34" s="734">
        <v>304502</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651645</v>
      </c>
      <c r="D49" s="745"/>
      <c r="E49" s="1754">
        <f t="shared" ref="E49:J49" si="2">SUM(E31:E48)</f>
        <v>392117</v>
      </c>
      <c r="F49" s="1754">
        <f t="shared" si="2"/>
        <v>0</v>
      </c>
      <c r="G49" s="1754">
        <f t="shared" si="2"/>
        <v>0</v>
      </c>
      <c r="H49" s="1754">
        <f t="shared" si="2"/>
        <v>63117</v>
      </c>
      <c r="I49" s="1754">
        <f t="shared" si="2"/>
        <v>329000</v>
      </c>
      <c r="J49" s="1754">
        <f t="shared" si="2"/>
        <v>304502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I42" sqref="I42:O4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1962</v>
      </c>
      <c r="B3" s="2220"/>
      <c r="C3" s="2220"/>
      <c r="D3" s="2220"/>
      <c r="E3" s="2221"/>
      <c r="F3" s="763"/>
      <c r="G3" s="764"/>
      <c r="H3" s="764">
        <v>0</v>
      </c>
      <c r="I3" s="764">
        <v>0</v>
      </c>
      <c r="J3" s="765"/>
      <c r="K3" s="765">
        <v>0</v>
      </c>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v>3076</v>
      </c>
      <c r="I5" s="772"/>
      <c r="J5" s="773"/>
      <c r="K5" s="773"/>
    </row>
    <row r="6" spans="1:11" x14ac:dyDescent="0.2">
      <c r="A6" s="774" t="s">
        <v>720</v>
      </c>
      <c r="B6" s="775"/>
      <c r="C6" s="775"/>
      <c r="D6" s="775"/>
      <c r="E6" s="776"/>
      <c r="F6" s="777" t="s">
        <v>849</v>
      </c>
      <c r="G6" s="764"/>
      <c r="H6" s="764">
        <v>9</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0" t="s">
        <v>1813</v>
      </c>
      <c r="B10" s="2213"/>
      <c r="C10" s="2213"/>
      <c r="D10" s="2213"/>
      <c r="E10" s="2242"/>
      <c r="F10" s="783" t="s">
        <v>862</v>
      </c>
      <c r="G10" s="782"/>
      <c r="H10" s="784">
        <v>34</v>
      </c>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5"/>
      <c r="G12" s="1756">
        <f>SUM(G5:G11)</f>
        <v>0</v>
      </c>
      <c r="H12" s="1756">
        <f>SUM(H5:H11)</f>
        <v>3119</v>
      </c>
      <c r="I12" s="1756">
        <f>SUM(I5:I11)</f>
        <v>0</v>
      </c>
      <c r="J12" s="1756">
        <f>SUM(J5:J11)</f>
        <v>0</v>
      </c>
      <c r="K12" s="1756">
        <f>SUM(K5:K11)</f>
        <v>0</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v>3119</v>
      </c>
      <c r="I14" s="771"/>
      <c r="J14" s="773"/>
      <c r="K14" s="765"/>
    </row>
    <row r="15" spans="1:11" x14ac:dyDescent="0.2">
      <c r="A15" s="2213" t="s">
        <v>4</v>
      </c>
      <c r="B15" s="2213"/>
      <c r="C15" s="2213"/>
      <c r="D15" s="2213"/>
      <c r="E15" s="2241"/>
      <c r="F15" s="789" t="s">
        <v>855</v>
      </c>
      <c r="G15" s="771"/>
      <c r="H15" s="764"/>
      <c r="I15" s="764"/>
      <c r="J15" s="765"/>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7"/>
      <c r="G21" s="792"/>
      <c r="H21" s="796"/>
      <c r="I21" s="796"/>
      <c r="J21" s="1758">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59"/>
      <c r="G23" s="1756">
        <f>SUM(G14:G16,G21,G22)</f>
        <v>0</v>
      </c>
      <c r="H23" s="1756">
        <f>SUM(H14:H16,H21,H22)</f>
        <v>3119</v>
      </c>
      <c r="I23" s="1756">
        <f>SUM(I14:I16,I21,I22)</f>
        <v>0</v>
      </c>
      <c r="J23" s="1756">
        <f>SUM(J14:J16,J21,J22)</f>
        <v>0</v>
      </c>
      <c r="K23" s="1756">
        <f>SUM(K14:K16,K21,K22)</f>
        <v>0</v>
      </c>
    </row>
    <row r="24" spans="1:11" ht="14.25" thickTop="1" thickBot="1" x14ac:dyDescent="0.25">
      <c r="A24" s="2234" t="s">
        <v>1963</v>
      </c>
      <c r="B24" s="2233"/>
      <c r="C24" s="2233"/>
      <c r="D24" s="2233"/>
      <c r="E24" s="2233"/>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42" sqref="I42:O4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5000</v>
      </c>
      <c r="D5" s="841"/>
      <c r="E5" s="841"/>
      <c r="F5" s="1758">
        <f>(C5+D5)-E5</f>
        <v>5000</v>
      </c>
      <c r="G5" s="837"/>
      <c r="H5" s="842"/>
      <c r="I5" s="842"/>
      <c r="J5" s="842"/>
      <c r="K5" s="793"/>
      <c r="L5" s="1767">
        <f>F5-K5</f>
        <v>5000</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4649481</v>
      </c>
      <c r="D8" s="844">
        <v>16843</v>
      </c>
      <c r="E8" s="844"/>
      <c r="F8" s="1758">
        <f>(C8+D8)-E8</f>
        <v>4666324</v>
      </c>
      <c r="G8" s="843">
        <v>50</v>
      </c>
      <c r="H8" s="765">
        <v>2022163</v>
      </c>
      <c r="I8" s="765">
        <v>95255</v>
      </c>
      <c r="J8" s="765"/>
      <c r="K8" s="1767">
        <f>(H8+I8)-J8</f>
        <v>2117418</v>
      </c>
      <c r="L8" s="1767">
        <f>F8-K8</f>
        <v>2548906</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134030</v>
      </c>
      <c r="D10" s="846">
        <v>13180</v>
      </c>
      <c r="E10" s="846"/>
      <c r="F10" s="1762">
        <f>(C10+D10)-E10</f>
        <v>147210</v>
      </c>
      <c r="G10" s="843">
        <v>20</v>
      </c>
      <c r="H10" s="847">
        <v>96129</v>
      </c>
      <c r="I10" s="847">
        <v>5177</v>
      </c>
      <c r="J10" s="847"/>
      <c r="K10" s="1767">
        <f>(H10+I10)-J10</f>
        <v>101306</v>
      </c>
      <c r="L10" s="1767">
        <f>F10-K10</f>
        <v>45904</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803981</v>
      </c>
      <c r="D12" s="844">
        <v>70638</v>
      </c>
      <c r="E12" s="844">
        <v>60161</v>
      </c>
      <c r="F12" s="1758">
        <f>(C12+D12)-E12</f>
        <v>814458</v>
      </c>
      <c r="G12" s="843">
        <v>10</v>
      </c>
      <c r="H12" s="765">
        <v>699506</v>
      </c>
      <c r="I12" s="765">
        <v>28538</v>
      </c>
      <c r="J12" s="765">
        <v>48576</v>
      </c>
      <c r="K12" s="1767">
        <f>(H12+I12)-J12</f>
        <v>679468</v>
      </c>
      <c r="L12" s="1767">
        <f>F12-K12</f>
        <v>134990</v>
      </c>
    </row>
    <row r="13" spans="1:14" ht="14.25" thickTop="1" thickBot="1" x14ac:dyDescent="0.25">
      <c r="A13" s="848" t="s">
        <v>1122</v>
      </c>
      <c r="B13" s="840">
        <v>252</v>
      </c>
      <c r="C13" s="844"/>
      <c r="D13" s="844"/>
      <c r="E13" s="844"/>
      <c r="F13" s="1758">
        <f>(C13+D13)-E13</f>
        <v>0</v>
      </c>
      <c r="G13" s="843">
        <v>5</v>
      </c>
      <c r="H13" s="765"/>
      <c r="I13" s="765"/>
      <c r="J13" s="765"/>
      <c r="K13" s="1767">
        <f>(H13+I13)-J13</f>
        <v>0</v>
      </c>
      <c r="L13" s="1767">
        <f>F13-K13</f>
        <v>0</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5592492</v>
      </c>
      <c r="D16" s="1758">
        <f>SUM(D3,D5:D6,D8:D10,D12:D15)</f>
        <v>100661</v>
      </c>
      <c r="E16" s="1758">
        <f>SUM(E3,E5:E6,E8:E10,E12:E15)</f>
        <v>60161</v>
      </c>
      <c r="F16" s="1758">
        <f>SUM(F3,F5:F6,F8:F10,F12:F15)</f>
        <v>5632992</v>
      </c>
      <c r="G16" s="843"/>
      <c r="H16" s="1758">
        <f>SUM(H3,H6,H8:H10,H12:H14,)</f>
        <v>2817798</v>
      </c>
      <c r="I16" s="1758">
        <f>SUM(I3,I6,I8:I10,I12:I14,)</f>
        <v>128970</v>
      </c>
      <c r="J16" s="1758">
        <f>SUM(J3,J6,J8:J10,J12:J14,)</f>
        <v>48576</v>
      </c>
      <c r="K16" s="1758">
        <f>(H16+I16)-J16</f>
        <v>2898192</v>
      </c>
      <c r="L16" s="1758">
        <f>F16-K16</f>
        <v>2734800</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128970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I42" sqref="I42:O42"/>
      <selection pane="bottomLeft" activeCell="I42" sqref="I42:O4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1973</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2649598</v>
      </c>
      <c r="G8" s="865"/>
    </row>
    <row r="9" spans="1:7" x14ac:dyDescent="0.2">
      <c r="A9" s="869" t="s">
        <v>460</v>
      </c>
      <c r="B9" s="870" t="s">
        <v>1876</v>
      </c>
      <c r="C9" s="871"/>
      <c r="D9" s="869" t="s">
        <v>501</v>
      </c>
      <c r="E9" s="868"/>
      <c r="F9" s="1906">
        <f>'Expenditures 15-22'!K151</f>
        <v>185358</v>
      </c>
      <c r="G9" s="872"/>
    </row>
    <row r="10" spans="1:7" x14ac:dyDescent="0.2">
      <c r="A10" s="869" t="s">
        <v>499</v>
      </c>
      <c r="B10" s="870" t="s">
        <v>1877</v>
      </c>
      <c r="C10" s="871"/>
      <c r="D10" s="869" t="s">
        <v>501</v>
      </c>
      <c r="E10" s="868"/>
      <c r="F10" s="1906">
        <f>'Expenditures 15-22'!K174</f>
        <v>64714</v>
      </c>
      <c r="G10" s="872"/>
    </row>
    <row r="11" spans="1:7" x14ac:dyDescent="0.2">
      <c r="A11" s="869" t="s">
        <v>461</v>
      </c>
      <c r="B11" s="870" t="s">
        <v>1878</v>
      </c>
      <c r="C11" s="871"/>
      <c r="D11" s="869" t="s">
        <v>501</v>
      </c>
      <c r="E11" s="868"/>
      <c r="F11" s="1906">
        <f>'Expenditures 15-22'!K210</f>
        <v>245470</v>
      </c>
      <c r="G11" s="872"/>
    </row>
    <row r="12" spans="1:7" x14ac:dyDescent="0.2">
      <c r="A12" s="869" t="s">
        <v>462</v>
      </c>
      <c r="B12" s="870" t="s">
        <v>1879</v>
      </c>
      <c r="C12" s="871"/>
      <c r="D12" s="869" t="s">
        <v>501</v>
      </c>
      <c r="E12" s="868"/>
      <c r="F12" s="1906">
        <f>'Expenditures 15-22'!K295</f>
        <v>72848</v>
      </c>
      <c r="G12" s="872"/>
    </row>
    <row r="13" spans="1:7" x14ac:dyDescent="0.2">
      <c r="A13" s="869" t="s">
        <v>106</v>
      </c>
      <c r="B13" s="870" t="s">
        <v>1880</v>
      </c>
      <c r="C13" s="871"/>
      <c r="D13" s="869" t="s">
        <v>501</v>
      </c>
      <c r="E13" s="868"/>
      <c r="F13" s="1906">
        <f>'Expenditures 15-22'!K342</f>
        <v>41631</v>
      </c>
      <c r="G13" s="873"/>
    </row>
    <row r="14" spans="1:7" ht="12" customHeight="1" thickBot="1" x14ac:dyDescent="0.25">
      <c r="A14" s="1768"/>
      <c r="B14" s="1769"/>
      <c r="C14" s="1770"/>
      <c r="D14" s="1771" t="s">
        <v>501</v>
      </c>
      <c r="E14" s="1772" t="s">
        <v>958</v>
      </c>
      <c r="F14" s="1773">
        <f>SUM(F8:F13)</f>
        <v>3259619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14325</v>
      </c>
      <c r="G52" s="865"/>
    </row>
    <row r="53" spans="1:7" x14ac:dyDescent="0.2">
      <c r="A53" s="869" t="s">
        <v>459</v>
      </c>
      <c r="B53" s="869" t="s">
        <v>1475</v>
      </c>
      <c r="C53" s="889">
        <f>'Expenditures 15-22'!B102</f>
        <v>4000</v>
      </c>
      <c r="D53" s="888" t="str">
        <f>'Expenditures 15-22'!A102</f>
        <v>Total Payments to Other Govt Units</v>
      </c>
      <c r="E53" s="868"/>
      <c r="F53" s="1910">
        <f>'Expenditures 15-22'!K102</f>
        <v>206946</v>
      </c>
      <c r="G53" s="865"/>
    </row>
    <row r="54" spans="1:7" x14ac:dyDescent="0.2">
      <c r="A54" s="869" t="s">
        <v>459</v>
      </c>
      <c r="B54" s="869" t="s">
        <v>1476</v>
      </c>
      <c r="C54" s="889" t="s">
        <v>982</v>
      </c>
      <c r="D54" s="885" t="s">
        <v>1095</v>
      </c>
      <c r="E54" s="868"/>
      <c r="F54" s="1910">
        <f>'Expenditures 15-22'!G114</f>
        <v>32954</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67707</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63117</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0</v>
      </c>
      <c r="G64" s="865"/>
    </row>
    <row r="65" spans="1:8" x14ac:dyDescent="0.2">
      <c r="A65" s="869" t="s">
        <v>461</v>
      </c>
      <c r="B65" s="869" t="s">
        <v>1889</v>
      </c>
      <c r="C65" s="886" t="s">
        <v>982</v>
      </c>
      <c r="D65" s="885" t="s">
        <v>1095</v>
      </c>
      <c r="E65" s="868"/>
      <c r="F65" s="1910">
        <f>'Expenditures 15-22'!G210</f>
        <v>0</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385049</v>
      </c>
      <c r="G76" s="865"/>
    </row>
    <row r="77" spans="1:8" s="893" customFormat="1" ht="12" customHeight="1" thickTop="1" thickBot="1" x14ac:dyDescent="0.25">
      <c r="A77" s="1777"/>
      <c r="B77" s="1774"/>
      <c r="C77" s="1770"/>
      <c r="D77" s="1775" t="s">
        <v>1899</v>
      </c>
      <c r="E77" s="1772"/>
      <c r="F77" s="1778">
        <f>(F14-F76)</f>
        <v>2874570</v>
      </c>
      <c r="G77" s="869"/>
    </row>
    <row r="78" spans="1:8" s="893" customFormat="1" ht="12" customHeight="1" thickTop="1" x14ac:dyDescent="0.2">
      <c r="A78" s="1779"/>
      <c r="B78" s="1774"/>
      <c r="C78" s="1770"/>
      <c r="D78" s="1775" t="s">
        <v>2060</v>
      </c>
      <c r="E78" s="1772"/>
      <c r="F78" s="898">
        <v>362</v>
      </c>
      <c r="G78" s="899"/>
      <c r="H78" s="869"/>
    </row>
    <row r="79" spans="1:8" s="893" customFormat="1" ht="12" customHeight="1" thickBot="1" x14ac:dyDescent="0.25">
      <c r="A79" s="1780"/>
      <c r="B79" s="1774"/>
      <c r="C79" s="1770"/>
      <c r="D79" s="1775" t="s">
        <v>1900</v>
      </c>
      <c r="E79" s="1772" t="s">
        <v>958</v>
      </c>
      <c r="F79" s="1781">
        <f>IF(F78&gt;0,F77/F78," Complete Line 78")</f>
        <v>7940.8011049723755</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51141</v>
      </c>
      <c r="G94" s="912"/>
    </row>
    <row r="95" spans="1:7" x14ac:dyDescent="0.2">
      <c r="A95" s="908" t="s">
        <v>140</v>
      </c>
      <c r="B95" s="908" t="s">
        <v>175</v>
      </c>
      <c r="C95" s="910">
        <v>1700</v>
      </c>
      <c r="D95" s="918" t="str">
        <f>'Revenues 9-14'!A82</f>
        <v>Total District/School Activity Income</v>
      </c>
      <c r="E95" s="906"/>
      <c r="F95" s="1787">
        <f>SUM('Revenues 9-14'!C82,'Revenues 9-14'!D82)</f>
        <v>8603</v>
      </c>
      <c r="G95" s="912"/>
    </row>
    <row r="96" spans="1:7" x14ac:dyDescent="0.2">
      <c r="A96" s="908" t="s">
        <v>459</v>
      </c>
      <c r="B96" s="908" t="s">
        <v>176</v>
      </c>
      <c r="C96" s="910">
        <f>'Revenues 9-14'!B84</f>
        <v>1811</v>
      </c>
      <c r="D96" s="911" t="str">
        <f>'Revenues 9-14'!A84</f>
        <v>Rentals - Regular Textbooks</v>
      </c>
      <c r="E96" s="906"/>
      <c r="F96" s="1787">
        <f>'Revenues 9-14'!C84</f>
        <v>2395</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901</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70589</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2013</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158192</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12982</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40958</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124567</v>
      </c>
      <c r="G125" s="930"/>
    </row>
    <row r="126" spans="1:7" x14ac:dyDescent="0.2">
      <c r="A126" s="927" t="s">
        <v>668</v>
      </c>
      <c r="B126" s="927" t="s">
        <v>2022</v>
      </c>
      <c r="C126" s="932">
        <v>4300</v>
      </c>
      <c r="D126" s="933" t="str">
        <f>'Revenues 9-14'!A204</f>
        <v>Total Title I</v>
      </c>
      <c r="E126" s="906"/>
      <c r="F126" s="1787">
        <f>SUM('Revenues 9-14'!C204,'Revenues 9-14'!D204,'Revenues 9-14'!F204,'Revenues 9-14'!G204)</f>
        <v>63194</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10614</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21082</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1697</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5831</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87965</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662724</v>
      </c>
    </row>
    <row r="175" spans="1:7" ht="12" customHeight="1" x14ac:dyDescent="0.2">
      <c r="A175" s="1768"/>
      <c r="B175" s="1782"/>
      <c r="C175" s="1783"/>
      <c r="D175" s="1784" t="s">
        <v>2055</v>
      </c>
      <c r="E175" s="1785"/>
      <c r="F175" s="1787">
        <f>'PCTC-OEPP 27-28'!F77-F174</f>
        <v>2211846</v>
      </c>
    </row>
    <row r="176" spans="1:7" ht="12" customHeight="1" x14ac:dyDescent="0.2">
      <c r="A176" s="1768"/>
      <c r="B176" s="1782"/>
      <c r="C176" s="1783"/>
      <c r="D176" s="1784" t="s">
        <v>1817</v>
      </c>
      <c r="E176" s="1785"/>
      <c r="F176" s="1787">
        <f>'Cap Outlay Deprec 26'!I18</f>
        <v>128970</v>
      </c>
    </row>
    <row r="177" spans="1:7" ht="12" customHeight="1" x14ac:dyDescent="0.2">
      <c r="A177" s="1768"/>
      <c r="B177" s="1782"/>
      <c r="C177" s="1783"/>
      <c r="D177" s="1784" t="s">
        <v>2056</v>
      </c>
      <c r="E177" s="1785"/>
      <c r="F177" s="1787">
        <f>F175+F176</f>
        <v>2340816</v>
      </c>
    </row>
    <row r="178" spans="1:7" ht="12" customHeight="1" x14ac:dyDescent="0.2">
      <c r="A178" s="1768"/>
      <c r="B178" s="1788"/>
      <c r="C178" s="1783"/>
      <c r="D178" s="1784" t="str">
        <f>D78</f>
        <v>9 Month ADA from District Average Daily Attendance/Prior General State Aid Inquiry 2018-2019</v>
      </c>
      <c r="E178" s="1785"/>
      <c r="F178" s="1789">
        <f>'PCTC-OEPP 27-28'!F78</f>
        <v>362</v>
      </c>
      <c r="G178" s="930"/>
    </row>
    <row r="179" spans="1:7" ht="12" customHeight="1" thickBot="1" x14ac:dyDescent="0.25">
      <c r="A179" s="1768"/>
      <c r="B179" s="1788"/>
      <c r="C179" s="1783"/>
      <c r="D179" s="1784" t="s">
        <v>2057</v>
      </c>
      <c r="E179" s="1785" t="s">
        <v>1545</v>
      </c>
      <c r="F179" s="1790">
        <f>F177/F178</f>
        <v>6466.3425414364638</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topLeftCell="A19" zoomScaleNormal="100" workbookViewId="0">
      <selection activeCell="I42" sqref="I42:O4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932" t="s">
        <v>2064</v>
      </c>
      <c r="B6" s="1933"/>
      <c r="C6" s="1933"/>
      <c r="D6" s="1933"/>
      <c r="E6" s="1933"/>
      <c r="F6" s="1933"/>
      <c r="G6" s="1934"/>
    </row>
    <row r="7" spans="1:7" ht="18.75" x14ac:dyDescent="0.25">
      <c r="A7" s="1534" t="s">
        <v>1819</v>
      </c>
      <c r="B7" s="1535"/>
      <c r="C7" s="1535"/>
      <c r="D7" s="1535"/>
      <c r="E7" s="1535"/>
      <c r="F7" s="1535"/>
      <c r="G7" s="1536"/>
    </row>
    <row r="8" spans="1:7" ht="30.75" customHeight="1" x14ac:dyDescent="0.25">
      <c r="A8" s="2275" t="s">
        <v>1931</v>
      </c>
      <c r="B8" s="2276"/>
      <c r="C8" s="2276"/>
      <c r="D8" s="2276"/>
      <c r="E8" s="2276"/>
      <c r="F8" s="2276"/>
      <c r="G8" s="2277"/>
    </row>
    <row r="9" spans="1:7" ht="15.75" customHeight="1" x14ac:dyDescent="0.25">
      <c r="A9" s="2278" t="s">
        <v>1906</v>
      </c>
      <c r="B9" s="2279"/>
      <c r="C9" s="2279"/>
      <c r="D9" s="2279"/>
      <c r="E9" s="2279"/>
      <c r="F9" s="2279"/>
      <c r="G9" s="2280"/>
    </row>
    <row r="10" spans="1:7" ht="35.25" customHeight="1" x14ac:dyDescent="0.25">
      <c r="A10" s="2275" t="s">
        <v>2063</v>
      </c>
      <c r="B10" s="2276"/>
      <c r="C10" s="2276"/>
      <c r="D10" s="2276"/>
      <c r="E10" s="2276"/>
      <c r="F10" s="2276"/>
      <c r="G10" s="2277"/>
    </row>
    <row r="11" spans="1:7" ht="15" customHeight="1" x14ac:dyDescent="0.25">
      <c r="A11" s="1537" t="s">
        <v>1820</v>
      </c>
      <c r="B11" s="1538"/>
      <c r="C11" s="1538"/>
      <c r="D11" s="1538"/>
      <c r="E11" s="1538"/>
      <c r="F11" s="1538"/>
      <c r="G11" s="1539"/>
    </row>
    <row r="12" spans="1:7" ht="17.25" customHeight="1" x14ac:dyDescent="0.25">
      <c r="A12" s="2275" t="s">
        <v>1933</v>
      </c>
      <c r="B12" s="2276"/>
      <c r="C12" s="2276"/>
      <c r="D12" s="2276"/>
      <c r="E12" s="2276"/>
      <c r="F12" s="2276"/>
      <c r="G12" s="2277"/>
    </row>
    <row r="13" spans="1:7" ht="15" customHeight="1" x14ac:dyDescent="0.25">
      <c r="A13" s="1537" t="s">
        <v>1825</v>
      </c>
      <c r="B13" s="1538"/>
      <c r="C13" s="1538"/>
      <c r="D13" s="1538"/>
      <c r="E13" s="1538"/>
      <c r="F13" s="1538"/>
      <c r="G13" s="1539"/>
    </row>
    <row r="14" spans="1:7" ht="32.25" customHeight="1" x14ac:dyDescent="0.25">
      <c r="A14" s="2266" t="s">
        <v>1974</v>
      </c>
      <c r="B14" s="2267"/>
      <c r="C14" s="2267"/>
      <c r="D14" s="2267"/>
      <c r="E14" s="2267"/>
      <c r="F14" s="2267"/>
      <c r="G14" s="2268"/>
    </row>
    <row r="15" spans="1:7" x14ac:dyDescent="0.25">
      <c r="A15" s="1659" t="s">
        <v>1833</v>
      </c>
      <c r="B15" s="1660"/>
      <c r="C15" s="1660"/>
      <c r="D15" s="1660"/>
      <c r="E15" s="1660"/>
      <c r="F15" s="1660"/>
      <c r="G15" s="1661"/>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6" t="s">
        <v>2094</v>
      </c>
      <c r="B18" s="1937" t="s">
        <v>2096</v>
      </c>
      <c r="C18" s="1938" t="s">
        <v>2095</v>
      </c>
      <c r="D18" s="1841">
        <v>4277</v>
      </c>
      <c r="E18" s="1540">
        <f t="shared" ref="E18:E37" si="0">IF(D18&lt;=25000,D18,IF(D18&gt;25000,25000,0))</f>
        <v>4277</v>
      </c>
      <c r="F18" s="1931">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4277</v>
      </c>
      <c r="G18" s="1791">
        <f>IF(F18=0,0,D18-F18)</f>
        <v>0</v>
      </c>
      <c r="H18" s="1647"/>
    </row>
    <row r="19" spans="1:8" x14ac:dyDescent="0.25">
      <c r="A19" s="1936" t="s">
        <v>2094</v>
      </c>
      <c r="B19" s="1937" t="s">
        <v>2096</v>
      </c>
      <c r="C19" s="1938" t="s">
        <v>2097</v>
      </c>
      <c r="D19" s="1841">
        <v>35148</v>
      </c>
      <c r="E19" s="1540">
        <f t="shared" ref="E19:E36" si="2">IF(D19&lt;=25000,D19,IF(D19&gt;25000,25000,0))</f>
        <v>25000</v>
      </c>
      <c r="F19" s="1931">
        <f t="shared" si="1"/>
        <v>25000</v>
      </c>
      <c r="G19" s="1791">
        <f t="shared" ref="G19:G36" si="3">IF(F19=0,0,D19-F19)</f>
        <v>10148</v>
      </c>
    </row>
    <row r="20" spans="1:8" x14ac:dyDescent="0.25">
      <c r="A20" s="1936" t="s">
        <v>2098</v>
      </c>
      <c r="B20" s="1939" t="s">
        <v>2099</v>
      </c>
      <c r="C20" s="1938" t="s">
        <v>2100</v>
      </c>
      <c r="D20" s="1841">
        <v>234647</v>
      </c>
      <c r="E20" s="1540">
        <f t="shared" si="2"/>
        <v>25000</v>
      </c>
      <c r="F20" s="1931">
        <f t="shared" si="1"/>
        <v>25000</v>
      </c>
      <c r="G20" s="1791">
        <f t="shared" si="3"/>
        <v>209647</v>
      </c>
    </row>
    <row r="21" spans="1:8" x14ac:dyDescent="0.25">
      <c r="A21" s="1653"/>
      <c r="B21" s="1665"/>
      <c r="C21" s="1654"/>
      <c r="D21" s="1841"/>
      <c r="E21" s="1540">
        <f t="shared" si="2"/>
        <v>0</v>
      </c>
      <c r="F21" s="1931">
        <f t="shared" si="1"/>
        <v>0</v>
      </c>
      <c r="G21" s="1791">
        <f t="shared" si="3"/>
        <v>0</v>
      </c>
    </row>
    <row r="22" spans="1:8" x14ac:dyDescent="0.25">
      <c r="A22" s="1653"/>
      <c r="B22" s="1665"/>
      <c r="C22" s="1654"/>
      <c r="D22" s="1841"/>
      <c r="E22" s="1540">
        <f t="shared" si="2"/>
        <v>0</v>
      </c>
      <c r="F22" s="1931">
        <f t="shared" si="1"/>
        <v>0</v>
      </c>
      <c r="G22" s="1791">
        <f t="shared" si="3"/>
        <v>0</v>
      </c>
    </row>
    <row r="23" spans="1:8" x14ac:dyDescent="0.25">
      <c r="A23" s="1653"/>
      <c r="B23" s="1665"/>
      <c r="C23" s="1654"/>
      <c r="D23" s="1841"/>
      <c r="E23" s="1540">
        <f t="shared" si="2"/>
        <v>0</v>
      </c>
      <c r="F23" s="1931">
        <f t="shared" si="1"/>
        <v>0</v>
      </c>
      <c r="G23" s="1791">
        <f t="shared" si="3"/>
        <v>0</v>
      </c>
    </row>
    <row r="24" spans="1:8" x14ac:dyDescent="0.25">
      <c r="A24" s="1653"/>
      <c r="B24" s="1665"/>
      <c r="C24" s="1654"/>
      <c r="D24" s="1841"/>
      <c r="E24" s="1540">
        <f t="shared" si="2"/>
        <v>0</v>
      </c>
      <c r="F24" s="1931">
        <f t="shared" si="1"/>
        <v>0</v>
      </c>
      <c r="G24" s="1791">
        <f t="shared" si="3"/>
        <v>0</v>
      </c>
    </row>
    <row r="25" spans="1:8" x14ac:dyDescent="0.25">
      <c r="A25" s="1653"/>
      <c r="B25" s="1665"/>
      <c r="C25" s="1654"/>
      <c r="D25" s="1841"/>
      <c r="E25" s="1540">
        <f t="shared" si="2"/>
        <v>0</v>
      </c>
      <c r="F25" s="1931">
        <f t="shared" si="1"/>
        <v>0</v>
      </c>
      <c r="G25" s="1791">
        <f t="shared" si="3"/>
        <v>0</v>
      </c>
    </row>
    <row r="26" spans="1:8" x14ac:dyDescent="0.25">
      <c r="A26" s="1653"/>
      <c r="B26" s="1665"/>
      <c r="C26" s="1654"/>
      <c r="D26" s="1841"/>
      <c r="E26" s="1540">
        <f t="shared" si="2"/>
        <v>0</v>
      </c>
      <c r="F26" s="1931">
        <f t="shared" si="1"/>
        <v>0</v>
      </c>
      <c r="G26" s="1791">
        <f t="shared" si="3"/>
        <v>0</v>
      </c>
    </row>
    <row r="27" spans="1:8" x14ac:dyDescent="0.25">
      <c r="A27" s="1653"/>
      <c r="B27" s="1665"/>
      <c r="C27" s="1654"/>
      <c r="D27" s="1841"/>
      <c r="E27" s="1540">
        <f t="shared" ref="E27" si="4">IF(D27&lt;=25000,D27,IF(D27&gt;25000,25000,0))</f>
        <v>0</v>
      </c>
      <c r="F27" s="1931">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1">
        <f t="shared" ref="G27" si="6">IF(F27=0,0,D27-F27)</f>
        <v>0</v>
      </c>
    </row>
    <row r="28" spans="1:8" x14ac:dyDescent="0.25">
      <c r="A28" s="1653"/>
      <c r="B28" s="1665"/>
      <c r="C28" s="1654"/>
      <c r="D28" s="1841"/>
      <c r="E28" s="1540">
        <f t="shared" si="2"/>
        <v>0</v>
      </c>
      <c r="F28" s="1931">
        <f t="shared" si="5"/>
        <v>0</v>
      </c>
      <c r="G28" s="1791">
        <f t="shared" si="3"/>
        <v>0</v>
      </c>
    </row>
    <row r="29" spans="1:8" x14ac:dyDescent="0.25">
      <c r="A29" s="1653"/>
      <c r="B29" s="1665"/>
      <c r="C29" s="1654"/>
      <c r="D29" s="1841"/>
      <c r="E29" s="1540">
        <f t="shared" si="2"/>
        <v>0</v>
      </c>
      <c r="F29" s="1931">
        <f t="shared" si="5"/>
        <v>0</v>
      </c>
      <c r="G29" s="1791">
        <f t="shared" si="3"/>
        <v>0</v>
      </c>
    </row>
    <row r="30" spans="1:8" x14ac:dyDescent="0.25">
      <c r="A30" s="1653"/>
      <c r="B30" s="1665"/>
      <c r="C30" s="1654"/>
      <c r="D30" s="1841"/>
      <c r="E30" s="1540">
        <f t="shared" si="2"/>
        <v>0</v>
      </c>
      <c r="F30" s="1931">
        <f t="shared" si="5"/>
        <v>0</v>
      </c>
      <c r="G30" s="1791">
        <f t="shared" si="3"/>
        <v>0</v>
      </c>
    </row>
    <row r="31" spans="1:8" x14ac:dyDescent="0.25">
      <c r="A31" s="1653"/>
      <c r="B31" s="1665"/>
      <c r="C31" s="1654"/>
      <c r="D31" s="1841"/>
      <c r="E31" s="1540">
        <f t="shared" si="2"/>
        <v>0</v>
      </c>
      <c r="F31" s="1931">
        <f t="shared" si="5"/>
        <v>0</v>
      </c>
      <c r="G31" s="1791">
        <f t="shared" si="3"/>
        <v>0</v>
      </c>
    </row>
    <row r="32" spans="1:8" x14ac:dyDescent="0.25">
      <c r="A32" s="1653"/>
      <c r="B32" s="1665"/>
      <c r="C32" s="1654"/>
      <c r="D32" s="1841"/>
      <c r="E32" s="1540"/>
      <c r="F32" s="1931"/>
      <c r="G32" s="1791"/>
    </row>
    <row r="33" spans="1:7" x14ac:dyDescent="0.25">
      <c r="A33" s="1653"/>
      <c r="B33" s="1665"/>
      <c r="C33" s="1654"/>
      <c r="D33" s="1841"/>
      <c r="E33" s="1540">
        <f t="shared" si="2"/>
        <v>0</v>
      </c>
      <c r="F33" s="1931">
        <f t="shared" si="5"/>
        <v>0</v>
      </c>
      <c r="G33" s="1791">
        <f t="shared" si="3"/>
        <v>0</v>
      </c>
    </row>
    <row r="34" spans="1:7" x14ac:dyDescent="0.25">
      <c r="A34" s="1653"/>
      <c r="B34" s="1665"/>
      <c r="C34" s="1654"/>
      <c r="D34" s="1841"/>
      <c r="E34" s="1540">
        <f t="shared" si="2"/>
        <v>0</v>
      </c>
      <c r="F34" s="1931">
        <f t="shared" si="5"/>
        <v>0</v>
      </c>
      <c r="G34" s="1791">
        <f t="shared" si="3"/>
        <v>0</v>
      </c>
    </row>
    <row r="35" spans="1:7" x14ac:dyDescent="0.25">
      <c r="A35" s="1653"/>
      <c r="B35" s="1665"/>
      <c r="C35" s="1654"/>
      <c r="D35" s="1841"/>
      <c r="E35" s="1540">
        <f t="shared" ref="E35" si="7">IF(D35&lt;=25000,D35,IF(D35&gt;25000,25000,0))</f>
        <v>0</v>
      </c>
      <c r="F35" s="1931">
        <f t="shared" si="5"/>
        <v>0</v>
      </c>
      <c r="G35" s="1791">
        <f t="shared" ref="G35" si="8">IF(F35=0,0,D35-F35)</f>
        <v>0</v>
      </c>
    </row>
    <row r="36" spans="1:7" x14ac:dyDescent="0.25">
      <c r="A36" s="1653"/>
      <c r="B36" s="1664"/>
      <c r="C36" s="1654"/>
      <c r="D36" s="1841"/>
      <c r="E36" s="1540">
        <f t="shared" si="2"/>
        <v>0</v>
      </c>
      <c r="F36" s="1931">
        <f t="shared" si="5"/>
        <v>0</v>
      </c>
      <c r="G36" s="1791">
        <f t="shared" si="3"/>
        <v>0</v>
      </c>
    </row>
    <row r="37" spans="1:7" x14ac:dyDescent="0.25">
      <c r="A37" s="1794" t="s">
        <v>156</v>
      </c>
      <c r="B37" s="1795"/>
      <c r="C37" s="1796"/>
      <c r="D37" s="1792">
        <f>SUM(D18:D36)</f>
        <v>274072</v>
      </c>
      <c r="E37" s="1541">
        <f t="shared" si="0"/>
        <v>25000</v>
      </c>
      <c r="F37" s="1929">
        <f>SUM(F18:F36)</f>
        <v>54277</v>
      </c>
      <c r="G37" s="1793">
        <f>SUM(G18:G36)</f>
        <v>219795</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I42" sqref="I42:O4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123532</v>
      </c>
      <c r="F10" s="974"/>
      <c r="G10" s="975"/>
      <c r="H10" s="162"/>
      <c r="I10" s="162"/>
    </row>
    <row r="11" spans="1:9" s="668" customFormat="1" ht="22.5" customHeight="1" x14ac:dyDescent="0.2">
      <c r="A11" s="2286" t="s">
        <v>1975</v>
      </c>
      <c r="B11" s="2287"/>
      <c r="C11" s="2287"/>
      <c r="D11" s="2288"/>
      <c r="E11" s="977">
        <v>11884</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1819192</v>
      </c>
      <c r="F19" s="1797"/>
      <c r="G19" s="1799">
        <f>'Expenditures 15-22'!K33-SUM('Expenditures 15-22'!G33,'Expenditures 15-22'!I33)+'Expenditures 15-22'!D229</f>
        <v>1819192</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28953</v>
      </c>
      <c r="F21" s="1800"/>
      <c r="G21" s="1803">
        <f>'Expenditures 15-22'!K42-SUM('Expenditures 15-22'!G42,'Expenditures 15-22'!I42)+'Expenditures 15-22'!K120-SUM('Expenditures 15-22'!G120,'Expenditures 15-22'!I120)+'Expenditures 15-22'!K180-SUM('Expenditures 15-22'!G180,'Expenditures 15-22'!I180)+'Expenditures 15-22'!D238</f>
        <v>28953</v>
      </c>
      <c r="H21" s="987"/>
      <c r="I21" s="162"/>
    </row>
    <row r="22" spans="1:9" s="668" customFormat="1" ht="12" customHeight="1" x14ac:dyDescent="0.2">
      <c r="A22" s="994" t="s">
        <v>564</v>
      </c>
      <c r="B22" s="995"/>
      <c r="C22" s="993">
        <v>2200</v>
      </c>
      <c r="D22" s="1800"/>
      <c r="E22" s="1802">
        <f>'Expenditures 15-22'!K47-SUM('Expenditures 15-22'!G47,'Expenditures 15-22'!I47)+'Expenditures 15-22'!D243</f>
        <v>32680</v>
      </c>
      <c r="F22" s="1800"/>
      <c r="G22" s="1803">
        <f>'Expenditures 15-22'!K47-SUM('Expenditures 15-22'!G47,'Expenditures 15-22'!I47)+'Expenditures 15-22'!D243</f>
        <v>32680</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192602</v>
      </c>
      <c r="F23" s="1800"/>
      <c r="G23" s="1802">
        <f>'Expenditures 15-22'!K53-SUM('Expenditures 15-22'!G53,'Expenditures 15-22'!I53)+'Expenditures 15-22'!D257+'Expenditures 15-22'!K330-SUM('Expenditures 15-22'!G330,'Expenditures 15-22'!I330)</f>
        <v>192602</v>
      </c>
      <c r="H23" s="987"/>
      <c r="I23" s="162"/>
    </row>
    <row r="24" spans="1:9" s="668" customFormat="1" ht="12" customHeight="1" x14ac:dyDescent="0.2">
      <c r="A24" s="994" t="s">
        <v>566</v>
      </c>
      <c r="B24" s="995"/>
      <c r="C24" s="993">
        <v>2400</v>
      </c>
      <c r="D24" s="1800"/>
      <c r="E24" s="1802">
        <f>'Expenditures 15-22'!K57-SUM('Expenditures 15-22'!G57,'Expenditures 15-22'!I57)+'Expenditures 15-22'!D261</f>
        <v>116743</v>
      </c>
      <c r="F24" s="1800"/>
      <c r="G24" s="1803">
        <f>'Expenditures 15-22'!K57-SUM('Expenditures 15-22'!G57,'Expenditures 15-22'!I57)+'Expenditures 15-22'!D261</f>
        <v>116743</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56743</v>
      </c>
      <c r="E27" s="1802">
        <f>E8</f>
        <v>0</v>
      </c>
      <c r="F27" s="1802">
        <f>'Expenditures 15-22'!K60-SUM('Expenditures 15-22'!G60,'Expenditures 15-22'!I60)+'Expenditures 15-22'!D264-E8</f>
        <v>56743</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205562</v>
      </c>
      <c r="F28" s="1804">
        <f>'Expenditures 15-22'!K61-SUM('Expenditures 15-22'!G61,'Expenditures 15-22'!I61)+'Expenditures 15-22'!K124-SUM('Expenditures 15-22'!G124,'Expenditures 15-22'!I124)+'Expenditures 15-22'!D266-E9</f>
        <v>205562</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245943</v>
      </c>
      <c r="F29" s="1800"/>
      <c r="G29" s="1803">
        <f>'Expenditures 15-22'!K62-SUM('Expenditures 15-22'!G62,'Expenditures 15-22'!I62)+'Expenditures 15-22'!K125-SUM('Expenditures 15-22'!G125,'Expenditures 15-22'!I125)+'Expenditures 15-22'!K182-SUM('Expenditures 15-22'!G182,'Expenditures 15-22'!I182)+'Expenditures 15-22'!D267</f>
        <v>245943</v>
      </c>
      <c r="H29" s="985"/>
    </row>
    <row r="30" spans="1:9" ht="12" customHeight="1" x14ac:dyDescent="0.2">
      <c r="A30" s="994" t="s">
        <v>100</v>
      </c>
      <c r="B30" s="997"/>
      <c r="C30" s="993">
        <v>2560</v>
      </c>
      <c r="D30" s="1800"/>
      <c r="E30" s="1802">
        <f>'Expenditures 15-22'!K63-SUM('Expenditures 15-22'!G63,'Expenditures 15-22'!I63)+'Expenditures 15-22'!D268-E10</f>
        <v>51023</v>
      </c>
      <c r="F30" s="1800"/>
      <c r="G30" s="1802">
        <f>'Expenditures 15-22'!K63-SUM('Expenditures 15-22'!G63,'Expenditures 15-22'!I63)+'Expenditures 15-22'!D268-E10</f>
        <v>51023</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14325</v>
      </c>
      <c r="F39" s="1800"/>
      <c r="G39" s="1802">
        <f>'Expenditures 15-22'!K75-SUM('Expenditures 15-22'!G75,'Expenditures 15-22'!I75)+'Expenditures 15-22'!K130-SUM('Expenditures 15-22'!G130,'Expenditures 15-22'!I130)+'Expenditures 15-22'!K185-SUM('Expenditures 15-22'!G185,'Expenditures 15-22'!I185)+'Expenditures 15-22'!D280</f>
        <v>14325</v>
      </c>
    </row>
    <row r="40" spans="1:7" ht="12" customHeight="1" x14ac:dyDescent="0.2">
      <c r="A40" s="990" t="s">
        <v>1823</v>
      </c>
      <c r="B40" s="991"/>
      <c r="C40" s="993"/>
      <c r="D40" s="1800"/>
      <c r="E40" s="1804">
        <f>-'Contracts Paid in CY 29'!G37</f>
        <v>-219795</v>
      </c>
      <c r="F40" s="1800"/>
      <c r="G40" s="1804">
        <f>-'Contracts Paid in CY 29'!G37</f>
        <v>-219795</v>
      </c>
    </row>
    <row r="41" spans="1:7" ht="12" customHeight="1" x14ac:dyDescent="0.2">
      <c r="A41" s="998" t="s">
        <v>156</v>
      </c>
      <c r="B41" s="999"/>
      <c r="C41" s="1000"/>
      <c r="D41" s="1804">
        <f>SUM(D19:D39)</f>
        <v>56743</v>
      </c>
      <c r="E41" s="1804">
        <f>SUM(E19:E40)</f>
        <v>2487228</v>
      </c>
      <c r="F41" s="1804">
        <f>SUM(F19:F39)</f>
        <v>262305</v>
      </c>
      <c r="G41" s="1804">
        <f>SUM(G19:G40)</f>
        <v>2281666</v>
      </c>
    </row>
    <row r="42" spans="1:7" x14ac:dyDescent="0.2">
      <c r="A42" s="987"/>
      <c r="B42" s="162"/>
      <c r="C42" s="1001"/>
      <c r="D42" s="2284" t="s">
        <v>522</v>
      </c>
      <c r="E42" s="2285"/>
      <c r="F42" s="1002" t="s">
        <v>523</v>
      </c>
      <c r="G42" s="1003"/>
    </row>
    <row r="43" spans="1:7" ht="12" customHeight="1" x14ac:dyDescent="0.2">
      <c r="A43" s="987"/>
      <c r="B43" s="162"/>
      <c r="C43" s="1001"/>
      <c r="D43" s="1805" t="s">
        <v>473</v>
      </c>
      <c r="E43" s="1806">
        <f>D41</f>
        <v>56743</v>
      </c>
      <c r="F43" s="1805" t="s">
        <v>473</v>
      </c>
      <c r="G43" s="1806">
        <f>F41</f>
        <v>262305</v>
      </c>
    </row>
    <row r="44" spans="1:7" ht="12" customHeight="1" x14ac:dyDescent="0.2">
      <c r="A44" s="987"/>
      <c r="B44" s="162"/>
      <c r="C44" s="1001"/>
      <c r="D44" s="1805" t="s">
        <v>474</v>
      </c>
      <c r="E44" s="1806">
        <f>E41</f>
        <v>2487228</v>
      </c>
      <c r="F44" s="1805" t="s">
        <v>474</v>
      </c>
      <c r="G44" s="1806">
        <f>G41</f>
        <v>2281666</v>
      </c>
    </row>
    <row r="45" spans="1:7" ht="12" customHeight="1" x14ac:dyDescent="0.2">
      <c r="A45" s="987"/>
      <c r="B45" s="162"/>
      <c r="C45" s="162"/>
      <c r="D45" s="1807" t="s">
        <v>1006</v>
      </c>
      <c r="E45" s="1808">
        <f>(E43/E44)</f>
        <v>2.2813750890549642E-2</v>
      </c>
      <c r="F45" s="1807" t="s">
        <v>1006</v>
      </c>
      <c r="G45" s="1808">
        <f>(G43/G44)</f>
        <v>0.11496204966020443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8" activePane="bottomLeft" state="frozen"/>
      <selection activeCell="I42" sqref="I42:O42"/>
      <selection pane="bottomLeft" activeCell="I42" sqref="I42:O42"/>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2" t="s">
        <v>1379</v>
      </c>
      <c r="B1" s="2292"/>
      <c r="C1" s="2292"/>
      <c r="D1" s="2292"/>
      <c r="E1" s="2292"/>
      <c r="F1" s="2292"/>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293" t="s">
        <v>1546</v>
      </c>
      <c r="B5" s="2294"/>
      <c r="C5" s="2295"/>
      <c r="D5" s="2295"/>
      <c r="E5" s="2295"/>
      <c r="F5" s="2295"/>
    </row>
    <row r="6" spans="1:10" ht="12" customHeight="1" x14ac:dyDescent="0.25">
      <c r="A6" s="1847"/>
      <c r="B6" s="1848"/>
      <c r="C6" s="2296" t="str">
        <f>COVER!A17</f>
        <v>Rome CCSD 2</v>
      </c>
      <c r="D6" s="2296"/>
      <c r="E6" s="2296"/>
      <c r="F6" s="1849"/>
    </row>
    <row r="7" spans="1:10" ht="11.25" customHeight="1" thickBot="1" x14ac:dyDescent="0.3">
      <c r="A7" s="1847"/>
      <c r="B7" s="1848"/>
      <c r="C7" s="2297">
        <f>COVER!A13</f>
        <v>13041002004</v>
      </c>
      <c r="D7" s="2297"/>
      <c r="E7" s="2297"/>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2083</v>
      </c>
      <c r="D13" s="1862" t="s">
        <v>2083</v>
      </c>
      <c r="E13" s="1865" t="s">
        <v>2083</v>
      </c>
      <c r="F13" s="1864" t="s">
        <v>2101</v>
      </c>
      <c r="H13" s="1875">
        <f t="shared" si="0"/>
        <v>5</v>
      </c>
      <c r="I13" s="1875">
        <f t="shared" si="1"/>
        <v>5</v>
      </c>
      <c r="J13" s="1875">
        <f t="shared" si="2"/>
        <v>5</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t="s">
        <v>2083</v>
      </c>
      <c r="D15" s="1862" t="s">
        <v>2083</v>
      </c>
      <c r="E15" s="1865" t="s">
        <v>2083</v>
      </c>
      <c r="F15" s="1864" t="s">
        <v>2103</v>
      </c>
      <c r="H15" s="1875">
        <f t="shared" si="0"/>
        <v>5</v>
      </c>
      <c r="I15" s="1875">
        <f t="shared" si="1"/>
        <v>5</v>
      </c>
      <c r="J15" s="1875">
        <f t="shared" si="2"/>
        <v>5</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2083</v>
      </c>
      <c r="D19" s="1862" t="s">
        <v>2083</v>
      </c>
      <c r="E19" s="1865" t="s">
        <v>2083</v>
      </c>
      <c r="F19" s="1864" t="s">
        <v>2104</v>
      </c>
      <c r="H19" s="1875">
        <f t="shared" si="0"/>
        <v>5</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t="s">
        <v>2083</v>
      </c>
      <c r="D23" s="1862" t="s">
        <v>2083</v>
      </c>
      <c r="E23" s="1865" t="s">
        <v>2083</v>
      </c>
      <c r="F23" s="1864" t="s">
        <v>2105</v>
      </c>
      <c r="H23" s="1875">
        <f t="shared" si="0"/>
        <v>5</v>
      </c>
      <c r="I23" s="1875">
        <f t="shared" si="1"/>
        <v>5</v>
      </c>
      <c r="J23" s="1875">
        <f t="shared" si="2"/>
        <v>5</v>
      </c>
    </row>
    <row r="24" spans="1:12" ht="12" customHeight="1" x14ac:dyDescent="0.2">
      <c r="A24" s="1860" t="s">
        <v>1532</v>
      </c>
      <c r="B24" s="1861"/>
      <c r="C24" s="1862" t="s">
        <v>2083</v>
      </c>
      <c r="D24" s="1862" t="s">
        <v>2083</v>
      </c>
      <c r="E24" s="1865" t="s">
        <v>2083</v>
      </c>
      <c r="F24" s="1864" t="s">
        <v>2106</v>
      </c>
      <c r="H24" s="1875">
        <f t="shared" si="0"/>
        <v>5</v>
      </c>
      <c r="I24" s="1875">
        <f t="shared" si="1"/>
        <v>5</v>
      </c>
      <c r="J24" s="1875">
        <f t="shared" si="2"/>
        <v>5</v>
      </c>
    </row>
    <row r="25" spans="1:12" ht="12" customHeight="1" x14ac:dyDescent="0.2">
      <c r="A25" s="1860" t="s">
        <v>1533</v>
      </c>
      <c r="B25" s="1861"/>
      <c r="C25" s="1862" t="s">
        <v>2083</v>
      </c>
      <c r="D25" s="1862" t="s">
        <v>2083</v>
      </c>
      <c r="E25" s="1865" t="s">
        <v>2083</v>
      </c>
      <c r="F25" s="1864" t="s">
        <v>2101</v>
      </c>
      <c r="H25" s="1875">
        <f t="shared" si="0"/>
        <v>5</v>
      </c>
      <c r="I25" s="1875">
        <f t="shared" si="1"/>
        <v>5</v>
      </c>
      <c r="J25" s="1875">
        <f t="shared" si="2"/>
        <v>5</v>
      </c>
    </row>
    <row r="26" spans="1:12" ht="12" customHeight="1" x14ac:dyDescent="0.2">
      <c r="A26" s="1860" t="s">
        <v>1534</v>
      </c>
      <c r="B26" s="1861"/>
      <c r="C26" s="1862" t="s">
        <v>2083</v>
      </c>
      <c r="D26" s="1862" t="s">
        <v>2083</v>
      </c>
      <c r="E26" s="1865" t="s">
        <v>2083</v>
      </c>
      <c r="F26" s="1864" t="s">
        <v>2105</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2083</v>
      </c>
      <c r="D29" s="1862" t="s">
        <v>2083</v>
      </c>
      <c r="E29" s="1865" t="s">
        <v>2083</v>
      </c>
      <c r="F29" s="1864" t="s">
        <v>2097</v>
      </c>
      <c r="H29" s="1875">
        <f t="shared" si="0"/>
        <v>5</v>
      </c>
      <c r="I29" s="1875">
        <f t="shared" si="1"/>
        <v>5</v>
      </c>
      <c r="J29" s="1875">
        <f t="shared" si="2"/>
        <v>5</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40</v>
      </c>
      <c r="I34" s="1875">
        <f>SUM(I11:I32)</f>
        <v>40</v>
      </c>
      <c r="J34" s="1875">
        <f>SUM(J11:J32)</f>
        <v>40</v>
      </c>
      <c r="K34" s="1875">
        <f>SUM(H34:J34)</f>
        <v>120</v>
      </c>
    </row>
    <row r="35" spans="1:11" ht="12" customHeight="1" x14ac:dyDescent="0.2">
      <c r="A35" s="1868" t="s">
        <v>1392</v>
      </c>
      <c r="B35" s="1869"/>
      <c r="C35" s="2298"/>
      <c r="D35" s="2298"/>
      <c r="E35" s="2298"/>
      <c r="F35" s="2299"/>
    </row>
    <row r="36" spans="1:11" ht="12" customHeight="1" x14ac:dyDescent="0.2">
      <c r="A36" s="2289" t="s">
        <v>2102</v>
      </c>
      <c r="B36" s="2290"/>
      <c r="C36" s="2290"/>
      <c r="D36" s="2290"/>
      <c r="E36" s="2290"/>
      <c r="F36" s="2291"/>
    </row>
    <row r="37" spans="1:11" ht="12" customHeight="1" x14ac:dyDescent="0.2">
      <c r="A37" s="2289" t="s">
        <v>2107</v>
      </c>
      <c r="B37" s="2290"/>
      <c r="C37" s="2290"/>
      <c r="D37" s="2290"/>
      <c r="E37" s="2290"/>
      <c r="F37" s="2291"/>
    </row>
    <row r="38" spans="1:11" ht="12" customHeight="1" x14ac:dyDescent="0.2">
      <c r="A38" s="2303"/>
      <c r="B38" s="2304"/>
      <c r="C38" s="2304"/>
      <c r="D38" s="2304"/>
      <c r="E38" s="2304"/>
      <c r="F38" s="2305"/>
    </row>
    <row r="39" spans="1:11" ht="4.5" hidden="1" customHeight="1" x14ac:dyDescent="0.2">
      <c r="A39" s="1870"/>
      <c r="B39" s="1870"/>
      <c r="C39" s="1870"/>
      <c r="D39" s="1870"/>
      <c r="E39" s="1870"/>
      <c r="F39" s="1870"/>
    </row>
    <row r="40" spans="1:11" s="1867" customFormat="1" ht="12" customHeight="1" x14ac:dyDescent="0.25">
      <c r="A40" s="1871" t="s">
        <v>1391</v>
      </c>
      <c r="B40" s="1872"/>
      <c r="C40" s="2306"/>
      <c r="D40" s="2306"/>
      <c r="E40" s="2306"/>
      <c r="F40" s="2307"/>
      <c r="H40" s="1876"/>
      <c r="I40" s="1876"/>
      <c r="J40" s="1876"/>
      <c r="K40" s="1876"/>
    </row>
    <row r="41" spans="1:11" s="1867" customFormat="1" ht="12" customHeight="1" x14ac:dyDescent="0.25">
      <c r="A41" s="2308"/>
      <c r="B41" s="2309"/>
      <c r="C41" s="2309"/>
      <c r="D41" s="2309"/>
      <c r="E41" s="2309"/>
      <c r="F41" s="2310"/>
      <c r="H41" s="1876"/>
      <c r="I41" s="1876"/>
      <c r="J41" s="1876"/>
      <c r="K41" s="1876"/>
    </row>
    <row r="42" spans="1:11" s="1867" customFormat="1" ht="12" customHeight="1" x14ac:dyDescent="0.25">
      <c r="A42" s="2308"/>
      <c r="B42" s="2309"/>
      <c r="C42" s="2309"/>
      <c r="D42" s="2309"/>
      <c r="E42" s="2309"/>
      <c r="F42" s="2310"/>
      <c r="H42" s="1876"/>
      <c r="I42" s="1876"/>
      <c r="J42" s="1876"/>
      <c r="K42" s="1876"/>
    </row>
    <row r="43" spans="1:11" s="1867" customFormat="1" ht="15" x14ac:dyDescent="0.25">
      <c r="A43" s="2300"/>
      <c r="B43" s="2301"/>
      <c r="C43" s="2301"/>
      <c r="D43" s="2301"/>
      <c r="E43" s="2301"/>
      <c r="F43" s="2302"/>
      <c r="H43" s="1876"/>
      <c r="I43" s="1876"/>
      <c r="J43" s="1876"/>
      <c r="K43" s="1876"/>
    </row>
    <row r="44" spans="1:11" s="1867" customFormat="1" ht="12" hidden="1" customHeight="1" x14ac:dyDescent="0.25">
      <c r="A44" s="2300"/>
      <c r="B44" s="2301"/>
      <c r="C44" s="2301"/>
      <c r="D44" s="2301"/>
      <c r="E44" s="2301"/>
      <c r="F44" s="2302"/>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42" sqref="I42:O4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6" t="str">
        <f>COVER!A17</f>
        <v>Rome CCSD 2</v>
      </c>
      <c r="J6" s="2317"/>
      <c r="Q6" s="1662"/>
    </row>
    <row r="7" spans="1:17" x14ac:dyDescent="0.2">
      <c r="A7" s="2318" t="s">
        <v>869</v>
      </c>
      <c r="B7" s="2319"/>
      <c r="C7" s="2319"/>
      <c r="D7" s="2319"/>
      <c r="E7" s="2320"/>
      <c r="F7" s="1017"/>
      <c r="G7" s="1009"/>
      <c r="H7" s="1016" t="s">
        <v>372</v>
      </c>
      <c r="I7" s="2321">
        <f>COVER!A13</f>
        <v>13041002004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114907</v>
      </c>
      <c r="F12" s="1039"/>
      <c r="G12" s="1809">
        <f t="shared" ref="G12:G18" si="0">SUM(E12:F12)</f>
        <v>114907</v>
      </c>
      <c r="H12" s="1040">
        <v>118912</v>
      </c>
      <c r="I12" s="1039"/>
      <c r="J12" s="1809">
        <f t="shared" ref="J12:J18" si="1">SUM(H12:I12)</f>
        <v>118912</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5" t="s">
        <v>7</v>
      </c>
      <c r="C18" s="2326"/>
      <c r="D18" s="2327"/>
      <c r="E18" s="1043">
        <v>11730</v>
      </c>
      <c r="F18" s="1043"/>
      <c r="G18" s="1810">
        <f t="shared" si="0"/>
        <v>11730</v>
      </c>
      <c r="H18" s="1040">
        <v>12000</v>
      </c>
      <c r="I18" s="1040"/>
      <c r="J18" s="1809">
        <f t="shared" si="1"/>
        <v>12000</v>
      </c>
    </row>
    <row r="19" spans="1:10" ht="12.75" customHeight="1" thickBot="1" x14ac:dyDescent="0.25">
      <c r="A19" s="1035">
        <v>8</v>
      </c>
      <c r="B19" s="1044" t="s">
        <v>1161</v>
      </c>
      <c r="D19" s="1045"/>
      <c r="E19" s="1811">
        <f t="shared" ref="E19:J19" si="2">SUM(E12:E17)-E18</f>
        <v>103177</v>
      </c>
      <c r="F19" s="1811">
        <f t="shared" si="2"/>
        <v>0</v>
      </c>
      <c r="G19" s="1811">
        <f t="shared" si="2"/>
        <v>103177</v>
      </c>
      <c r="H19" s="1811">
        <f t="shared" si="2"/>
        <v>106912</v>
      </c>
      <c r="I19" s="1811">
        <f t="shared" si="2"/>
        <v>0</v>
      </c>
      <c r="J19" s="1811">
        <f t="shared" si="2"/>
        <v>106912</v>
      </c>
    </row>
    <row r="20" spans="1:10" ht="13.5" thickTop="1" x14ac:dyDescent="0.2">
      <c r="A20" s="1035">
        <v>9</v>
      </c>
      <c r="B20" s="2328" t="s">
        <v>1979</v>
      </c>
      <c r="C20" s="2328"/>
      <c r="D20" s="2329"/>
      <c r="E20" s="1046"/>
      <c r="F20" s="1046"/>
      <c r="G20" s="1046"/>
      <c r="H20" s="1046"/>
      <c r="I20" s="1046"/>
      <c r="J20" s="1812">
        <f>IF(AND(G19&gt;0,J19&gt;0),(((J19-G19)/G19)),"Enter Budget Data")</f>
        <v>3.619992827858922E-2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1981</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I42" sqref="I42:O4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2108</v>
      </c>
    </row>
    <row r="6" spans="1:2" x14ac:dyDescent="0.2">
      <c r="A6" s="1068"/>
      <c r="B6" s="329" t="s">
        <v>2109</v>
      </c>
    </row>
    <row r="7" spans="1:2" x14ac:dyDescent="0.2">
      <c r="A7" s="1068"/>
      <c r="B7" s="329" t="s">
        <v>2110</v>
      </c>
    </row>
    <row r="8" spans="1:2" x14ac:dyDescent="0.2">
      <c r="A8" s="1068"/>
    </row>
    <row r="9" spans="1:2" x14ac:dyDescent="0.2">
      <c r="A9" s="1069">
        <v>2</v>
      </c>
      <c r="B9" s="329" t="s">
        <v>2111</v>
      </c>
    </row>
    <row r="10" spans="1:2" x14ac:dyDescent="0.2">
      <c r="A10" s="1069"/>
    </row>
    <row r="11" spans="1:2" x14ac:dyDescent="0.2">
      <c r="A11" s="1069">
        <v>3</v>
      </c>
      <c r="B11" s="329" t="s">
        <v>2112</v>
      </c>
    </row>
    <row r="12" spans="1:2" x14ac:dyDescent="0.2">
      <c r="A12" s="1069"/>
    </row>
    <row r="13" spans="1:2" x14ac:dyDescent="0.2">
      <c r="A13" s="1069">
        <v>4</v>
      </c>
      <c r="B13" s="329" t="s">
        <v>2113</v>
      </c>
    </row>
    <row r="14" spans="1:2" x14ac:dyDescent="0.2">
      <c r="A14" s="1069"/>
    </row>
    <row r="15" spans="1:2" x14ac:dyDescent="0.2">
      <c r="A15" s="1069">
        <v>5</v>
      </c>
      <c r="B15" s="329" t="s">
        <v>2114</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Rome CCSD 2</v>
      </c>
    </row>
    <row r="65" spans="2:2" x14ac:dyDescent="0.2">
      <c r="B65" s="1070">
        <f>COVER!A13</f>
        <v>13041002004</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42" sqref="I42:O4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1600200</xdr:colOff>
                <xdr:row>4</xdr:row>
                <xdr:rowOff>28575</xdr:rowOff>
              </from>
              <to>
                <xdr:col>1</xdr:col>
                <xdr:colOff>2514600</xdr:colOff>
                <xdr:row>8</xdr:row>
                <xdr:rowOff>66675</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I42" sqref="I42:O4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1985</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1986</v>
      </c>
      <c r="B4" s="2356"/>
      <c r="C4" s="2356"/>
      <c r="D4" s="2356"/>
      <c r="E4" s="2356"/>
      <c r="F4" s="2357"/>
      <c r="G4" s="1074"/>
      <c r="H4" s="1074"/>
    </row>
    <row r="5" spans="1:8" ht="14.25" customHeight="1" x14ac:dyDescent="0.2">
      <c r="A5" s="2358" t="s">
        <v>1982</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2607235</v>
      </c>
      <c r="C8" s="1813">
        <f>'Acct Summary 7-8'!D8</f>
        <v>61547</v>
      </c>
      <c r="D8" s="1813">
        <f>'Acct Summary 7-8'!F8</f>
        <v>171095</v>
      </c>
      <c r="E8" s="1813">
        <f>'Acct Summary 7-8'!I8</f>
        <v>3826</v>
      </c>
      <c r="F8" s="1813">
        <f>SUM(B8:E8)</f>
        <v>2843703</v>
      </c>
    </row>
    <row r="9" spans="1:8" s="1079" customFormat="1" ht="14.25" customHeight="1" thickBot="1" x14ac:dyDescent="0.25">
      <c r="A9" s="1078" t="s">
        <v>1369</v>
      </c>
      <c r="B9" s="1814">
        <f>'Acct Summary 7-8'!C17</f>
        <v>2649598</v>
      </c>
      <c r="C9" s="1814">
        <f>'Acct Summary 7-8'!D17</f>
        <v>185358</v>
      </c>
      <c r="D9" s="1814">
        <f>'Acct Summary 7-8'!F17</f>
        <v>245470</v>
      </c>
      <c r="E9" s="1813"/>
      <c r="F9" s="1813">
        <f>SUM(B9:E9)</f>
        <v>3080426</v>
      </c>
    </row>
    <row r="10" spans="1:8" s="1079" customFormat="1" ht="14.25" thickTop="1" thickBot="1" x14ac:dyDescent="0.25">
      <c r="A10" s="1080" t="s">
        <v>1370</v>
      </c>
      <c r="B10" s="1815">
        <f>(B8-B9)</f>
        <v>-42363</v>
      </c>
      <c r="C10" s="1815">
        <f>(C8-C9)</f>
        <v>-123811</v>
      </c>
      <c r="D10" s="1815">
        <f>(D8-D9)</f>
        <v>-74375</v>
      </c>
      <c r="E10" s="1814">
        <f>(E8-E9)</f>
        <v>3826</v>
      </c>
      <c r="F10" s="1816">
        <f>SUM(F8-F9)</f>
        <v>-236723</v>
      </c>
    </row>
    <row r="11" spans="1:8" s="1079" customFormat="1" ht="14.25" thickTop="1" thickBot="1" x14ac:dyDescent="0.25">
      <c r="A11" s="1081" t="s">
        <v>1983</v>
      </c>
      <c r="B11" s="1817">
        <f>'Acct Summary 7-8'!C81</f>
        <v>1412079</v>
      </c>
      <c r="C11" s="1817">
        <f>'Acct Summary 7-8'!D81</f>
        <v>206223</v>
      </c>
      <c r="D11" s="1817">
        <f>'Acct Summary 7-8'!F81</f>
        <v>382812</v>
      </c>
      <c r="E11" s="1817">
        <f>'Acct Summary 7-8'!I81</f>
        <v>323245</v>
      </c>
      <c r="F11" s="1818">
        <f>SUM(B11:E11)</f>
        <v>2324359</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13041002004</v>
      </c>
    </row>
    <row r="3" spans="1:2" x14ac:dyDescent="0.2">
      <c r="A3" t="s">
        <v>956</v>
      </c>
      <c r="B3" s="138" t="str">
        <f>COVER!A15</f>
        <v>JEFFERSON</v>
      </c>
    </row>
    <row r="4" spans="1:2" x14ac:dyDescent="0.2">
      <c r="A4" t="s">
        <v>1007</v>
      </c>
      <c r="B4" s="138" t="str">
        <f>COVER!A17</f>
        <v>Rome CCSD 2</v>
      </c>
    </row>
    <row r="5" spans="1:2" x14ac:dyDescent="0.2">
      <c r="A5" t="s">
        <v>704</v>
      </c>
      <c r="B5" s="138" t="str">
        <f>COVER!A38</f>
        <v>ERIK ESTILL</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1412079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1412079</v>
      </c>
      <c r="D92" s="2" t="str">
        <f t="shared" si="0"/>
        <v>Error?</v>
      </c>
    </row>
    <row r="93" spans="1:4" x14ac:dyDescent="0.2">
      <c r="A93" s="5">
        <v>32</v>
      </c>
      <c r="B93" s="138">
        <f>'Assets-Liab 5-6'!C41</f>
        <v>1412079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206223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206223</v>
      </c>
      <c r="D123" s="2" t="str">
        <f t="shared" si="0"/>
        <v>Error?</v>
      </c>
    </row>
    <row r="124" spans="1:4" x14ac:dyDescent="0.2">
      <c r="A124" s="5">
        <v>63</v>
      </c>
      <c r="B124" s="138">
        <f>'Assets-Liab 5-6'!D41</f>
        <v>206223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24498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24498</v>
      </c>
      <c r="D140" s="2" t="str">
        <f t="shared" si="1"/>
        <v>Error?</v>
      </c>
    </row>
    <row r="141" spans="1:4" x14ac:dyDescent="0.2">
      <c r="A141" s="5">
        <v>80</v>
      </c>
      <c r="B141" s="138">
        <f>'Assets-Liab 5-6'!E41</f>
        <v>24498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382812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382812</v>
      </c>
      <c r="D170" s="2" t="str">
        <f t="shared" si="1"/>
        <v>Error?</v>
      </c>
    </row>
    <row r="171" spans="1:4" x14ac:dyDescent="0.2">
      <c r="A171" s="5">
        <v>110</v>
      </c>
      <c r="B171" s="138">
        <f>'Assets-Liab 5-6'!F41</f>
        <v>382812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48123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23683</v>
      </c>
      <c r="D189" s="2" t="str">
        <f t="shared" si="1"/>
        <v>Error?</v>
      </c>
    </row>
    <row r="190" spans="1:4" x14ac:dyDescent="0.2">
      <c r="A190" s="5">
        <v>129</v>
      </c>
      <c r="B190" s="138">
        <f>'Assets-Liab 5-6'!G41</f>
        <v>48123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4666324</v>
      </c>
      <c r="D274" s="2" t="str">
        <f t="shared" si="3"/>
        <v>Error?</v>
      </c>
    </row>
    <row r="275" spans="1:4" x14ac:dyDescent="0.2">
      <c r="A275" s="5">
        <v>214</v>
      </c>
      <c r="B275" s="138">
        <f>'Assets-Liab 5-6'!M18</f>
        <v>147210</v>
      </c>
      <c r="D275" s="2" t="str">
        <f t="shared" si="3"/>
        <v>Error?</v>
      </c>
    </row>
    <row r="276" spans="1:4" x14ac:dyDescent="0.2">
      <c r="A276" s="5">
        <v>215</v>
      </c>
      <c r="B276" s="138">
        <f>'Assets-Liab 5-6'!M19</f>
        <v>814458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5632992</v>
      </c>
      <c r="C279" s="2" t="s">
        <v>573</v>
      </c>
      <c r="D279" s="2" t="str">
        <f t="shared" si="3"/>
        <v>Error?</v>
      </c>
    </row>
    <row r="280" spans="1:4" x14ac:dyDescent="0.2">
      <c r="A280" s="5">
        <v>219</v>
      </c>
      <c r="B280" s="138">
        <f>'Assets-Liab 5-6'!M40</f>
        <v>5632992</v>
      </c>
      <c r="D280" s="2" t="str">
        <f t="shared" si="3"/>
        <v>Error?</v>
      </c>
    </row>
    <row r="281" spans="1:4" x14ac:dyDescent="0.2">
      <c r="A281" s="5">
        <v>220</v>
      </c>
      <c r="B281" s="138">
        <f>'Assets-Liab 5-6'!M41</f>
        <v>5632992</v>
      </c>
      <c r="C281" s="2" t="s">
        <v>573</v>
      </c>
      <c r="D281" s="2" t="str">
        <f t="shared" si="3"/>
        <v>Error?</v>
      </c>
    </row>
    <row r="282" spans="1:4" x14ac:dyDescent="0.2">
      <c r="A282" s="5">
        <v>221</v>
      </c>
      <c r="B282" s="138">
        <f>'Assets-Liab 5-6'!N21</f>
        <v>24498</v>
      </c>
      <c r="D282" s="2" t="str">
        <f t="shared" si="3"/>
        <v>Error?</v>
      </c>
    </row>
    <row r="283" spans="1:4" x14ac:dyDescent="0.2">
      <c r="A283" s="5">
        <v>222</v>
      </c>
      <c r="B283" s="138">
        <f>'Assets-Liab 5-6'!N22</f>
        <v>304502</v>
      </c>
      <c r="D283" s="2" t="str">
        <f t="shared" si="3"/>
        <v>Error?</v>
      </c>
    </row>
    <row r="284" spans="1:4" x14ac:dyDescent="0.2">
      <c r="A284" s="5">
        <v>223</v>
      </c>
      <c r="B284" s="138">
        <f>'Assets-Liab 5-6'!N23</f>
        <v>329000</v>
      </c>
      <c r="C284" s="2" t="s">
        <v>573</v>
      </c>
      <c r="D284" s="2" t="str">
        <f t="shared" si="3"/>
        <v>Error?</v>
      </c>
    </row>
    <row r="285" spans="1:4" x14ac:dyDescent="0.2">
      <c r="A285" s="5">
        <v>224</v>
      </c>
      <c r="B285" s="138">
        <f>'Assets-Liab 5-6'!N36</f>
        <v>329000</v>
      </c>
      <c r="D285" s="2" t="str">
        <f t="shared" si="3"/>
        <v>Error?</v>
      </c>
    </row>
    <row r="286" spans="1:4" x14ac:dyDescent="0.2">
      <c r="A286" s="10">
        <v>225</v>
      </c>
      <c r="D286" s="2" t="str">
        <f t="shared" si="3"/>
        <v>OK</v>
      </c>
    </row>
    <row r="287" spans="1:4" x14ac:dyDescent="0.2">
      <c r="A287" s="5">
        <v>226</v>
      </c>
      <c r="B287" s="138">
        <f>'Assets-Liab 5-6'!N37</f>
        <v>329000</v>
      </c>
      <c r="C287" s="2" t="s">
        <v>573</v>
      </c>
      <c r="D287" s="2" t="str">
        <f t="shared" si="3"/>
        <v>Error?</v>
      </c>
    </row>
    <row r="288" spans="1:4" x14ac:dyDescent="0.2">
      <c r="A288" s="5">
        <v>227</v>
      </c>
      <c r="B288" s="138">
        <f>'Assets-Liab 5-6'!N41</f>
        <v>329000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1114505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1463462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23766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23766</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19305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19305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101662</v>
      </c>
      <c r="D733" s="2" t="str">
        <f t="shared" si="10"/>
        <v>Error?</v>
      </c>
    </row>
    <row r="734" spans="1:4" x14ac:dyDescent="0.2">
      <c r="A734" s="5">
        <v>673</v>
      </c>
      <c r="B734" s="138">
        <f>'Expenditures 15-22'!C53</f>
        <v>101662</v>
      </c>
      <c r="C734" s="2" t="s">
        <v>573</v>
      </c>
      <c r="D734" s="2" t="str">
        <f t="shared" si="10"/>
        <v>Error?</v>
      </c>
    </row>
    <row r="735" spans="1:4" x14ac:dyDescent="0.2">
      <c r="A735" s="5">
        <v>674</v>
      </c>
      <c r="B735" s="138">
        <f>'Expenditures 15-22'!C55</f>
        <v>97912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97912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48658</v>
      </c>
      <c r="D739" s="2" t="str">
        <f t="shared" si="10"/>
        <v>Error?</v>
      </c>
    </row>
    <row r="740" spans="1:4" x14ac:dyDescent="0.2">
      <c r="A740" s="5">
        <v>679</v>
      </c>
      <c r="B740" s="138">
        <f>'Expenditures 15-22'!C61</f>
        <v>77697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40652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167007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409652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1873114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144432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173275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11730</v>
      </c>
      <c r="D791" s="2" t="str">
        <f t="shared" si="11"/>
        <v>Error?</v>
      </c>
    </row>
    <row r="792" spans="1:4" x14ac:dyDescent="0.2">
      <c r="A792" s="5">
        <v>731</v>
      </c>
      <c r="B792" s="138">
        <f>'Expenditures 15-22'!D53</f>
        <v>11730</v>
      </c>
      <c r="C792" s="2" t="s">
        <v>573</v>
      </c>
      <c r="D792" s="2" t="str">
        <f t="shared" si="11"/>
        <v>Error?</v>
      </c>
    </row>
    <row r="793" spans="1:4" x14ac:dyDescent="0.2">
      <c r="A793" s="5">
        <v>732</v>
      </c>
      <c r="B793" s="138">
        <f>'Expenditures 15-22'!D55</f>
        <v>8068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8068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19798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193073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49138</v>
      </c>
      <c r="D821" s="2" t="str">
        <f t="shared" si="11"/>
        <v>Error?</v>
      </c>
    </row>
    <row r="822" spans="1:4" x14ac:dyDescent="0.2">
      <c r="A822" s="5">
        <v>761</v>
      </c>
      <c r="B822" s="138">
        <f>'Expenditures 15-22'!E16</f>
        <v>55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5760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65300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10599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10599</v>
      </c>
      <c r="C847" s="2" t="s">
        <v>573</v>
      </c>
      <c r="D847" s="2" t="str">
        <f t="shared" si="12"/>
        <v>Error?</v>
      </c>
    </row>
    <row r="848" spans="1:4" x14ac:dyDescent="0.2">
      <c r="A848" s="5">
        <v>787</v>
      </c>
      <c r="B848" s="138">
        <f>'Expenditures 15-22'!E49</f>
        <v>30403</v>
      </c>
      <c r="D848" s="2" t="str">
        <f t="shared" si="12"/>
        <v>Error?</v>
      </c>
    </row>
    <row r="849" spans="1:4" x14ac:dyDescent="0.2">
      <c r="A849" s="5">
        <v>788</v>
      </c>
      <c r="B849" s="138">
        <f>'Expenditures 15-22'!E50</f>
        <v>1454</v>
      </c>
      <c r="D849" s="2" t="str">
        <f t="shared" si="12"/>
        <v>Error?</v>
      </c>
    </row>
    <row r="850" spans="1:4" x14ac:dyDescent="0.2">
      <c r="A850" s="5">
        <v>789</v>
      </c>
      <c r="B850" s="138">
        <f>'Expenditures 15-22'!E53</f>
        <v>31857</v>
      </c>
      <c r="C850" s="2" t="s">
        <v>573</v>
      </c>
      <c r="D850" s="2" t="str">
        <f t="shared" si="12"/>
        <v>Error?</v>
      </c>
    </row>
    <row r="851" spans="1:4" x14ac:dyDescent="0.2">
      <c r="A851" s="5">
        <v>790</v>
      </c>
      <c r="B851" s="138">
        <f>'Expenditures 15-22'!E55</f>
        <v>5174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5174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v>
      </c>
      <c r="D855" s="2" t="str">
        <f t="shared" si="12"/>
        <v>Error?</v>
      </c>
    </row>
    <row r="856" spans="1:4" x14ac:dyDescent="0.2">
      <c r="A856" s="5">
        <v>795</v>
      </c>
      <c r="B856" s="138">
        <f>'Expenditures 15-22'!E61</f>
        <v>94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47745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150965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35089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4165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76929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1869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1869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66</v>
      </c>
      <c r="C905" s="2" t="s">
        <v>573</v>
      </c>
      <c r="D905" s="2" t="str">
        <f t="shared" si="13"/>
        <v>Error?</v>
      </c>
    </row>
    <row r="906" spans="1:4" x14ac:dyDescent="0.2">
      <c r="A906" s="5">
        <v>845</v>
      </c>
      <c r="B906" s="138">
        <f>'Expenditures 15-22'!F49</f>
        <v>2309</v>
      </c>
      <c r="D906" s="2" t="str">
        <f t="shared" si="13"/>
        <v>Error?</v>
      </c>
    </row>
    <row r="907" spans="1:4" x14ac:dyDescent="0.2">
      <c r="A907" s="5">
        <v>846</v>
      </c>
      <c r="B907" s="138">
        <f>'Expenditures 15-22'!F50</f>
        <v>61</v>
      </c>
      <c r="D907" s="2" t="str">
        <f t="shared" si="13"/>
        <v>Error?</v>
      </c>
    </row>
    <row r="908" spans="1:4" x14ac:dyDescent="0.2">
      <c r="A908" s="5">
        <v>847</v>
      </c>
      <c r="B908" s="138">
        <f>'Expenditures 15-22'!F53</f>
        <v>2370</v>
      </c>
      <c r="C908" s="2" t="s">
        <v>573</v>
      </c>
      <c r="D908" s="2" t="str">
        <f t="shared" si="13"/>
        <v>Error?</v>
      </c>
    </row>
    <row r="909" spans="1:4" x14ac:dyDescent="0.2">
      <c r="A909" s="5">
        <v>848</v>
      </c>
      <c r="B909" s="138">
        <f>'Expenditures 15-22'!F55</f>
        <v>279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123532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123980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128564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205493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32954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32954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32954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915</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1530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2445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1878</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1878</v>
      </c>
      <c r="C1024" s="2" t="s">
        <v>573</v>
      </c>
      <c r="D1024" s="2" t="str">
        <f t="shared" si="15"/>
        <v>Error?</v>
      </c>
    </row>
    <row r="1025" spans="1:4" x14ac:dyDescent="0.2">
      <c r="A1025" s="5">
        <v>964</v>
      </c>
      <c r="B1025" s="138">
        <f>'Expenditures 15-22'!H55</f>
        <v>365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365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767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5193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5960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8203</v>
      </c>
      <c r="C1045" s="2" t="s">
        <v>573</v>
      </c>
      <c r="D1045" s="2" t="str">
        <f t="shared" si="15"/>
        <v>Error?</v>
      </c>
    </row>
    <row r="1046" spans="1:4" x14ac:dyDescent="0.2">
      <c r="A1046" s="5">
        <v>985</v>
      </c>
      <c r="B1046" s="138">
        <f>'Expenditures 15-22'!H75</f>
        <v>14325</v>
      </c>
      <c r="D1046" s="2" t="str">
        <f t="shared" si="15"/>
        <v>Error?</v>
      </c>
    </row>
    <row r="1047" spans="1:4" x14ac:dyDescent="0.2">
      <c r="A1047" s="5">
        <v>986</v>
      </c>
      <c r="B1047" s="138">
        <f>'Expenditures 15-22'!H102</f>
        <v>169026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193999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1376118</v>
      </c>
      <c r="C1093" s="2" t="s">
        <v>573</v>
      </c>
      <c r="D1093" s="2" t="str">
        <f t="shared" si="16"/>
        <v>Error?</v>
      </c>
    </row>
    <row r="1094" spans="1:4" x14ac:dyDescent="0.2">
      <c r="A1094" s="5">
        <v>1033</v>
      </c>
      <c r="B1094" s="138">
        <f>'Expenditures 15-22'!K16</f>
        <v>970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11455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1814365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25635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25635</v>
      </c>
      <c r="C1115" s="2" t="s">
        <v>573</v>
      </c>
      <c r="D1115" s="2" t="str">
        <f t="shared" si="16"/>
        <v>Error?</v>
      </c>
    </row>
    <row r="1116" spans="1:4" x14ac:dyDescent="0.2">
      <c r="A1116" s="5">
        <v>1055</v>
      </c>
      <c r="B1116" s="138">
        <f>'Expenditures 15-22'!K44</f>
        <v>10599</v>
      </c>
      <c r="C1116" s="2" t="s">
        <v>573</v>
      </c>
      <c r="D1116" s="2" t="str">
        <f t="shared" si="16"/>
        <v>Error?</v>
      </c>
    </row>
    <row r="1117" spans="1:4" x14ac:dyDescent="0.2">
      <c r="A1117" s="5">
        <v>1056</v>
      </c>
      <c r="B1117" s="138">
        <f>'Expenditures 15-22'!K45</f>
        <v>19371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29970</v>
      </c>
      <c r="C1119" s="2" t="s">
        <v>573</v>
      </c>
      <c r="D1119" s="2" t="str">
        <f t="shared" si="16"/>
        <v>Error?</v>
      </c>
    </row>
    <row r="1120" spans="1:4" x14ac:dyDescent="0.2">
      <c r="A1120" s="5">
        <v>1059</v>
      </c>
      <c r="B1120" s="138">
        <f>'Expenditures 15-22'!K49</f>
        <v>34590</v>
      </c>
      <c r="C1120" s="2" t="s">
        <v>573</v>
      </c>
      <c r="D1120" s="2" t="str">
        <f t="shared" si="16"/>
        <v>Error?</v>
      </c>
    </row>
    <row r="1121" spans="1:4" x14ac:dyDescent="0.2">
      <c r="A1121" s="5">
        <v>1060</v>
      </c>
      <c r="B1121" s="138">
        <f>'Expenditures 15-22'!K50</f>
        <v>114907</v>
      </c>
      <c r="C1121" s="2" t="s">
        <v>573</v>
      </c>
      <c r="D1121" s="2" t="str">
        <f t="shared" si="16"/>
        <v>Error?</v>
      </c>
    </row>
    <row r="1122" spans="1:4" x14ac:dyDescent="0.2">
      <c r="A1122" s="5">
        <v>1061</v>
      </c>
      <c r="B1122" s="138">
        <f>'Expenditures 15-22'!K53</f>
        <v>149497</v>
      </c>
      <c r="C1122" s="2" t="s">
        <v>573</v>
      </c>
      <c r="D1122" s="2" t="str">
        <f t="shared" si="16"/>
        <v>Error?</v>
      </c>
    </row>
    <row r="1123" spans="1:4" x14ac:dyDescent="0.2">
      <c r="A1123" s="5">
        <v>1062</v>
      </c>
      <c r="B1123" s="138">
        <f>'Expenditures 15-22'!K55</f>
        <v>111798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111798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49894</v>
      </c>
      <c r="C1127" s="2" t="s">
        <v>573</v>
      </c>
      <c r="D1127" s="2" t="str">
        <f t="shared" si="16"/>
        <v>Error?</v>
      </c>
    </row>
    <row r="1128" spans="1:4" x14ac:dyDescent="0.2">
      <c r="A1128" s="5">
        <v>1067</v>
      </c>
      <c r="B1128" s="138">
        <f>'Expenditures 15-22'!K61</f>
        <v>77791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169377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297062</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613962</v>
      </c>
      <c r="C1143" s="2" t="s">
        <v>573</v>
      </c>
      <c r="D1143" s="2" t="str">
        <f t="shared" si="16"/>
        <v>Error?</v>
      </c>
    </row>
    <row r="1144" spans="1:4" x14ac:dyDescent="0.2">
      <c r="A1144" s="5">
        <v>1083</v>
      </c>
      <c r="B1144" s="138">
        <f>'Expenditures 15-22'!K75</f>
        <v>14325</v>
      </c>
      <c r="C1144" s="2" t="s">
        <v>573</v>
      </c>
      <c r="D1144" s="2" t="str">
        <f t="shared" si="16"/>
        <v>Error?</v>
      </c>
    </row>
    <row r="1145" spans="1:4" x14ac:dyDescent="0.2">
      <c r="A1145" s="5">
        <v>1084</v>
      </c>
      <c r="B1145" s="138">
        <f>'Expenditures 15-22'!K102</f>
        <v>206946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2649598</v>
      </c>
      <c r="C1152" s="2" t="s">
        <v>573</v>
      </c>
      <c r="D1152" s="2" t="str">
        <f t="shared" si="17"/>
        <v>Error?</v>
      </c>
    </row>
    <row r="1153" spans="1:4" x14ac:dyDescent="0.2">
      <c r="A1153" s="5">
        <v>1092</v>
      </c>
      <c r="B1153" s="138">
        <f>'Expenditures 15-22'!K115</f>
        <v>-42363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46626</v>
      </c>
      <c r="D1237" s="2" t="str">
        <f t="shared" si="18"/>
        <v>Error?</v>
      </c>
    </row>
    <row r="1238" spans="1:4" x14ac:dyDescent="0.2">
      <c r="A1238" s="10">
        <v>1177</v>
      </c>
      <c r="D1238" s="2" t="str">
        <f t="shared" si="18"/>
        <v>OK</v>
      </c>
    </row>
    <row r="1239" spans="1:4" x14ac:dyDescent="0.2">
      <c r="A1239" s="5">
        <v>1178</v>
      </c>
      <c r="B1239" s="138">
        <f>'Expenditures 15-22'!E127</f>
        <v>46626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46626</v>
      </c>
      <c r="C1241" s="2" t="s">
        <v>573</v>
      </c>
      <c r="D1241" s="2" t="str">
        <f t="shared" si="18"/>
        <v>Error?</v>
      </c>
    </row>
    <row r="1242" spans="1:4" x14ac:dyDescent="0.2">
      <c r="A1242" s="5">
        <v>1181</v>
      </c>
      <c r="B1242" s="138">
        <f>'Expenditures 15-22'!E151</f>
        <v>46626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71025</v>
      </c>
      <c r="D1245" s="2" t="str">
        <f t="shared" si="18"/>
        <v>Error?</v>
      </c>
    </row>
    <row r="1246" spans="1:4" x14ac:dyDescent="0.2">
      <c r="A1246" s="10">
        <v>1185</v>
      </c>
      <c r="D1246" s="2" t="str">
        <f t="shared" si="18"/>
        <v>OK</v>
      </c>
    </row>
    <row r="1247" spans="1:4" x14ac:dyDescent="0.2">
      <c r="A1247" s="5">
        <v>1186</v>
      </c>
      <c r="B1247" s="138">
        <f>'Expenditures 15-22'!F127</f>
        <v>71025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71025</v>
      </c>
      <c r="C1249" s="2" t="s">
        <v>573</v>
      </c>
      <c r="D1249" s="2" t="str">
        <f t="shared" si="18"/>
        <v>Error?</v>
      </c>
    </row>
    <row r="1250" spans="1:4" x14ac:dyDescent="0.2">
      <c r="A1250" s="5">
        <v>1189</v>
      </c>
      <c r="B1250" s="138">
        <f>'Expenditures 15-22'!F151</f>
        <v>71025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67707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67707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67707</v>
      </c>
      <c r="C1258" s="2" t="s">
        <v>573</v>
      </c>
      <c r="D1258" s="2" t="str">
        <f t="shared" si="18"/>
        <v>Error?</v>
      </c>
    </row>
    <row r="1259" spans="1:4" x14ac:dyDescent="0.2">
      <c r="A1259" s="5">
        <v>1198</v>
      </c>
      <c r="B1259" s="138">
        <f>'Expenditures 15-22'!G151</f>
        <v>67707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185358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185358</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185358</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185358</v>
      </c>
      <c r="C1288" s="2" t="s">
        <v>573</v>
      </c>
      <c r="D1288" s="2" t="str">
        <f t="shared" si="19"/>
        <v>Error?</v>
      </c>
    </row>
    <row r="1289" spans="1:4" x14ac:dyDescent="0.2">
      <c r="A1289" s="5">
        <v>1228</v>
      </c>
      <c r="B1289" s="138">
        <f>'Expenditures 15-22'!K152</f>
        <v>-123811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1247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63117</v>
      </c>
      <c r="D1315" s="2" t="str">
        <f t="shared" si="19"/>
        <v>Error?</v>
      </c>
    </row>
    <row r="1316" spans="1:4" x14ac:dyDescent="0.2">
      <c r="A1316" s="5">
        <v>1255</v>
      </c>
      <c r="B1316" s="138">
        <f>'Expenditures 15-22'!H171</f>
        <v>350</v>
      </c>
      <c r="D1316" s="2" t="str">
        <f t="shared" si="19"/>
        <v>Error?</v>
      </c>
    </row>
    <row r="1317" spans="1:4" x14ac:dyDescent="0.2">
      <c r="A1317" s="5">
        <v>1256</v>
      </c>
      <c r="B1317" s="138">
        <f>'Expenditures 15-22'!H172</f>
        <v>64714</v>
      </c>
      <c r="C1317" s="2" t="s">
        <v>573</v>
      </c>
      <c r="D1317" s="2" t="str">
        <f t="shared" si="19"/>
        <v>Error?</v>
      </c>
    </row>
    <row r="1318" spans="1:4" x14ac:dyDescent="0.2">
      <c r="A1318" s="5">
        <v>1257</v>
      </c>
      <c r="B1318" s="138">
        <f>'Expenditures 15-22'!H174</f>
        <v>64714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1247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63117</v>
      </c>
      <c r="C1329" s="2" t="s">
        <v>573</v>
      </c>
      <c r="D1329" s="2" t="str">
        <f t="shared" si="19"/>
        <v>Error?</v>
      </c>
    </row>
    <row r="1330" spans="1:4" x14ac:dyDescent="0.2">
      <c r="A1330" s="5">
        <v>1269</v>
      </c>
      <c r="B1330" s="138">
        <f>'Expenditures 15-22'!K171</f>
        <v>350</v>
      </c>
      <c r="C1330" s="2" t="s">
        <v>573</v>
      </c>
      <c r="D1330" s="2" t="str">
        <f t="shared" si="19"/>
        <v>Error?</v>
      </c>
    </row>
    <row r="1331" spans="1:4" x14ac:dyDescent="0.2">
      <c r="A1331" s="5">
        <v>1270</v>
      </c>
      <c r="B1331" s="138">
        <f>'Expenditures 15-22'!K172</f>
        <v>64714</v>
      </c>
      <c r="C1331" s="2" t="s">
        <v>573</v>
      </c>
      <c r="D1331" s="2" t="str">
        <f t="shared" si="19"/>
        <v>Error?</v>
      </c>
    </row>
    <row r="1332" spans="1:4" x14ac:dyDescent="0.2">
      <c r="A1332" s="5">
        <v>1271</v>
      </c>
      <c r="B1332" s="138">
        <f>'Expenditures 15-22'!K174</f>
        <v>64714</v>
      </c>
      <c r="C1332" s="2" t="s">
        <v>573</v>
      </c>
      <c r="D1332" s="2" t="str">
        <f t="shared" si="19"/>
        <v>Error?</v>
      </c>
    </row>
    <row r="1333" spans="1:4" x14ac:dyDescent="0.2">
      <c r="A1333" s="5">
        <v>1272</v>
      </c>
      <c r="B1333" s="138">
        <f>'Expenditures 15-22'!K175</f>
        <v>1506</v>
      </c>
      <c r="C1333" s="2" t="s">
        <v>573</v>
      </c>
      <c r="D1333" s="2" t="str">
        <f t="shared" si="19"/>
        <v>Error?</v>
      </c>
    </row>
    <row r="1334" spans="1:4" x14ac:dyDescent="0.2">
      <c r="A1334" s="10">
        <v>1273</v>
      </c>
      <c r="D1334" s="2" t="str">
        <f t="shared" si="19"/>
        <v>OK</v>
      </c>
    </row>
    <row r="1335" spans="1:4" x14ac:dyDescent="0.2">
      <c r="A1335" s="5">
        <v>1274</v>
      </c>
      <c r="B1335" s="138">
        <f>'Expenditures 15-22'!C182</f>
        <v>10059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10059</v>
      </c>
      <c r="C1339" s="2" t="s">
        <v>573</v>
      </c>
      <c r="D1339" s="2" t="str">
        <f t="shared" si="19"/>
        <v>Error?</v>
      </c>
    </row>
    <row r="1340" spans="1:4" x14ac:dyDescent="0.2">
      <c r="A1340" s="5">
        <v>1279</v>
      </c>
      <c r="B1340" s="138">
        <f>'Expenditures 15-22'!C210</f>
        <v>10059</v>
      </c>
      <c r="C1340" s="2" t="s">
        <v>573</v>
      </c>
      <c r="D1340" s="2" t="str">
        <f t="shared" si="19"/>
        <v>Error?</v>
      </c>
    </row>
    <row r="1341" spans="1:4" x14ac:dyDescent="0.2">
      <c r="A1341" s="5">
        <v>1280</v>
      </c>
      <c r="B1341" s="138">
        <f>'Expenditures 15-22'!D182</f>
        <v>764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764</v>
      </c>
      <c r="C1345" s="2" t="s">
        <v>573</v>
      </c>
      <c r="D1345" s="2" t="str">
        <f t="shared" si="20"/>
        <v>Error?</v>
      </c>
    </row>
    <row r="1346" spans="1:4" x14ac:dyDescent="0.2">
      <c r="A1346" s="5">
        <v>1285</v>
      </c>
      <c r="B1346" s="138">
        <f>'Expenditures 15-22'!D210</f>
        <v>764</v>
      </c>
      <c r="C1346" s="2" t="s">
        <v>573</v>
      </c>
      <c r="D1346" s="2" t="str">
        <f t="shared" si="20"/>
        <v>Error?</v>
      </c>
    </row>
    <row r="1347" spans="1:4" x14ac:dyDescent="0.2">
      <c r="A1347" s="5">
        <v>1286</v>
      </c>
      <c r="B1347" s="138">
        <f>'Expenditures 15-22'!E182</f>
        <v>234647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234647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234647</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245470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245470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245470</v>
      </c>
      <c r="C1388" s="2" t="s">
        <v>573</v>
      </c>
      <c r="D1388" s="2" t="str">
        <f t="shared" si="20"/>
        <v>Error?</v>
      </c>
    </row>
    <row r="1389" spans="1:4" x14ac:dyDescent="0.2">
      <c r="A1389" s="5">
        <v>1328</v>
      </c>
      <c r="B1389" s="138">
        <f>'Expenditures 15-22'!K211</f>
        <v>-74375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37781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3318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3318</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2710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2710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1474</v>
      </c>
      <c r="D1423" s="2" t="str">
        <f t="shared" si="21"/>
        <v>Error?</v>
      </c>
    </row>
    <row r="1424" spans="1:4" x14ac:dyDescent="0.2">
      <c r="A1424" s="5">
        <v>1363</v>
      </c>
      <c r="B1424" s="138">
        <f>'Expenditures 15-22'!D257</f>
        <v>1474</v>
      </c>
      <c r="C1424" s="2" t="s">
        <v>573</v>
      </c>
      <c r="D1424" s="2" t="str">
        <f t="shared" si="21"/>
        <v>Error?</v>
      </c>
    </row>
    <row r="1425" spans="1:4" x14ac:dyDescent="0.2">
      <c r="A1425" s="5">
        <v>1364</v>
      </c>
      <c r="B1425" s="138">
        <f>'Expenditures 15-22'!D259</f>
        <v>4945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4945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6849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10120</v>
      </c>
      <c r="D1431" s="2" t="str">
        <f t="shared" si="21"/>
        <v>Error?</v>
      </c>
    </row>
    <row r="1432" spans="1:4" x14ac:dyDescent="0.2">
      <c r="A1432" s="5">
        <v>1371</v>
      </c>
      <c r="B1432" s="138">
        <f>'Expenditures 15-22'!D267</f>
        <v>473</v>
      </c>
      <c r="D1432" s="2" t="str">
        <f t="shared" si="21"/>
        <v>Error?</v>
      </c>
    </row>
    <row r="1433" spans="1:4" x14ac:dyDescent="0.2">
      <c r="A1433" s="5">
        <v>1372</v>
      </c>
      <c r="B1433" s="138">
        <f>'Expenditures 15-22'!D268</f>
        <v>5178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22620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35067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72848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37781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3318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3318</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2710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2710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1474</v>
      </c>
      <c r="C1487" s="2" t="s">
        <v>573</v>
      </c>
      <c r="D1487" s="2" t="str">
        <f t="shared" si="22"/>
        <v>Error?</v>
      </c>
    </row>
    <row r="1488" spans="1:4" x14ac:dyDescent="0.2">
      <c r="A1488" s="5">
        <v>1427</v>
      </c>
      <c r="B1488" s="138">
        <f>'Expenditures 15-22'!K257</f>
        <v>1474</v>
      </c>
      <c r="C1488" s="2" t="s">
        <v>573</v>
      </c>
      <c r="D1488" s="2" t="str">
        <f t="shared" si="22"/>
        <v>Error?</v>
      </c>
    </row>
    <row r="1489" spans="1:4" x14ac:dyDescent="0.2">
      <c r="A1489" s="5">
        <v>1428</v>
      </c>
      <c r="B1489" s="138">
        <f>'Expenditures 15-22'!K259</f>
        <v>4945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4945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6849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10120</v>
      </c>
      <c r="C1495" s="2" t="s">
        <v>573</v>
      </c>
      <c r="D1495" s="2" t="str">
        <f t="shared" si="22"/>
        <v>Error?</v>
      </c>
    </row>
    <row r="1496" spans="1:4" x14ac:dyDescent="0.2">
      <c r="A1496" s="5">
        <v>1435</v>
      </c>
      <c r="B1496" s="138">
        <f>'Expenditures 15-22'!K267</f>
        <v>473</v>
      </c>
      <c r="C1496" s="2" t="s">
        <v>573</v>
      </c>
      <c r="D1496" s="2" t="str">
        <f t="shared" si="22"/>
        <v>Error?</v>
      </c>
    </row>
    <row r="1497" spans="1:4" x14ac:dyDescent="0.2">
      <c r="A1497" s="5">
        <v>1436</v>
      </c>
      <c r="B1497" s="138">
        <f>'Expenditures 15-22'!K268</f>
        <v>5178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22620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35067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72848</v>
      </c>
      <c r="C1517" s="2" t="s">
        <v>573</v>
      </c>
      <c r="D1517" s="2" t="str">
        <f t="shared" si="22"/>
        <v>Error?</v>
      </c>
    </row>
    <row r="1518" spans="1:4" x14ac:dyDescent="0.2">
      <c r="A1518" s="5">
        <v>1457</v>
      </c>
      <c r="B1518" s="138">
        <f>'Expenditures 15-22'!K296</f>
        <v>-10637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1394442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1412079</v>
      </c>
      <c r="C1630" s="2" t="s">
        <v>573</v>
      </c>
      <c r="D1630" s="2" t="str">
        <f t="shared" si="24"/>
        <v>Error?</v>
      </c>
    </row>
    <row r="1631" spans="1:4" x14ac:dyDescent="0.2">
      <c r="A1631" s="5">
        <v>1570</v>
      </c>
      <c r="B1631" s="138">
        <f>'Acct Summary 7-8'!D79</f>
        <v>277584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206223</v>
      </c>
      <c r="C1644" s="2" t="s">
        <v>573</v>
      </c>
      <c r="D1644" s="2" t="str">
        <f t="shared" si="24"/>
        <v>Error?</v>
      </c>
    </row>
    <row r="1645" spans="1:4" x14ac:dyDescent="0.2">
      <c r="A1645" s="5">
        <v>1584</v>
      </c>
      <c r="B1645" s="138">
        <f>'Acct Summary 7-8'!E79</f>
        <v>22992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24498</v>
      </c>
      <c r="C1658" s="2" t="s">
        <v>573</v>
      </c>
      <c r="D1658" s="2" t="str">
        <f t="shared" si="24"/>
        <v>Error?</v>
      </c>
    </row>
    <row r="1659" spans="1:4" x14ac:dyDescent="0.2">
      <c r="A1659" s="5">
        <v>1598</v>
      </c>
      <c r="B1659" s="138">
        <f>'Acct Summary 7-8'!F79</f>
        <v>457187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382812</v>
      </c>
      <c r="C1672" s="2" t="s">
        <v>573</v>
      </c>
      <c r="D1672" s="2" t="str">
        <f t="shared" si="25"/>
        <v>Error?</v>
      </c>
    </row>
    <row r="1673" spans="1:4" x14ac:dyDescent="0.2">
      <c r="A1673" s="5">
        <v>1612</v>
      </c>
      <c r="B1673" s="138">
        <f>'Acct Summary 7-8'!G79</f>
        <v>58760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48123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453815</v>
      </c>
      <c r="C1744" s="2" t="s">
        <v>573</v>
      </c>
      <c r="D1744" s="2" t="str">
        <f t="shared" si="26"/>
        <v>Error?</v>
      </c>
    </row>
    <row r="1745" spans="1:5" x14ac:dyDescent="0.2">
      <c r="A1745" s="5">
        <v>1684</v>
      </c>
      <c r="B1745" s="138">
        <f>'Tax Sched 23'!B5</f>
        <v>23068</v>
      </c>
      <c r="C1745" s="2" t="s">
        <v>573</v>
      </c>
      <c r="D1745" s="2" t="str">
        <f t="shared" si="26"/>
        <v>Error?</v>
      </c>
    </row>
    <row r="1746" spans="1:5" x14ac:dyDescent="0.2">
      <c r="A1746" s="5">
        <v>1685</v>
      </c>
      <c r="B1746" s="138">
        <f>'Tax Sched 23'!B6</f>
        <v>64269</v>
      </c>
      <c r="C1746" s="2" t="s">
        <v>573</v>
      </c>
      <c r="D1746" s="2" t="str">
        <f t="shared" si="26"/>
        <v>Error?</v>
      </c>
    </row>
    <row r="1747" spans="1:5" x14ac:dyDescent="0.2">
      <c r="A1747" s="5">
        <v>1686</v>
      </c>
      <c r="B1747" s="138">
        <f>'Tax Sched 23'!B7</f>
        <v>6303</v>
      </c>
      <c r="C1747" s="2" t="s">
        <v>573</v>
      </c>
      <c r="D1747" s="2" t="str">
        <f t="shared" si="26"/>
        <v>Error?</v>
      </c>
    </row>
    <row r="1748" spans="1:5" x14ac:dyDescent="0.2">
      <c r="A1748" s="5">
        <v>1687</v>
      </c>
      <c r="B1748" s="138">
        <f>'Tax Sched 23'!B8</f>
        <v>15937</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23308</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3076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629620</v>
      </c>
      <c r="C1759" s="2" t="s">
        <v>573</v>
      </c>
      <c r="D1759" s="2" t="str">
        <f t="shared" si="26"/>
        <v>Error?</v>
      </c>
    </row>
    <row r="1760" spans="1:5" x14ac:dyDescent="0.2">
      <c r="A1760" s="5">
        <v>1699</v>
      </c>
      <c r="B1760" s="138">
        <f>'Tax Sched 23'!D4</f>
        <v>453815</v>
      </c>
      <c r="C1760" s="2" t="s">
        <v>573</v>
      </c>
      <c r="D1760" s="2" t="str">
        <f t="shared" si="26"/>
        <v>Error?</v>
      </c>
    </row>
    <row r="1761" spans="1:5" x14ac:dyDescent="0.2">
      <c r="A1761" s="5">
        <v>1700</v>
      </c>
      <c r="B1761" s="138">
        <f>'Tax Sched 23'!D5</f>
        <v>23068</v>
      </c>
      <c r="C1761" s="2" t="s">
        <v>573</v>
      </c>
      <c r="D1761" s="2" t="str">
        <f t="shared" si="26"/>
        <v>Error?</v>
      </c>
    </row>
    <row r="1762" spans="1:5" s="8" customFormat="1" x14ac:dyDescent="0.2">
      <c r="A1762" s="5">
        <v>1701</v>
      </c>
      <c r="B1762" s="138">
        <f>'Tax Sched 23'!D6</f>
        <v>64269</v>
      </c>
      <c r="C1762" s="2" t="s">
        <v>573</v>
      </c>
      <c r="D1762" s="2" t="str">
        <f t="shared" si="26"/>
        <v>Error?</v>
      </c>
      <c r="E1762" s="9"/>
    </row>
    <row r="1763" spans="1:5" x14ac:dyDescent="0.2">
      <c r="A1763" s="5">
        <v>1702</v>
      </c>
      <c r="B1763" s="138">
        <f>'Tax Sched 23'!D7</f>
        <v>6303</v>
      </c>
      <c r="C1763" s="2" t="s">
        <v>573</v>
      </c>
      <c r="D1763" s="2" t="str">
        <f t="shared" si="26"/>
        <v>Error?</v>
      </c>
    </row>
    <row r="1764" spans="1:5" x14ac:dyDescent="0.2">
      <c r="A1764" s="5">
        <v>1703</v>
      </c>
      <c r="B1764" s="138">
        <f>'Tax Sched 23'!D8</f>
        <v>15937</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23308</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3076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629620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436915</v>
      </c>
      <c r="C1792" s="2" t="s">
        <v>573</v>
      </c>
      <c r="D1792" s="2" t="str">
        <f t="shared" si="27"/>
        <v>Error?</v>
      </c>
    </row>
    <row r="1793" spans="1:4" x14ac:dyDescent="0.2">
      <c r="A1793" s="5">
        <v>1732</v>
      </c>
      <c r="B1793" s="138">
        <f>'Tax Sched 23'!F5</f>
        <v>33469</v>
      </c>
      <c r="C1793" s="2" t="s">
        <v>573</v>
      </c>
      <c r="D1793" s="2" t="str">
        <f t="shared" si="27"/>
        <v>Error?</v>
      </c>
    </row>
    <row r="1794" spans="1:4" x14ac:dyDescent="0.2">
      <c r="A1794" s="5">
        <v>1733</v>
      </c>
      <c r="B1794" s="138">
        <f>'Tax Sched 23'!F6</f>
        <v>74156</v>
      </c>
      <c r="C1794" s="2" t="s">
        <v>573</v>
      </c>
      <c r="D1794" s="2" t="str">
        <f t="shared" si="27"/>
        <v>Error?</v>
      </c>
    </row>
    <row r="1795" spans="1:4" x14ac:dyDescent="0.2">
      <c r="A1795" s="5">
        <v>1734</v>
      </c>
      <c r="B1795" s="138">
        <f>'Tax Sched 23'!F7</f>
        <v>32498</v>
      </c>
      <c r="C1795" s="2" t="s">
        <v>573</v>
      </c>
      <c r="D1795" s="2" t="str">
        <f t="shared" si="27"/>
        <v>Error?</v>
      </c>
    </row>
    <row r="1796" spans="1:4" x14ac:dyDescent="0.2">
      <c r="A1796" s="5">
        <v>1735</v>
      </c>
      <c r="B1796" s="138">
        <f>'Tax Sched 23'!F8</f>
        <v>19810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31696</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3266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662913</v>
      </c>
      <c r="C1807" s="2" t="s">
        <v>573</v>
      </c>
      <c r="D1807" s="2" t="str">
        <f t="shared" si="27"/>
        <v>Error?</v>
      </c>
    </row>
    <row r="1808" spans="1:4" x14ac:dyDescent="0.2">
      <c r="A1808" s="5">
        <v>1747</v>
      </c>
      <c r="B1808" s="138">
        <f>'Tax Sched 23'!E4</f>
        <v>436915</v>
      </c>
      <c r="D1808" s="2" t="str">
        <f t="shared" si="27"/>
        <v>Error?</v>
      </c>
    </row>
    <row r="1809" spans="1:4" x14ac:dyDescent="0.2">
      <c r="A1809" s="5">
        <v>1748</v>
      </c>
      <c r="B1809" s="138">
        <f>'Tax Sched 23'!E5</f>
        <v>33469</v>
      </c>
      <c r="D1809" s="2" t="str">
        <f t="shared" si="27"/>
        <v>Error?</v>
      </c>
    </row>
    <row r="1810" spans="1:4" x14ac:dyDescent="0.2">
      <c r="A1810" s="5">
        <v>1749</v>
      </c>
      <c r="B1810" s="138">
        <f>'Tax Sched 23'!E6</f>
        <v>74156</v>
      </c>
      <c r="D1810" s="2" t="str">
        <f t="shared" si="27"/>
        <v>Error?</v>
      </c>
    </row>
    <row r="1811" spans="1:4" x14ac:dyDescent="0.2">
      <c r="A1811" s="5">
        <v>1750</v>
      </c>
      <c r="B1811" s="138">
        <f>'Tax Sched 23'!E7</f>
        <v>32498</v>
      </c>
      <c r="D1811" s="2" t="str">
        <f t="shared" si="27"/>
        <v>Error?</v>
      </c>
    </row>
    <row r="1812" spans="1:4" x14ac:dyDescent="0.2">
      <c r="A1812" s="5">
        <v>1751</v>
      </c>
      <c r="B1812" s="138">
        <f>'Tax Sched 23'!E8</f>
        <v>19810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31696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3266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662913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392117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3076</v>
      </c>
      <c r="D1972" s="2" t="str">
        <f t="shared" si="29"/>
        <v>Error?</v>
      </c>
    </row>
    <row r="1973" spans="1:5" x14ac:dyDescent="0.2">
      <c r="A1973" s="5">
        <v>1912</v>
      </c>
      <c r="B1973" s="138">
        <f>'Rest Tax Levies-Tort Im 25'!H6</f>
        <v>9</v>
      </c>
      <c r="D1973" s="2" t="str">
        <f t="shared" si="29"/>
        <v>Error?</v>
      </c>
    </row>
    <row r="1974" spans="1:5" x14ac:dyDescent="0.2">
      <c r="A1974" s="5">
        <v>1913</v>
      </c>
      <c r="B1974" s="138">
        <f>'Rest Tax Levies-Tort Im 25'!H10</f>
        <v>34</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3119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3119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4649481</v>
      </c>
      <c r="D2009" s="2" t="str">
        <f t="shared" si="30"/>
        <v>Error?</v>
      </c>
    </row>
    <row r="2010" spans="1:4" x14ac:dyDescent="0.2">
      <c r="A2010" s="5">
        <v>1949</v>
      </c>
      <c r="B2010" s="138">
        <f>'Cap Outlay Deprec 26'!C10</f>
        <v>134030</v>
      </c>
      <c r="D2010" s="2" t="str">
        <f t="shared" si="30"/>
        <v>Error?</v>
      </c>
    </row>
    <row r="2011" spans="1:4" x14ac:dyDescent="0.2">
      <c r="A2011" s="5">
        <v>1950</v>
      </c>
      <c r="B2011" s="138">
        <f>'Cap Outlay Deprec 26'!C12</f>
        <v>803981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5592492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16843</v>
      </c>
      <c r="D2015" s="2" t="str">
        <f t="shared" si="30"/>
        <v>Error?</v>
      </c>
    </row>
    <row r="2016" spans="1:4" x14ac:dyDescent="0.2">
      <c r="A2016" s="5">
        <v>1955</v>
      </c>
      <c r="B2016" s="138">
        <f>'Cap Outlay Deprec 26'!D10</f>
        <v>13180</v>
      </c>
      <c r="D2016" s="2" t="str">
        <f t="shared" si="30"/>
        <v>Error?</v>
      </c>
    </row>
    <row r="2017" spans="1:4" x14ac:dyDescent="0.2">
      <c r="A2017" s="5">
        <v>1956</v>
      </c>
      <c r="B2017" s="138">
        <f>'Cap Outlay Deprec 26'!D12</f>
        <v>70638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100661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60161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60161</v>
      </c>
      <c r="C2025" s="2" t="s">
        <v>573</v>
      </c>
      <c r="D2025" s="2" t="str">
        <f t="shared" si="30"/>
        <v>Error?</v>
      </c>
    </row>
    <row r="2026" spans="1:4" x14ac:dyDescent="0.2">
      <c r="A2026" s="5">
        <v>1965</v>
      </c>
      <c r="B2026" s="138">
        <f>'Cap Outlay Deprec 26'!F5</f>
        <v>5000</v>
      </c>
      <c r="C2026" s="2" t="s">
        <v>573</v>
      </c>
      <c r="D2026" s="2" t="str">
        <f t="shared" si="30"/>
        <v>Error?</v>
      </c>
    </row>
    <row r="2027" spans="1:4" x14ac:dyDescent="0.2">
      <c r="A2027" s="5">
        <v>1966</v>
      </c>
      <c r="B2027" s="138">
        <f>'Cap Outlay Deprec 26'!F8</f>
        <v>4666324</v>
      </c>
      <c r="C2027" s="2" t="s">
        <v>573</v>
      </c>
      <c r="D2027" s="2" t="str">
        <f t="shared" si="30"/>
        <v>Error?</v>
      </c>
    </row>
    <row r="2028" spans="1:4" x14ac:dyDescent="0.2">
      <c r="A2028" s="5">
        <v>1967</v>
      </c>
      <c r="B2028" s="138">
        <f>'Cap Outlay Deprec 26'!F10</f>
        <v>147210</v>
      </c>
      <c r="C2028" s="2" t="s">
        <v>573</v>
      </c>
      <c r="D2028" s="2" t="str">
        <f t="shared" si="30"/>
        <v>Error?</v>
      </c>
    </row>
    <row r="2029" spans="1:4" x14ac:dyDescent="0.2">
      <c r="A2029" s="5">
        <v>1968</v>
      </c>
      <c r="B2029" s="138">
        <f>'Cap Outlay Deprec 26'!F12</f>
        <v>814458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5632992</v>
      </c>
      <c r="C2031" s="2" t="s">
        <v>573</v>
      </c>
      <c r="D2031" s="2" t="str">
        <f t="shared" si="30"/>
        <v>Error?</v>
      </c>
    </row>
    <row r="2032" spans="1:4" x14ac:dyDescent="0.2">
      <c r="A2032" s="10">
        <v>1971</v>
      </c>
      <c r="D2032" s="2" t="str">
        <f t="shared" si="30"/>
        <v>OK</v>
      </c>
    </row>
    <row r="2033" spans="1:4" x14ac:dyDescent="0.2">
      <c r="A2033" s="5">
        <v>1972</v>
      </c>
      <c r="B2033" s="138">
        <f>'Cap Outlay Deprec 26'!H8</f>
        <v>2022163</v>
      </c>
      <c r="D2033" s="2" t="str">
        <f t="shared" si="30"/>
        <v>Error?</v>
      </c>
    </row>
    <row r="2034" spans="1:4" x14ac:dyDescent="0.2">
      <c r="A2034" s="5">
        <v>1973</v>
      </c>
      <c r="B2034" s="138">
        <f>'Cap Outlay Deprec 26'!H10</f>
        <v>96129</v>
      </c>
      <c r="D2034" s="2" t="str">
        <f t="shared" si="30"/>
        <v>Error?</v>
      </c>
    </row>
    <row r="2035" spans="1:4" x14ac:dyDescent="0.2">
      <c r="A2035" s="5">
        <v>1974</v>
      </c>
      <c r="B2035" s="138">
        <f>'Cap Outlay Deprec 26'!H12</f>
        <v>699506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2817798</v>
      </c>
      <c r="C2037" s="2" t="s">
        <v>573</v>
      </c>
      <c r="D2037" s="2" t="str">
        <f t="shared" si="30"/>
        <v>Error?</v>
      </c>
    </row>
    <row r="2038" spans="1:4" x14ac:dyDescent="0.2">
      <c r="A2038" s="10">
        <v>1977</v>
      </c>
      <c r="D2038" s="2" t="str">
        <f t="shared" si="30"/>
        <v>OK</v>
      </c>
    </row>
    <row r="2039" spans="1:4" x14ac:dyDescent="0.2">
      <c r="A2039" s="5">
        <v>1978</v>
      </c>
      <c r="B2039" s="138">
        <f>'Cap Outlay Deprec 26'!I8</f>
        <v>95255</v>
      </c>
      <c r="D2039" s="2" t="str">
        <f t="shared" si="30"/>
        <v>Error?</v>
      </c>
    </row>
    <row r="2040" spans="1:4" x14ac:dyDescent="0.2">
      <c r="A2040" s="5">
        <v>1979</v>
      </c>
      <c r="B2040" s="138">
        <f>'Cap Outlay Deprec 26'!I10</f>
        <v>5177</v>
      </c>
      <c r="D2040" s="2" t="str">
        <f t="shared" si="30"/>
        <v>Error?</v>
      </c>
    </row>
    <row r="2041" spans="1:4" x14ac:dyDescent="0.2">
      <c r="A2041" s="5">
        <v>1980</v>
      </c>
      <c r="B2041" s="138">
        <f>'Cap Outlay Deprec 26'!I12</f>
        <v>28538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128970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48576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48576</v>
      </c>
      <c r="C2049" s="2" t="s">
        <v>573</v>
      </c>
      <c r="D2049" s="2" t="str">
        <f t="shared" si="31"/>
        <v>Error?</v>
      </c>
    </row>
    <row r="2050" spans="1:4" x14ac:dyDescent="0.2">
      <c r="A2050" s="10">
        <v>1989</v>
      </c>
      <c r="D2050" s="2" t="str">
        <f t="shared" si="31"/>
        <v>OK</v>
      </c>
    </row>
    <row r="2051" spans="1:4" x14ac:dyDescent="0.2">
      <c r="A2051" s="5">
        <v>1990</v>
      </c>
      <c r="B2051" s="138">
        <f>'Cap Outlay Deprec 26'!K8</f>
        <v>2117418</v>
      </c>
      <c r="C2051" s="2" t="s">
        <v>573</v>
      </c>
      <c r="D2051" s="2" t="str">
        <f t="shared" si="31"/>
        <v>Error?</v>
      </c>
    </row>
    <row r="2052" spans="1:4" x14ac:dyDescent="0.2">
      <c r="A2052" s="5">
        <v>1991</v>
      </c>
      <c r="B2052" s="138">
        <f>'Cap Outlay Deprec 26'!K10</f>
        <v>101306</v>
      </c>
      <c r="C2052" s="2" t="s">
        <v>573</v>
      </c>
      <c r="D2052" s="2" t="str">
        <f t="shared" si="31"/>
        <v>Error?</v>
      </c>
    </row>
    <row r="2053" spans="1:4" x14ac:dyDescent="0.2">
      <c r="A2053" s="5">
        <v>1992</v>
      </c>
      <c r="B2053" s="138">
        <f>'Cap Outlay Deprec 26'!K12</f>
        <v>679468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2898192</v>
      </c>
      <c r="C2055" s="2" t="s">
        <v>573</v>
      </c>
      <c r="D2055" s="2" t="str">
        <f t="shared" si="31"/>
        <v>Error?</v>
      </c>
    </row>
    <row r="2056" spans="1:4" x14ac:dyDescent="0.2">
      <c r="A2056" s="5">
        <v>1995</v>
      </c>
      <c r="B2056" s="138">
        <f>'Cap Outlay Deprec 26'!L5</f>
        <v>5000</v>
      </c>
      <c r="C2056" s="2" t="s">
        <v>573</v>
      </c>
      <c r="D2056" s="2" t="str">
        <f t="shared" si="31"/>
        <v>Error?</v>
      </c>
    </row>
    <row r="2057" spans="1:4" x14ac:dyDescent="0.2">
      <c r="A2057" s="5">
        <v>1996</v>
      </c>
      <c r="B2057" s="138">
        <f>'Cap Outlay Deprec 26'!L8</f>
        <v>2548906</v>
      </c>
      <c r="C2057" s="2" t="s">
        <v>573</v>
      </c>
      <c r="D2057" s="2" t="str">
        <f t="shared" si="31"/>
        <v>Error?</v>
      </c>
    </row>
    <row r="2058" spans="1:4" x14ac:dyDescent="0.2">
      <c r="A2058" s="5">
        <v>1997</v>
      </c>
      <c r="B2058" s="138">
        <f>'Cap Outlay Deprec 26'!L10</f>
        <v>45904</v>
      </c>
      <c r="C2058" s="2" t="s">
        <v>573</v>
      </c>
      <c r="D2058" s="2" t="str">
        <f t="shared" si="31"/>
        <v>Error?</v>
      </c>
    </row>
    <row r="2059" spans="1:4" x14ac:dyDescent="0.2">
      <c r="A2059" s="5">
        <v>1998</v>
      </c>
      <c r="B2059" s="138">
        <f>'Cap Outlay Deprec 26'!L12</f>
        <v>134990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2734800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37920</v>
      </c>
      <c r="C2088" s="2" t="s">
        <v>573</v>
      </c>
      <c r="D2088" s="2" t="str">
        <f t="shared" si="31"/>
        <v>Error?</v>
      </c>
    </row>
    <row r="2089" spans="1:4" x14ac:dyDescent="0.2">
      <c r="A2089" s="5">
        <v>2028</v>
      </c>
      <c r="B2089" s="138">
        <f>'Expenditures 15-22'!K92</f>
        <v>169026</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112450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24440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591009</v>
      </c>
      <c r="C2551" s="2" t="s">
        <v>573</v>
      </c>
      <c r="D2551" s="2" t="str">
        <f t="shared" si="38"/>
        <v>Error?</v>
      </c>
    </row>
    <row r="2552" spans="1:4" x14ac:dyDescent="0.2">
      <c r="A2552" s="10">
        <v>2491</v>
      </c>
      <c r="D2552" s="2" t="str">
        <f t="shared" si="38"/>
        <v>OK</v>
      </c>
    </row>
    <row r="2553" spans="1:4" x14ac:dyDescent="0.2">
      <c r="A2553" s="5">
        <v>2492</v>
      </c>
      <c r="B2553" s="138">
        <f>'Acct Summary 7-8'!C6</f>
        <v>1748283</v>
      </c>
      <c r="C2553" s="2" t="s">
        <v>573</v>
      </c>
      <c r="D2553" s="2" t="str">
        <f t="shared" si="38"/>
        <v>Error?</v>
      </c>
    </row>
    <row r="2554" spans="1:4" x14ac:dyDescent="0.2">
      <c r="A2554" s="5">
        <v>2493</v>
      </c>
      <c r="B2554" s="138">
        <f>'Acct Summary 7-8'!C7</f>
        <v>267943</v>
      </c>
      <c r="C2554" s="2" t="s">
        <v>573</v>
      </c>
      <c r="D2554" s="2" t="str">
        <f t="shared" si="38"/>
        <v>Error?</v>
      </c>
    </row>
    <row r="2555" spans="1:4" x14ac:dyDescent="0.2">
      <c r="A2555" s="5">
        <v>2494</v>
      </c>
      <c r="B2555" s="138">
        <f>'Acct Summary 7-8'!C8</f>
        <v>2607235</v>
      </c>
      <c r="C2555" s="2" t="s">
        <v>573</v>
      </c>
      <c r="D2555" s="2" t="str">
        <f t="shared" si="38"/>
        <v>Error?</v>
      </c>
    </row>
    <row r="2556" spans="1:4" x14ac:dyDescent="0.2">
      <c r="A2556" s="5">
        <v>2495</v>
      </c>
      <c r="B2556" s="138">
        <f>'Acct Summary 7-8'!C12</f>
        <v>1814365</v>
      </c>
      <c r="C2556" s="2" t="s">
        <v>573</v>
      </c>
      <c r="D2556" s="2" t="str">
        <f t="shared" si="38"/>
        <v>Error?</v>
      </c>
    </row>
    <row r="2557" spans="1:4" x14ac:dyDescent="0.2">
      <c r="A2557" s="5">
        <v>2496</v>
      </c>
      <c r="B2557" s="138">
        <f>'Acct Summary 7-8'!C13</f>
        <v>613962</v>
      </c>
      <c r="C2557" s="2" t="s">
        <v>573</v>
      </c>
      <c r="D2557" s="2" t="str">
        <f t="shared" si="38"/>
        <v>Error?</v>
      </c>
    </row>
    <row r="2558" spans="1:4" x14ac:dyDescent="0.2">
      <c r="A2558" s="5">
        <v>2497</v>
      </c>
      <c r="B2558" s="138">
        <f>'Acct Summary 7-8'!C14</f>
        <v>14325</v>
      </c>
      <c r="C2558" s="2" t="s">
        <v>573</v>
      </c>
      <c r="D2558" s="2" t="str">
        <f t="shared" si="38"/>
        <v>Error?</v>
      </c>
    </row>
    <row r="2559" spans="1:4" x14ac:dyDescent="0.2">
      <c r="A2559" s="5">
        <v>2498</v>
      </c>
      <c r="B2559" s="138">
        <f>'Acct Summary 7-8'!C15</f>
        <v>206946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2649598</v>
      </c>
      <c r="C2561" s="2" t="s">
        <v>573</v>
      </c>
      <c r="D2561" s="2" t="str">
        <f t="shared" si="39"/>
        <v>Error?</v>
      </c>
    </row>
    <row r="2562" spans="1:4" x14ac:dyDescent="0.2">
      <c r="A2562" s="5">
        <v>2501</v>
      </c>
      <c r="B2562" s="138">
        <f>'Acct Summary 7-8'!C20</f>
        <v>-42363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36547</v>
      </c>
      <c r="C2564" s="2" t="s">
        <v>573</v>
      </c>
      <c r="D2564" s="2" t="str">
        <f t="shared" si="39"/>
        <v>Error?</v>
      </c>
    </row>
    <row r="2565" spans="1:4" x14ac:dyDescent="0.2">
      <c r="A2565" s="10">
        <v>2504</v>
      </c>
      <c r="D2565" s="2" t="str">
        <f t="shared" si="39"/>
        <v>OK</v>
      </c>
    </row>
    <row r="2566" spans="1:4" x14ac:dyDescent="0.2">
      <c r="A2566" s="5">
        <v>2505</v>
      </c>
      <c r="B2566" s="138">
        <f>'Acct Summary 7-8'!D6</f>
        <v>25000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61547</v>
      </c>
      <c r="C2568" s="2" t="s">
        <v>573</v>
      </c>
      <c r="D2568" s="2" t="str">
        <f t="shared" si="39"/>
        <v>Error?</v>
      </c>
    </row>
    <row r="2569" spans="1:4" x14ac:dyDescent="0.2">
      <c r="A2569" s="5">
        <v>2508</v>
      </c>
      <c r="B2569" s="138">
        <f>'Acct Summary 7-8'!D13</f>
        <v>185358</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185358</v>
      </c>
      <c r="C2573" s="2" t="s">
        <v>573</v>
      </c>
      <c r="D2573" s="2" t="str">
        <f t="shared" si="39"/>
        <v>Error?</v>
      </c>
    </row>
    <row r="2574" spans="1:4" x14ac:dyDescent="0.2">
      <c r="A2574" s="5">
        <v>2513</v>
      </c>
      <c r="B2574" s="138">
        <f>'Acct Summary 7-8'!D20</f>
        <v>-123811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12903</v>
      </c>
      <c r="C2591" s="2" t="s">
        <v>573</v>
      </c>
      <c r="D2591" s="2" t="str">
        <f t="shared" si="39"/>
        <v>Error?</v>
      </c>
    </row>
    <row r="2592" spans="1:4" x14ac:dyDescent="0.2">
      <c r="A2592" s="10">
        <v>2531</v>
      </c>
      <c r="D2592" s="2" t="str">
        <f t="shared" si="39"/>
        <v>OK</v>
      </c>
    </row>
    <row r="2593" spans="1:4" x14ac:dyDescent="0.2">
      <c r="A2593" s="5">
        <v>2532</v>
      </c>
      <c r="B2593" s="138">
        <f>'Acct Summary 7-8'!F6</f>
        <v>158192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171095</v>
      </c>
      <c r="C2595" s="2" t="s">
        <v>573</v>
      </c>
      <c r="D2595" s="2" t="str">
        <f t="shared" si="39"/>
        <v>Error?</v>
      </c>
    </row>
    <row r="2596" spans="1:4" x14ac:dyDescent="0.2">
      <c r="A2596" s="5">
        <v>2535</v>
      </c>
      <c r="B2596" s="138">
        <f>'Acct Summary 7-8'!F13</f>
        <v>245470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245470</v>
      </c>
      <c r="C2600" s="2" t="s">
        <v>573</v>
      </c>
      <c r="D2600" s="2" t="str">
        <f t="shared" si="39"/>
        <v>Error?</v>
      </c>
    </row>
    <row r="2601" spans="1:4" x14ac:dyDescent="0.2">
      <c r="A2601" s="5">
        <v>2540</v>
      </c>
      <c r="B2601" s="138">
        <f>'Acct Summary 7-8'!F20</f>
        <v>-74375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62211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62211</v>
      </c>
      <c r="C2606" s="2" t="s">
        <v>573</v>
      </c>
      <c r="D2606" s="2" t="str">
        <f t="shared" si="39"/>
        <v>Error?</v>
      </c>
    </row>
    <row r="2607" spans="1:4" x14ac:dyDescent="0.2">
      <c r="A2607" s="5">
        <v>2546</v>
      </c>
      <c r="B2607" s="138">
        <f>'Acct Summary 7-8'!G12</f>
        <v>37781</v>
      </c>
      <c r="C2607" s="2" t="s">
        <v>573</v>
      </c>
      <c r="D2607" s="2" t="str">
        <f t="shared" si="39"/>
        <v>Error?</v>
      </c>
    </row>
    <row r="2608" spans="1:4" x14ac:dyDescent="0.2">
      <c r="A2608" s="5">
        <v>2547</v>
      </c>
      <c r="B2608" s="138">
        <f>'Acct Summary 7-8'!G13</f>
        <v>35067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72848</v>
      </c>
      <c r="C2612" s="2" t="s">
        <v>573</v>
      </c>
      <c r="D2612" s="2" t="str">
        <f t="shared" si="39"/>
        <v>Error?</v>
      </c>
    </row>
    <row r="2613" spans="1:4" x14ac:dyDescent="0.2">
      <c r="A2613" s="5">
        <v>2552</v>
      </c>
      <c r="B2613" s="138">
        <f>'Acct Summary 7-8'!G20</f>
        <v>-10637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65420</v>
      </c>
      <c r="C2630" s="2" t="s">
        <v>573</v>
      </c>
      <c r="D2630" s="2" t="str">
        <f t="shared" si="40"/>
        <v>Error?</v>
      </c>
    </row>
    <row r="2631" spans="1:4" x14ac:dyDescent="0.2">
      <c r="A2631" s="5">
        <v>2570</v>
      </c>
      <c r="B2631" s="138">
        <f>'Acct Summary 7-8'!E6</f>
        <v>800</v>
      </c>
      <c r="C2631" s="2" t="s">
        <v>573</v>
      </c>
      <c r="D2631" s="2" t="str">
        <f t="shared" si="40"/>
        <v>Error?</v>
      </c>
    </row>
    <row r="2632" spans="1:4" x14ac:dyDescent="0.2">
      <c r="A2632" s="5">
        <v>2571</v>
      </c>
      <c r="B2632" s="138">
        <f>'Acct Summary 7-8'!E8</f>
        <v>66220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64714</v>
      </c>
      <c r="C2634" s="2" t="s">
        <v>573</v>
      </c>
      <c r="D2634" s="2" t="str">
        <f t="shared" si="40"/>
        <v>Error?</v>
      </c>
    </row>
    <row r="2635" spans="1:4" x14ac:dyDescent="0.2">
      <c r="A2635" s="5">
        <v>2574</v>
      </c>
      <c r="B2635" s="138">
        <f>'Acct Summary 7-8'!E17</f>
        <v>64714</v>
      </c>
      <c r="C2635" s="2" t="s">
        <v>573</v>
      </c>
      <c r="D2635" s="2" t="str">
        <f t="shared" si="40"/>
        <v>Error?</v>
      </c>
    </row>
    <row r="2636" spans="1:4" x14ac:dyDescent="0.2">
      <c r="A2636" s="5">
        <v>2575</v>
      </c>
      <c r="B2636" s="138">
        <f>'Acct Summary 7-8'!E20</f>
        <v>1506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37920</v>
      </c>
      <c r="C2789" s="2" t="s">
        <v>573</v>
      </c>
      <c r="D2789" s="2" t="str">
        <f t="shared" si="42"/>
        <v>Error?</v>
      </c>
    </row>
    <row r="2790" spans="1:4" x14ac:dyDescent="0.2">
      <c r="A2790" s="5">
        <v>2729</v>
      </c>
      <c r="B2790" s="138">
        <f>'Expenditures 15-22'!E102</f>
        <v>37920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323245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26548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323245</v>
      </c>
      <c r="D2912" s="2" t="str">
        <f t="shared" si="44"/>
        <v>Error?</v>
      </c>
    </row>
    <row r="2913" spans="1:4" x14ac:dyDescent="0.2">
      <c r="A2913" s="5">
        <v>2852</v>
      </c>
      <c r="B2913" s="138">
        <f>'Assets-Liab 5-6'!I41</f>
        <v>323245</v>
      </c>
      <c r="C2913" s="2" t="s">
        <v>573</v>
      </c>
      <c r="D2913" s="2" t="str">
        <f t="shared" si="44"/>
        <v>Error?</v>
      </c>
    </row>
    <row r="2914" spans="1:4" x14ac:dyDescent="0.2">
      <c r="A2914" s="5">
        <v>2853</v>
      </c>
      <c r="B2914" s="138">
        <f>'Assets-Liab 5-6'!L33</f>
        <v>26548</v>
      </c>
      <c r="D2914" s="2" t="str">
        <f t="shared" si="44"/>
        <v>Error?</v>
      </c>
    </row>
    <row r="2915" spans="1:4" x14ac:dyDescent="0.2">
      <c r="A2915" s="10">
        <v>2854</v>
      </c>
      <c r="D2915" s="2" t="str">
        <f t="shared" si="44"/>
        <v>OK</v>
      </c>
    </row>
    <row r="2916" spans="1:4" x14ac:dyDescent="0.2">
      <c r="A2916" s="5">
        <v>2855</v>
      </c>
      <c r="B2916" s="138">
        <f>'Assets-Liab 5-6'!L34</f>
        <v>26548</v>
      </c>
      <c r="C2916" s="2" t="s">
        <v>573</v>
      </c>
      <c r="D2916" s="2" t="str">
        <f t="shared" si="44"/>
        <v>Error?</v>
      </c>
    </row>
    <row r="2917" spans="1:4" x14ac:dyDescent="0.2">
      <c r="A2917" s="5">
        <v>2856</v>
      </c>
      <c r="B2917" s="138">
        <f>'Assets-Liab 5-6'!L41</f>
        <v>26548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37920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37920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52300</v>
      </c>
      <c r="D3055" s="2" t="str">
        <f t="shared" si="46"/>
        <v>Error?</v>
      </c>
    </row>
    <row r="3056" spans="1:4" x14ac:dyDescent="0.2">
      <c r="A3056" s="5">
        <v>2995</v>
      </c>
      <c r="B3056" s="138">
        <f>'Expenditures 15-22'!D10</f>
        <v>10579</v>
      </c>
      <c r="D3056" s="2" t="str">
        <f t="shared" si="46"/>
        <v>Error?</v>
      </c>
    </row>
    <row r="3057" spans="1:4" x14ac:dyDescent="0.2">
      <c r="A3057" s="5">
        <v>2996</v>
      </c>
      <c r="B3057" s="138">
        <f>'Expenditures 15-22'!E10</f>
        <v>10200</v>
      </c>
      <c r="D3057" s="2" t="str">
        <f t="shared" si="46"/>
        <v>Error?</v>
      </c>
    </row>
    <row r="3058" spans="1:4" x14ac:dyDescent="0.2">
      <c r="A3058" s="5">
        <v>2997</v>
      </c>
      <c r="B3058" s="138">
        <f>'Expenditures 15-22'!F10</f>
        <v>37675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110754</v>
      </c>
      <c r="C3062" s="2" t="s">
        <v>573</v>
      </c>
      <c r="D3062" s="2" t="str">
        <f t="shared" si="46"/>
        <v>Error?</v>
      </c>
    </row>
    <row r="3063" spans="1:4" x14ac:dyDescent="0.2">
      <c r="A3063" s="10">
        <v>3002</v>
      </c>
      <c r="D3063" s="2" t="str">
        <f t="shared" si="46"/>
        <v>OK</v>
      </c>
    </row>
    <row r="3064" spans="1:4" x14ac:dyDescent="0.2">
      <c r="A3064" s="5">
        <v>3003</v>
      </c>
      <c r="B3064" s="138">
        <f>'Expenditures 15-22'!D219</f>
        <v>679</v>
      </c>
      <c r="D3064" s="2" t="str">
        <f t="shared" si="46"/>
        <v>Error?</v>
      </c>
    </row>
    <row r="3065" spans="1:4" x14ac:dyDescent="0.2">
      <c r="A3065" s="5">
        <v>3004</v>
      </c>
      <c r="B3065" s="138">
        <f>'Expenditures 15-22'!K219</f>
        <v>679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3826</v>
      </c>
      <c r="C3225" s="2" t="s">
        <v>573</v>
      </c>
      <c r="D3225" s="2" t="str">
        <f t="shared" si="49"/>
        <v>Error?</v>
      </c>
    </row>
    <row r="3226" spans="1:4" x14ac:dyDescent="0.2">
      <c r="A3226" s="5">
        <v>3165</v>
      </c>
      <c r="B3226" s="138">
        <f>'Acct Summary 7-8'!I8</f>
        <v>3826</v>
      </c>
      <c r="C3226" s="2" t="s">
        <v>573</v>
      </c>
      <c r="D3226" s="2" t="str">
        <f t="shared" si="49"/>
        <v>Error?</v>
      </c>
    </row>
    <row r="3227" spans="1:4" x14ac:dyDescent="0.2">
      <c r="A3227" s="5">
        <v>3166</v>
      </c>
      <c r="B3227" s="138">
        <f>'Acct Summary 7-8'!I20</f>
        <v>3826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60000</v>
      </c>
      <c r="C3232" s="2" t="s">
        <v>573</v>
      </c>
      <c r="D3232" s="2" t="str">
        <f t="shared" si="49"/>
        <v>Error?</v>
      </c>
    </row>
    <row r="3233" spans="1:4" x14ac:dyDescent="0.2">
      <c r="A3233" s="5">
        <v>3172</v>
      </c>
      <c r="B3233" s="138">
        <f>'Acct Summary 7-8'!C78</f>
        <v>17637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52450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52450</v>
      </c>
      <c r="C3238" s="2" t="s">
        <v>573</v>
      </c>
      <c r="D3238" s="2" t="str">
        <f t="shared" si="49"/>
        <v>Error?</v>
      </c>
    </row>
    <row r="3239" spans="1:4" x14ac:dyDescent="0.2">
      <c r="A3239" s="5">
        <v>3178</v>
      </c>
      <c r="B3239" s="138">
        <f>'Acct Summary 7-8'!D78</f>
        <v>-71361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-74375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-10637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1506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112450</v>
      </c>
      <c r="C3318" s="2" t="s">
        <v>573</v>
      </c>
      <c r="D3318" s="2" t="str">
        <f t="shared" si="50"/>
        <v>Error?</v>
      </c>
    </row>
    <row r="3319" spans="1:4" x14ac:dyDescent="0.2">
      <c r="A3319" s="5">
        <v>3258</v>
      </c>
      <c r="B3319" s="138">
        <f>'Acct Summary 7-8'!I77</f>
        <v>-112450</v>
      </c>
      <c r="C3319" s="2" t="s">
        <v>573</v>
      </c>
      <c r="D3319" s="2" t="str">
        <f t="shared" si="50"/>
        <v>Error?</v>
      </c>
    </row>
    <row r="3320" spans="1:4" x14ac:dyDescent="0.2">
      <c r="A3320" s="5">
        <v>3259</v>
      </c>
      <c r="B3320" s="138">
        <f>'Acct Summary 7-8'!I78</f>
        <v>-108624</v>
      </c>
      <c r="C3320" s="2" t="s">
        <v>573</v>
      </c>
      <c r="D3320" s="2" t="str">
        <f t="shared" si="50"/>
        <v>Error?</v>
      </c>
    </row>
    <row r="3321" spans="1:4" x14ac:dyDescent="0.2">
      <c r="A3321" s="5">
        <v>3260</v>
      </c>
      <c r="B3321" s="138">
        <f>'Acct Summary 7-8'!I79</f>
        <v>431869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323245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296657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18264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315068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16235</v>
      </c>
      <c r="D3387" s="2" t="str">
        <f t="shared" si="51"/>
        <v>Error?</v>
      </c>
    </row>
    <row r="3388" spans="1:4" x14ac:dyDescent="0.2">
      <c r="A3388" s="5">
        <v>3327</v>
      </c>
      <c r="B3388" s="138">
        <f>'Expenditures 15-22'!D217</f>
        <v>20867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16235</v>
      </c>
      <c r="C3390" s="2" t="s">
        <v>573</v>
      </c>
      <c r="D3390" s="2" t="str">
        <f t="shared" si="51"/>
        <v>Error?</v>
      </c>
    </row>
    <row r="3391" spans="1:4" x14ac:dyDescent="0.2">
      <c r="A3391" s="5">
        <v>3330</v>
      </c>
      <c r="B3391" s="138">
        <f>'Expenditures 15-22'!K217</f>
        <v>20867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1412079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206223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24498</v>
      </c>
      <c r="D3417" s="2" t="str">
        <f t="shared" si="52"/>
        <v>Error?</v>
      </c>
    </row>
    <row r="3418" spans="1:4" x14ac:dyDescent="0.2">
      <c r="A3418" s="10">
        <v>3357</v>
      </c>
      <c r="D3418" s="2" t="str">
        <f t="shared" si="52"/>
        <v>OK</v>
      </c>
    </row>
    <row r="3419" spans="1:4" x14ac:dyDescent="0.2">
      <c r="A3419" s="5">
        <v>3358</v>
      </c>
      <c r="B3419" s="138">
        <f>'Assets-Liab 5-6'!F4</f>
        <v>382812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48123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323245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26548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39844</v>
      </c>
      <c r="C3446" s="2" t="s">
        <v>573</v>
      </c>
      <c r="D3446" s="2" t="str">
        <f t="shared" si="52"/>
        <v>Error?</v>
      </c>
    </row>
    <row r="3447" spans="1:4" x14ac:dyDescent="0.2">
      <c r="A3447" s="5">
        <v>3386</v>
      </c>
      <c r="B3447" s="138">
        <f>'Tax Sched 23'!D16</f>
        <v>39844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31103</v>
      </c>
      <c r="C3449" s="2" t="s">
        <v>573</v>
      </c>
      <c r="D3449" s="2" t="str">
        <f t="shared" si="52"/>
        <v>Error?</v>
      </c>
    </row>
    <row r="3450" spans="1:4" x14ac:dyDescent="0.2">
      <c r="A3450" s="5">
        <v>3389</v>
      </c>
      <c r="B3450" s="138">
        <f>'Tax Sched 23'!E16</f>
        <v>31103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2539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2539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2539</v>
      </c>
      <c r="D3567" s="2" t="str">
        <f t="shared" si="54"/>
        <v>Error?</v>
      </c>
    </row>
    <row r="3568" spans="1:4" x14ac:dyDescent="0.2">
      <c r="A3568" s="5">
        <v>3507</v>
      </c>
      <c r="B3568" s="138">
        <f>'Assets-Liab 5-6'!K41</f>
        <v>2539</v>
      </c>
      <c r="C3568" s="2" t="s">
        <v>573</v>
      </c>
      <c r="D3568" s="2" t="str">
        <f t="shared" si="54"/>
        <v>Error?</v>
      </c>
    </row>
    <row r="3569" spans="1:4" x14ac:dyDescent="0.2">
      <c r="A3569" s="5">
        <v>3508</v>
      </c>
      <c r="B3569" s="138">
        <f>'Acct Summary 7-8'!K4</f>
        <v>43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43</v>
      </c>
      <c r="C3571" s="2" t="s">
        <v>573</v>
      </c>
      <c r="D3571" s="2" t="str">
        <f t="shared" si="54"/>
        <v>Error?</v>
      </c>
    </row>
    <row r="3572" spans="1:4" x14ac:dyDescent="0.2">
      <c r="A3572" s="5">
        <v>3511</v>
      </c>
      <c r="B3572" s="138">
        <f>'Acct Summary 7-8'!K13</f>
        <v>3689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3689</v>
      </c>
      <c r="C3575" s="2" t="s">
        <v>573</v>
      </c>
      <c r="D3575" s="2" t="str">
        <f t="shared" si="54"/>
        <v>Error?</v>
      </c>
    </row>
    <row r="3576" spans="1:4" x14ac:dyDescent="0.2">
      <c r="A3576" s="5">
        <v>3515</v>
      </c>
      <c r="B3576" s="138">
        <f>'Acct Summary 7-8'!K20</f>
        <v>-3646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-3646</v>
      </c>
      <c r="C3588" s="2" t="s">
        <v>573</v>
      </c>
      <c r="D3588" s="2" t="str">
        <f t="shared" si="55"/>
        <v>Error?</v>
      </c>
    </row>
    <row r="3589" spans="1:4" x14ac:dyDescent="0.2">
      <c r="A3589" s="5">
        <v>3528</v>
      </c>
      <c r="B3589" s="138">
        <f>'Acct Summary 7-8'!K79</f>
        <v>6185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2539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3259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3259</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3259</v>
      </c>
      <c r="C3636" s="2" t="s">
        <v>573</v>
      </c>
      <c r="D3636" s="2" t="str">
        <f t="shared" si="55"/>
        <v>Error?</v>
      </c>
    </row>
    <row r="3637" spans="1:4" x14ac:dyDescent="0.2">
      <c r="A3637" s="10">
        <v>3576</v>
      </c>
      <c r="D3637" s="2" t="str">
        <f t="shared" si="55"/>
        <v>OK</v>
      </c>
    </row>
    <row r="3638" spans="1:4" x14ac:dyDescent="0.2">
      <c r="A3638" s="5">
        <v>3577</v>
      </c>
      <c r="B3638" s="138">
        <f>'Expenditures 15-22'!F348</f>
        <v>430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430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430</v>
      </c>
      <c r="C3642" s="2" t="s">
        <v>573</v>
      </c>
      <c r="D3642" s="2" t="str">
        <f t="shared" si="55"/>
        <v>Error?</v>
      </c>
    </row>
    <row r="3643" spans="1:4" x14ac:dyDescent="0.2">
      <c r="A3643" s="5">
        <v>3582</v>
      </c>
      <c r="B3643" s="138">
        <f>'Expenditures 15-22'!F367</f>
        <v>430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3689</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3689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3689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3689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-3646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123532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1073614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3680849</v>
      </c>
      <c r="C4122" s="2" t="s">
        <v>573</v>
      </c>
      <c r="D4122" s="2" t="str">
        <f t="shared" si="63"/>
        <v>Error?</v>
      </c>
    </row>
    <row r="4123" spans="1:4" x14ac:dyDescent="0.2">
      <c r="A4123" s="5">
        <v>4062</v>
      </c>
      <c r="B4123" s="138">
        <f>'Acct Summary 7-8'!D10</f>
        <v>61547</v>
      </c>
      <c r="C4123" s="2" t="s">
        <v>573</v>
      </c>
      <c r="D4123" s="2" t="str">
        <f t="shared" si="63"/>
        <v>Error?</v>
      </c>
    </row>
    <row r="4124" spans="1:4" x14ac:dyDescent="0.2">
      <c r="A4124" s="5">
        <v>4063</v>
      </c>
      <c r="B4124" s="138">
        <f>'Acct Summary 7-8'!E10</f>
        <v>66220</v>
      </c>
      <c r="C4124" s="2" t="s">
        <v>573</v>
      </c>
      <c r="D4124" s="2" t="str">
        <f t="shared" si="63"/>
        <v>Error?</v>
      </c>
    </row>
    <row r="4125" spans="1:4" x14ac:dyDescent="0.2">
      <c r="A4125" s="5">
        <v>4064</v>
      </c>
      <c r="B4125" s="138">
        <f>'Acct Summary 7-8'!F10</f>
        <v>171095</v>
      </c>
      <c r="C4125" s="2" t="s">
        <v>573</v>
      </c>
      <c r="D4125" s="2" t="str">
        <f t="shared" si="63"/>
        <v>Error?</v>
      </c>
    </row>
    <row r="4126" spans="1:4" x14ac:dyDescent="0.2">
      <c r="A4126" s="5">
        <v>4065</v>
      </c>
      <c r="B4126" s="138">
        <f>'Acct Summary 7-8'!G10</f>
        <v>62211</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3826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43</v>
      </c>
      <c r="C4130" s="2" t="s">
        <v>573</v>
      </c>
      <c r="D4130" s="2" t="str">
        <f t="shared" si="63"/>
        <v>Error?</v>
      </c>
    </row>
    <row r="4131" spans="1:4" x14ac:dyDescent="0.2">
      <c r="A4131" s="5">
        <v>4070</v>
      </c>
      <c r="B4131" s="138">
        <f>'Acct Summary 7-8'!C18</f>
        <v>1073614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3723212</v>
      </c>
      <c r="C4136" s="2" t="s">
        <v>573</v>
      </c>
      <c r="D4136" s="2" t="str">
        <f t="shared" si="63"/>
        <v>Error?</v>
      </c>
    </row>
    <row r="4137" spans="1:4" x14ac:dyDescent="0.2">
      <c r="A4137" s="5">
        <v>4076</v>
      </c>
      <c r="B4137" s="138">
        <f>'Acct Summary 7-8'!D19</f>
        <v>185358</v>
      </c>
      <c r="C4137" s="2" t="s">
        <v>573</v>
      </c>
      <c r="D4137" s="2" t="str">
        <f t="shared" si="63"/>
        <v>Error?</v>
      </c>
    </row>
    <row r="4138" spans="1:4" x14ac:dyDescent="0.2">
      <c r="A4138" s="5">
        <v>4077</v>
      </c>
      <c r="B4138" s="138">
        <f>'Acct Summary 7-8'!E19</f>
        <v>64714</v>
      </c>
      <c r="C4138" s="2" t="s">
        <v>573</v>
      </c>
      <c r="D4138" s="2" t="str">
        <f t="shared" si="63"/>
        <v>Error?</v>
      </c>
    </row>
    <row r="4139" spans="1:4" x14ac:dyDescent="0.2">
      <c r="A4139" s="5">
        <v>4078</v>
      </c>
      <c r="B4139" s="138">
        <f>'Acct Summary 7-8'!F19</f>
        <v>245470</v>
      </c>
      <c r="C4139" s="2" t="s">
        <v>573</v>
      </c>
      <c r="D4139" s="2" t="str">
        <f t="shared" si="63"/>
        <v>Error?</v>
      </c>
    </row>
    <row r="4140" spans="1:4" x14ac:dyDescent="0.2">
      <c r="A4140" s="5">
        <v>4079</v>
      </c>
      <c r="B4140" s="138">
        <f>'Acct Summary 7-8'!G19</f>
        <v>72848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3689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329000</v>
      </c>
      <c r="C4171" s="2" t="s">
        <v>573</v>
      </c>
      <c r="D4171" s="2" t="str">
        <f t="shared" si="64"/>
        <v>Error?</v>
      </c>
    </row>
    <row r="4172" spans="1:4" x14ac:dyDescent="0.2">
      <c r="A4172" s="5">
        <v>4111</v>
      </c>
      <c r="B4172" s="138">
        <f>'Short-Term Long-Term Debt 24'!J49</f>
        <v>304502</v>
      </c>
      <c r="C4172" s="2" t="s">
        <v>573</v>
      </c>
      <c r="D4172" s="2" t="str">
        <f t="shared" si="64"/>
        <v>Error?</v>
      </c>
    </row>
    <row r="4173" spans="1:4" x14ac:dyDescent="0.2">
      <c r="A4173" s="5">
        <v>4112</v>
      </c>
      <c r="B4173" s="138">
        <f>'Short-Term Long-Term Debt 24'!H49</f>
        <v>63117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1296.4399999999998</v>
      </c>
      <c r="C4265" s="2" t="s">
        <v>573</v>
      </c>
      <c r="D4265" s="2" t="str">
        <f t="shared" si="65"/>
        <v>Error?</v>
      </c>
      <c r="E4265" s="128"/>
    </row>
    <row r="4266" spans="1:5" x14ac:dyDescent="0.2">
      <c r="A4266" s="12">
        <v>4205</v>
      </c>
      <c r="B4266" s="138">
        <f>('FP Info 3'!F10)*100000</f>
        <v>993.1</v>
      </c>
      <c r="C4266" s="2" t="s">
        <v>573</v>
      </c>
      <c r="D4266" s="2" t="str">
        <f t="shared" si="65"/>
        <v>Error?</v>
      </c>
      <c r="E4266" s="128"/>
    </row>
    <row r="4267" spans="1:5" x14ac:dyDescent="0.2">
      <c r="A4267" s="12">
        <v>4206</v>
      </c>
      <c r="B4267" s="138">
        <f>('FP Info 3'!H10)*100000</f>
        <v>964.30000000000007</v>
      </c>
      <c r="C4267" s="2" t="s">
        <v>573</v>
      </c>
      <c r="D4267" s="2" t="str">
        <f t="shared" si="65"/>
        <v>Error?</v>
      </c>
      <c r="E4267" s="128"/>
    </row>
    <row r="4268" spans="1:5" x14ac:dyDescent="0.2">
      <c r="A4268" s="12">
        <v>4207</v>
      </c>
      <c r="B4268" s="138">
        <f>('FP Info 3'!J10)*100000</f>
        <v>3254</v>
      </c>
      <c r="C4268" s="2" t="s">
        <v>573</v>
      </c>
      <c r="D4268" s="2" t="str">
        <f t="shared" si="65"/>
        <v>Error?</v>
      </c>
    </row>
    <row r="4269" spans="1:5" x14ac:dyDescent="0.2">
      <c r="A4269" s="12">
        <v>4208</v>
      </c>
      <c r="B4269" s="138">
        <f>'FP Info 3'!J16</f>
        <v>2324359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1697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5831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10614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12982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40958</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33701131</v>
      </c>
      <c r="D4995" s="2" t="str">
        <f t="shared" si="77"/>
        <v>Error?</v>
      </c>
    </row>
    <row r="4996" spans="1:4" x14ac:dyDescent="0.2">
      <c r="A4996" s="12">
        <v>4935</v>
      </c>
      <c r="B4996" s="138">
        <f>'FP Info 3'!H31</f>
        <v>2325378.0390000003</v>
      </c>
      <c r="D4996" s="2" t="str">
        <f t="shared" si="77"/>
        <v>Error?</v>
      </c>
    </row>
    <row r="4997" spans="1:4" x14ac:dyDescent="0.2">
      <c r="A4997" s="12">
        <v>4936</v>
      </c>
      <c r="B4997" s="138">
        <f>'FP Info 3'!H37</f>
        <v>329000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453815</v>
      </c>
      <c r="D5061" s="2" t="str">
        <f t="shared" si="78"/>
        <v>Error?</v>
      </c>
    </row>
    <row r="5062" spans="1:4" x14ac:dyDescent="0.2">
      <c r="A5062" s="10">
        <v>5001</v>
      </c>
      <c r="D5062" s="2" t="str">
        <f t="shared" si="78"/>
        <v>OK</v>
      </c>
    </row>
    <row r="5063" spans="1:4" x14ac:dyDescent="0.2">
      <c r="A5063" s="5">
        <v>5002</v>
      </c>
      <c r="B5063" s="138">
        <f>'Revenues 9-14'!C7</f>
        <v>3076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456891</v>
      </c>
      <c r="C5066" s="2" t="s">
        <v>573</v>
      </c>
      <c r="D5066" s="2" t="str">
        <f t="shared" si="78"/>
        <v>Error?</v>
      </c>
    </row>
    <row r="5067" spans="1:4" x14ac:dyDescent="0.2">
      <c r="A5067" s="5">
        <v>5006</v>
      </c>
      <c r="B5067" s="138">
        <f>'Revenues 9-14'!C14</f>
        <v>5050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39609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44659</v>
      </c>
      <c r="C5071" s="2" t="s">
        <v>573</v>
      </c>
      <c r="D5071" s="2" t="str">
        <f t="shared" si="78"/>
        <v>Error?</v>
      </c>
    </row>
    <row r="5072" spans="1:4" x14ac:dyDescent="0.2">
      <c r="A5072" s="5">
        <v>5011</v>
      </c>
      <c r="B5072" s="138">
        <f>'Revenues 9-14'!C20</f>
        <v>6435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6435</v>
      </c>
      <c r="C5087" s="2" t="s">
        <v>573</v>
      </c>
      <c r="D5087" s="2" t="str">
        <f t="shared" si="78"/>
        <v>Error?</v>
      </c>
    </row>
    <row r="5088" spans="1:4" x14ac:dyDescent="0.2">
      <c r="A5088" s="5">
        <v>5027</v>
      </c>
      <c r="B5088" s="138">
        <f>'Revenues 9-14'!C65</f>
        <v>17812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17812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2323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51141</v>
      </c>
      <c r="C5096" s="2" t="s">
        <v>573</v>
      </c>
      <c r="D5096" s="2" t="str">
        <f t="shared" si="78"/>
        <v>Error?</v>
      </c>
    </row>
    <row r="5097" spans="1:4" x14ac:dyDescent="0.2">
      <c r="A5097" s="5">
        <v>5036</v>
      </c>
      <c r="B5097" s="138">
        <f>'Revenues 9-14'!C77</f>
        <v>8603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8603</v>
      </c>
      <c r="C5102" s="2" t="s">
        <v>573</v>
      </c>
      <c r="D5102" s="2" t="str">
        <f t="shared" si="78"/>
        <v>Error?</v>
      </c>
    </row>
    <row r="5103" spans="1:4" x14ac:dyDescent="0.2">
      <c r="A5103" s="5">
        <v>5042</v>
      </c>
      <c r="B5103" s="138">
        <f>'Revenues 9-14'!C84</f>
        <v>2395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2395</v>
      </c>
      <c r="C5112" s="2" t="s">
        <v>573</v>
      </c>
      <c r="D5112" s="2" t="str">
        <f t="shared" si="78"/>
        <v>Error?</v>
      </c>
    </row>
    <row r="5113" spans="1:4" x14ac:dyDescent="0.2">
      <c r="A5113" s="5">
        <v>5052</v>
      </c>
      <c r="B5113" s="138">
        <f>'Revenues 9-14'!C95</f>
        <v>901</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2172</v>
      </c>
      <c r="D5119" s="2" t="str">
        <f t="shared" ref="D5119:D5182" si="79">IF(ISBLANK(B5119),"OK",IF(A5119-B5119=0,"OK","Error?"))</f>
        <v>Error?</v>
      </c>
    </row>
    <row r="5120" spans="1:4" x14ac:dyDescent="0.2">
      <c r="A5120" s="5">
        <v>5059</v>
      </c>
      <c r="B5120" s="138">
        <f>'Revenues 9-14'!C108</f>
        <v>3073</v>
      </c>
      <c r="C5120" s="2" t="s">
        <v>573</v>
      </c>
      <c r="D5120" s="2" t="str">
        <f t="shared" si="79"/>
        <v>Error?</v>
      </c>
    </row>
    <row r="5121" spans="1:4" x14ac:dyDescent="0.2">
      <c r="A5121" s="5">
        <v>5060</v>
      </c>
      <c r="B5121" s="138">
        <f>'Revenues 9-14'!C109</f>
        <v>591009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1662699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1662699</v>
      </c>
      <c r="C5132" s="2" t="s">
        <v>573</v>
      </c>
      <c r="D5132" s="2" t="str">
        <f t="shared" si="79"/>
        <v>Error?</v>
      </c>
    </row>
    <row r="5133" spans="1:4" x14ac:dyDescent="0.2">
      <c r="A5133" s="5">
        <v>5072</v>
      </c>
      <c r="B5133" s="138">
        <f>'Revenues 9-14'!C125</f>
        <v>2990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67599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70589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2013</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85584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1748283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40958</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87900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36667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124567</v>
      </c>
      <c r="C5246" s="2" t="s">
        <v>573</v>
      </c>
      <c r="D5246" s="2" t="str">
        <f t="shared" si="80"/>
        <v>Error?</v>
      </c>
    </row>
    <row r="5247" spans="1:4" x14ac:dyDescent="0.2">
      <c r="A5247" s="5">
        <v>5186</v>
      </c>
      <c r="B5247" s="138">
        <f>'Revenues 9-14'!C200</f>
        <v>63194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10614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63194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21082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21082</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226985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267943</v>
      </c>
      <c r="C5326" s="2" t="s">
        <v>573</v>
      </c>
      <c r="D5326" s="2" t="str">
        <f t="shared" si="82"/>
        <v>Error?</v>
      </c>
    </row>
    <row r="5327" spans="1:5" x14ac:dyDescent="0.2">
      <c r="A5327" s="5">
        <v>5266</v>
      </c>
      <c r="B5327" s="138">
        <f>'Revenues 9-14'!C268</f>
        <v>2607235</v>
      </c>
      <c r="C5327" s="2" t="s">
        <v>573</v>
      </c>
      <c r="D5327" s="2" t="str">
        <f t="shared" si="82"/>
        <v>Error?</v>
      </c>
    </row>
    <row r="5328" spans="1:5" x14ac:dyDescent="0.2">
      <c r="A5328" s="5">
        <v>5267</v>
      </c>
      <c r="B5328" s="138">
        <f>'Revenues 9-14'!D5</f>
        <v>23068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23068</v>
      </c>
      <c r="C5334" s="2" t="s">
        <v>573</v>
      </c>
      <c r="D5334" s="2" t="str">
        <f t="shared" si="82"/>
        <v>Error?</v>
      </c>
    </row>
    <row r="5335" spans="1:4" x14ac:dyDescent="0.2">
      <c r="A5335" s="5">
        <v>5274</v>
      </c>
      <c r="B5335" s="138">
        <f>'Revenues 9-14'!D14</f>
        <v>255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255</v>
      </c>
      <c r="C5339" s="2" t="s">
        <v>573</v>
      </c>
      <c r="D5339" s="2" t="str">
        <f t="shared" si="82"/>
        <v>Error?</v>
      </c>
    </row>
    <row r="5340" spans="1:4" x14ac:dyDescent="0.2">
      <c r="A5340" s="5">
        <v>5279</v>
      </c>
      <c r="B5340" s="138">
        <f>'Revenues 9-14'!D65</f>
        <v>3017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3017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10207</v>
      </c>
      <c r="D5354" s="2" t="str">
        <f t="shared" si="82"/>
        <v>Error?</v>
      </c>
    </row>
    <row r="5355" spans="1:4" x14ac:dyDescent="0.2">
      <c r="A5355" s="5">
        <v>5294</v>
      </c>
      <c r="B5355" s="138">
        <f>'Revenues 9-14'!D108</f>
        <v>10207</v>
      </c>
      <c r="C5355" s="2" t="s">
        <v>573</v>
      </c>
      <c r="D5355" s="2" t="str">
        <f t="shared" si="82"/>
        <v>Error?</v>
      </c>
    </row>
    <row r="5356" spans="1:4" x14ac:dyDescent="0.2">
      <c r="A5356" s="5">
        <v>5295</v>
      </c>
      <c r="B5356" s="138">
        <f>'Revenues 9-14'!D109</f>
        <v>36547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61547</v>
      </c>
      <c r="C5508" s="2" t="s">
        <v>573</v>
      </c>
      <c r="D5508" s="2" t="str">
        <f t="shared" si="85"/>
        <v>Error?</v>
      </c>
    </row>
    <row r="5509" spans="1:4" x14ac:dyDescent="0.2">
      <c r="A5509" s="5">
        <v>5448</v>
      </c>
      <c r="B5509" s="138">
        <f>'Revenues 9-14'!E5</f>
        <v>64269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64269</v>
      </c>
      <c r="C5513" s="2" t="s">
        <v>573</v>
      </c>
      <c r="D5513" s="2" t="str">
        <f t="shared" si="85"/>
        <v>Error?</v>
      </c>
    </row>
    <row r="5514" spans="1:4" x14ac:dyDescent="0.2">
      <c r="A5514" s="5">
        <v>5453</v>
      </c>
      <c r="B5514" s="138">
        <f>'Revenues 9-14'!E14</f>
        <v>710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710</v>
      </c>
      <c r="C5518" s="2" t="s">
        <v>573</v>
      </c>
      <c r="D5518" s="2" t="str">
        <f t="shared" si="85"/>
        <v>Error?</v>
      </c>
    </row>
    <row r="5519" spans="1:4" x14ac:dyDescent="0.2">
      <c r="A5519" s="5">
        <v>5458</v>
      </c>
      <c r="B5519" s="138">
        <f>'Revenues 9-14'!E65</f>
        <v>441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441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65420</v>
      </c>
      <c r="C5527" s="2" t="s">
        <v>573</v>
      </c>
      <c r="D5527" s="2" t="str">
        <f t="shared" si="85"/>
        <v>Error?</v>
      </c>
    </row>
    <row r="5528" spans="1:4" x14ac:dyDescent="0.2">
      <c r="A5528" s="5">
        <v>5467</v>
      </c>
      <c r="B5528" s="138">
        <f>'Revenues 9-14'!E117</f>
        <v>800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800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800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66220</v>
      </c>
      <c r="C5552" s="2" t="s">
        <v>573</v>
      </c>
      <c r="D5552" s="2" t="str">
        <f t="shared" si="85"/>
        <v>Error?</v>
      </c>
    </row>
    <row r="5553" spans="1:4" x14ac:dyDescent="0.2">
      <c r="A5553" s="5">
        <v>5492</v>
      </c>
      <c r="B5553" s="138">
        <f>'Revenues 9-14'!F5</f>
        <v>6303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6303</v>
      </c>
      <c r="C5557" s="2" t="s">
        <v>573</v>
      </c>
      <c r="D5557" s="2" t="str">
        <f t="shared" si="85"/>
        <v>Error?</v>
      </c>
    </row>
    <row r="5558" spans="1:4" x14ac:dyDescent="0.2">
      <c r="A5558" s="5">
        <v>5497</v>
      </c>
      <c r="B5558" s="138">
        <f>'Revenues 9-14'!F14</f>
        <v>70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4711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4711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1819</v>
      </c>
      <c r="D5586" s="2" t="str">
        <f t="shared" si="86"/>
        <v>Error?</v>
      </c>
    </row>
    <row r="5587" spans="1:4" x14ac:dyDescent="0.2">
      <c r="A5587" s="5">
        <v>5526</v>
      </c>
      <c r="B5587" s="138">
        <f>'Revenues 9-14'!F108</f>
        <v>1819</v>
      </c>
      <c r="C5587" s="2" t="s">
        <v>573</v>
      </c>
      <c r="D5587" s="2" t="str">
        <f t="shared" si="86"/>
        <v>Error?</v>
      </c>
    </row>
    <row r="5588" spans="1:4" x14ac:dyDescent="0.2">
      <c r="A5588" s="5">
        <v>5527</v>
      </c>
      <c r="B5588" s="138">
        <f>'Revenues 9-14'!F109</f>
        <v>12903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103276</v>
      </c>
      <c r="D5615" s="2" t="str">
        <f t="shared" si="86"/>
        <v>Error?</v>
      </c>
    </row>
    <row r="5616" spans="1:4" x14ac:dyDescent="0.2">
      <c r="A5616" s="10">
        <v>5555</v>
      </c>
      <c r="D5616" s="2" t="str">
        <f t="shared" si="86"/>
        <v>OK</v>
      </c>
    </row>
    <row r="5617" spans="1:5" x14ac:dyDescent="0.2">
      <c r="A5617" s="5">
        <v>5556</v>
      </c>
      <c r="B5617" s="138">
        <f>'Revenues 9-14'!F153</f>
        <v>54916</v>
      </c>
      <c r="D5617" s="2" t="str">
        <f t="shared" si="86"/>
        <v>Error?</v>
      </c>
    </row>
    <row r="5618" spans="1:5" x14ac:dyDescent="0.2">
      <c r="A5618" s="5">
        <v>5557</v>
      </c>
      <c r="B5618" s="138">
        <f>'Revenues 9-14'!F155</f>
        <v>158192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158192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158192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171095</v>
      </c>
      <c r="C5720" s="2" t="s">
        <v>573</v>
      </c>
      <c r="D5720" s="2" t="str">
        <f t="shared" si="88"/>
        <v>Error?</v>
      </c>
    </row>
    <row r="5721" spans="1:4" x14ac:dyDescent="0.2">
      <c r="A5721" s="5">
        <v>5660</v>
      </c>
      <c r="B5721" s="138">
        <f>'Revenues 9-14'!G5</f>
        <v>15937</v>
      </c>
      <c r="D5721" s="2" t="str">
        <f t="shared" si="88"/>
        <v>Error?</v>
      </c>
    </row>
    <row r="5722" spans="1:4" x14ac:dyDescent="0.2">
      <c r="A5722" s="5">
        <v>5661</v>
      </c>
      <c r="B5722" s="138">
        <f>'Revenues 9-14'!G7</f>
        <v>0</v>
      </c>
      <c r="D5722" s="2" t="str">
        <f t="shared" si="88"/>
        <v>Error?</v>
      </c>
    </row>
    <row r="5723" spans="1:4" x14ac:dyDescent="0.2">
      <c r="A5723" s="5">
        <v>5662</v>
      </c>
      <c r="B5723" s="138">
        <f>'Revenues 9-14'!G8</f>
        <v>39844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55781</v>
      </c>
      <c r="C5725" s="2" t="s">
        <v>573</v>
      </c>
      <c r="D5725" s="2" t="str">
        <f t="shared" si="88"/>
        <v>Error?</v>
      </c>
    </row>
    <row r="5726" spans="1:4" x14ac:dyDescent="0.2">
      <c r="A5726" s="5">
        <v>5665</v>
      </c>
      <c r="B5726" s="138">
        <f>'Revenues 9-14'!G14</f>
        <v>617</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5617</v>
      </c>
      <c r="C5730" s="2" t="s">
        <v>573</v>
      </c>
      <c r="D5730" s="2" t="str">
        <f t="shared" si="88"/>
        <v>Error?</v>
      </c>
    </row>
    <row r="5731" spans="1:4" x14ac:dyDescent="0.2">
      <c r="A5731" s="5">
        <v>5670</v>
      </c>
      <c r="B5731" s="138">
        <f>'Revenues 9-14'!G65</f>
        <v>813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813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62211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3826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3826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3826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43</v>
      </c>
      <c r="C6023" s="2" t="s">
        <v>573</v>
      </c>
      <c r="D6023" s="2" t="str">
        <f t="shared" si="93"/>
        <v>Error?</v>
      </c>
    </row>
    <row r="6024" spans="1:5" x14ac:dyDescent="0.2">
      <c r="A6024" s="5">
        <v>5963</v>
      </c>
      <c r="B6024" s="138">
        <f>'Revenues 9-14'!G109</f>
        <v>62211</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3826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48736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11884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56363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56363</v>
      </c>
      <c r="D6215" s="2" t="str">
        <f t="shared" si="96"/>
        <v>Error?</v>
      </c>
      <c r="E6215" s="2" t="s">
        <v>190</v>
      </c>
    </row>
    <row r="6216" spans="1:5" x14ac:dyDescent="0.2">
      <c r="A6216">
        <v>6155</v>
      </c>
      <c r="B6216" s="138">
        <f>'Assets-Liab 5-6'!J41</f>
        <v>56363</v>
      </c>
      <c r="D6216" s="2" t="str">
        <f t="shared" si="96"/>
        <v>Error?</v>
      </c>
      <c r="E6216" s="2" t="s">
        <v>190</v>
      </c>
    </row>
    <row r="6217" spans="1:5" x14ac:dyDescent="0.2">
      <c r="A6217">
        <v>6156</v>
      </c>
      <c r="B6217" s="138">
        <f>'Assets-Liab 5-6'!J4</f>
        <v>56363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24195</v>
      </c>
      <c r="D6220" s="2" t="str">
        <f t="shared" si="96"/>
        <v>Error?</v>
      </c>
      <c r="E6220" s="2" t="s">
        <v>190</v>
      </c>
    </row>
    <row r="6221" spans="1:5" x14ac:dyDescent="0.2">
      <c r="A6221">
        <v>6160</v>
      </c>
      <c r="B6221" s="138">
        <f>'Acct Summary 7-8'!J6</f>
        <v>25000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49195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49195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41631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41631</v>
      </c>
      <c r="D6229" s="2" t="str">
        <f t="shared" si="96"/>
        <v>Error?</v>
      </c>
      <c r="E6229" s="2" t="s">
        <v>190</v>
      </c>
    </row>
    <row r="6230" spans="1:5" x14ac:dyDescent="0.2">
      <c r="A6230">
        <v>6169</v>
      </c>
      <c r="B6230" s="138">
        <f>'Acct Summary 7-8'!J20</f>
        <v>7564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7564</v>
      </c>
      <c r="D6263" s="2" t="str">
        <f t="shared" si="96"/>
        <v>Error?</v>
      </c>
      <c r="E6263" s="2" t="s">
        <v>190</v>
      </c>
    </row>
    <row r="6264" spans="1:5" x14ac:dyDescent="0.2">
      <c r="A6264">
        <v>6203</v>
      </c>
      <c r="B6264" s="138">
        <f>'Acct Summary 7-8'!J79</f>
        <v>48799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56363</v>
      </c>
      <c r="D6266" s="2" t="str">
        <f t="shared" si="96"/>
        <v>Error?</v>
      </c>
      <c r="E6266" s="2" t="s">
        <v>190</v>
      </c>
    </row>
    <row r="6267" spans="1:5" x14ac:dyDescent="0.2">
      <c r="A6267">
        <v>6206</v>
      </c>
      <c r="B6267" s="138">
        <f>'Acct Summary 7-8'!C82</f>
        <v>17637</v>
      </c>
      <c r="D6267" s="2" t="str">
        <f t="shared" si="96"/>
        <v>Error?</v>
      </c>
      <c r="E6267" s="2" t="s">
        <v>190</v>
      </c>
    </row>
    <row r="6268" spans="1:5" x14ac:dyDescent="0.2">
      <c r="A6268">
        <v>6207</v>
      </c>
      <c r="B6268" s="138">
        <f>'Acct Summary 7-8'!D82</f>
        <v>-71361</v>
      </c>
      <c r="D6268" s="2" t="str">
        <f t="shared" si="96"/>
        <v>Error?</v>
      </c>
      <c r="E6268" s="2" t="s">
        <v>190</v>
      </c>
    </row>
    <row r="6269" spans="1:5" x14ac:dyDescent="0.2">
      <c r="A6269">
        <v>6208</v>
      </c>
      <c r="B6269" s="138">
        <f>'Acct Summary 7-8'!E82</f>
        <v>1506</v>
      </c>
      <c r="D6269" s="2" t="str">
        <f t="shared" si="96"/>
        <v>Error?</v>
      </c>
      <c r="E6269" s="2" t="s">
        <v>190</v>
      </c>
    </row>
    <row r="6270" spans="1:5" x14ac:dyDescent="0.2">
      <c r="A6270">
        <v>6209</v>
      </c>
      <c r="B6270" s="138">
        <f>'Acct Summary 7-8'!F82</f>
        <v>-74375</v>
      </c>
      <c r="D6270" s="2" t="str">
        <f t="shared" si="96"/>
        <v>Error?</v>
      </c>
      <c r="E6270" s="2" t="s">
        <v>190</v>
      </c>
    </row>
    <row r="6271" spans="1:5" x14ac:dyDescent="0.2">
      <c r="A6271">
        <v>6210</v>
      </c>
      <c r="B6271" s="138">
        <f>'Acct Summary 7-8'!G82</f>
        <v>-10637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-108624</v>
      </c>
      <c r="D6273" s="2" t="str">
        <f t="shared" si="97"/>
        <v>Error?</v>
      </c>
      <c r="E6273" s="2" t="s">
        <v>190</v>
      </c>
    </row>
    <row r="6274" spans="1:5" x14ac:dyDescent="0.2">
      <c r="A6274">
        <v>6213</v>
      </c>
      <c r="B6274" s="138">
        <f>'Acct Summary 7-8'!J82</f>
        <v>7564</v>
      </c>
      <c r="D6274" s="2" t="str">
        <f t="shared" si="97"/>
        <v>Error?</v>
      </c>
      <c r="E6274" s="2" t="s">
        <v>190</v>
      </c>
    </row>
    <row r="6275" spans="1:5" x14ac:dyDescent="0.2">
      <c r="A6275">
        <v>6214</v>
      </c>
      <c r="B6275" s="138">
        <f>'Acct Summary 7-8'!K82</f>
        <v>-3646</v>
      </c>
      <c r="D6275" s="2" t="str">
        <f t="shared" si="97"/>
        <v>Error?</v>
      </c>
      <c r="E6275" s="2" t="s">
        <v>190</v>
      </c>
    </row>
    <row r="6276" spans="1:5" x14ac:dyDescent="0.2">
      <c r="A6276">
        <v>6215</v>
      </c>
      <c r="B6276" s="138">
        <f>'Acct Summary 7-8'!C83</f>
        <v>1.2490094392735818E-2</v>
      </c>
      <c r="D6276" s="2" t="str">
        <f t="shared" si="97"/>
        <v>Error?</v>
      </c>
      <c r="E6276" s="2" t="s">
        <v>190</v>
      </c>
    </row>
    <row r="6277" spans="1:5" x14ac:dyDescent="0.2">
      <c r="A6277">
        <v>6216</v>
      </c>
      <c r="B6277" s="138">
        <f>'Acct Summary 7-8'!D83</f>
        <v>-0.34603802679623513</v>
      </c>
      <c r="D6277" s="2" t="str">
        <f t="shared" si="97"/>
        <v>Error?</v>
      </c>
      <c r="E6277" s="2" t="s">
        <v>190</v>
      </c>
    </row>
    <row r="6278" spans="1:5" x14ac:dyDescent="0.2">
      <c r="A6278">
        <v>6217</v>
      </c>
      <c r="B6278" s="138">
        <f>'Acct Summary 7-8'!E83</f>
        <v>6.1474406073965225E-2</v>
      </c>
      <c r="D6278" s="2" t="str">
        <f t="shared" si="97"/>
        <v>Error?</v>
      </c>
      <c r="E6278" s="2" t="s">
        <v>190</v>
      </c>
    </row>
    <row r="6279" spans="1:5" x14ac:dyDescent="0.2">
      <c r="A6279">
        <v>6218</v>
      </c>
      <c r="B6279" s="138">
        <f>'Acct Summary 7-8'!F83</f>
        <v>-0.19428596804697867</v>
      </c>
      <c r="D6279" s="2" t="str">
        <f t="shared" si="97"/>
        <v>Error?</v>
      </c>
      <c r="E6279" s="2" t="s">
        <v>190</v>
      </c>
    </row>
    <row r="6280" spans="1:5" x14ac:dyDescent="0.2">
      <c r="A6280">
        <v>6219</v>
      </c>
      <c r="B6280" s="138">
        <f>'Acct Summary 7-8'!G83</f>
        <v>-0.22103775741329509</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-0.33604232084022956</v>
      </c>
      <c r="D6282" s="2" t="str">
        <f t="shared" si="97"/>
        <v>Error?</v>
      </c>
      <c r="E6282" s="2" t="s">
        <v>190</v>
      </c>
    </row>
    <row r="6283" spans="1:5" x14ac:dyDescent="0.2">
      <c r="A6283">
        <v>6222</v>
      </c>
      <c r="B6283" s="138">
        <f>'Acct Summary 7-8'!J83</f>
        <v>0.13420151517839718</v>
      </c>
      <c r="D6283" s="2" t="str">
        <f t="shared" si="97"/>
        <v>Error?</v>
      </c>
      <c r="E6283" s="2" t="s">
        <v>190</v>
      </c>
    </row>
    <row r="6284" spans="1:5" x14ac:dyDescent="0.2">
      <c r="A6284">
        <v>6223</v>
      </c>
      <c r="B6284" s="138">
        <f>'Acct Summary 7-8'!K83</f>
        <v>-1.4359984245766049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23308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23308</v>
      </c>
      <c r="D6301" s="2" t="str">
        <f t="shared" si="97"/>
        <v>Error?</v>
      </c>
      <c r="E6301" s="2" t="s">
        <v>190</v>
      </c>
    </row>
    <row r="6302" spans="1:5" x14ac:dyDescent="0.2">
      <c r="A6302">
        <v>6241</v>
      </c>
      <c r="B6302" s="138">
        <f>'Revenues 9-14'!J14</f>
        <v>258</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258</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409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409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220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220</v>
      </c>
      <c r="D6351" s="2" t="str">
        <f t="shared" si="98"/>
        <v>Error?</v>
      </c>
      <c r="E6351" s="2" t="s">
        <v>190</v>
      </c>
    </row>
    <row r="6352" spans="1:5" x14ac:dyDescent="0.2">
      <c r="A6352">
        <v>6291</v>
      </c>
      <c r="B6352" s="138">
        <f>'Revenues 9-14'!J109</f>
        <v>24195</v>
      </c>
      <c r="D6352" s="2" t="str">
        <f t="shared" si="98"/>
        <v>Error?</v>
      </c>
      <c r="E6352" s="2" t="s">
        <v>190</v>
      </c>
    </row>
    <row r="6353" spans="1:5" x14ac:dyDescent="0.2">
      <c r="A6353">
        <v>6292</v>
      </c>
      <c r="B6353" s="138">
        <f>'Revenues 9-14'!J117</f>
        <v>25000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25000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25000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169026</v>
      </c>
      <c r="D6983" s="2" t="str">
        <f t="shared" si="108"/>
        <v>Error?</v>
      </c>
    </row>
    <row r="6984" spans="1:4" x14ac:dyDescent="0.2">
      <c r="A6984">
        <v>6923</v>
      </c>
      <c r="B6984" s="138">
        <f>'Expenditures 15-22'!K86</f>
        <v>169026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169026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41631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49195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25982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25982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3649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3649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41631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41631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41631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41631</v>
      </c>
      <c r="D7224" s="2" t="str">
        <f t="shared" si="111"/>
        <v>Error?</v>
      </c>
    </row>
    <row r="7225" spans="1:4" x14ac:dyDescent="0.2">
      <c r="A7225">
        <v>7164</v>
      </c>
      <c r="B7225" s="138">
        <f>'Expenditures 15-22'!K343</f>
        <v>7564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128970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3119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60000</v>
      </c>
      <c r="D7748" s="2" t="str">
        <f t="shared" si="127"/>
        <v>Error?</v>
      </c>
      <c r="E7748" s="4" t="s">
        <v>1333</v>
      </c>
    </row>
    <row r="7749" spans="1:6" x14ac:dyDescent="0.2">
      <c r="A7749">
        <v>7688</v>
      </c>
      <c r="B7749" s="138">
        <f>'Acct Summary 7-8'!D25</f>
        <v>52450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274072</v>
      </c>
      <c r="D7797" s="2" t="str">
        <f t="shared" si="127"/>
        <v>Error?</v>
      </c>
      <c r="E7797" s="4" t="s">
        <v>1903</v>
      </c>
    </row>
    <row r="7798" spans="1:5" x14ac:dyDescent="0.2">
      <c r="A7798">
        <v>7737</v>
      </c>
      <c r="B7798" s="138">
        <f>'Contracts Paid in CY 29'!F37</f>
        <v>54277</v>
      </c>
      <c r="D7798" s="2" t="str">
        <f t="shared" si="127"/>
        <v>Error?</v>
      </c>
      <c r="E7798" s="4" t="s">
        <v>1903</v>
      </c>
    </row>
    <row r="7799" spans="1:5" x14ac:dyDescent="0.2">
      <c r="A7799">
        <v>7738</v>
      </c>
      <c r="B7799" s="138">
        <f>'Contracts Paid in CY 29'!G37</f>
        <v>219795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1987</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Rome CCSD 2</v>
      </c>
      <c r="B7" s="2403"/>
      <c r="C7" s="2403"/>
      <c r="D7" s="2404"/>
      <c r="E7" s="2405">
        <f>COVER!A13</f>
        <v>13041002004</v>
      </c>
      <c r="F7" s="2406"/>
      <c r="G7" s="2412" t="str">
        <f>COVER!T23</f>
        <v>066-004957</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SUSAN J. LYONS, CPA, P.C.</v>
      </c>
      <c r="H9" s="2418"/>
      <c r="I9" s="2418"/>
      <c r="J9" s="2418"/>
      <c r="K9" s="2418"/>
      <c r="L9" s="2419"/>
    </row>
    <row r="10" spans="1:29" ht="13.5" customHeight="1" x14ac:dyDescent="0.2">
      <c r="A10" s="2392" t="str">
        <f>COVER!A38</f>
        <v>ERIK ESTILL</v>
      </c>
      <c r="B10" s="2393"/>
      <c r="C10" s="2393"/>
      <c r="D10" s="2393"/>
      <c r="E10" s="2393"/>
      <c r="F10" s="2394"/>
      <c r="G10" s="2386" t="str">
        <f>COVER!T17</f>
        <v>5859 U.S. HIGHWAY 51</v>
      </c>
      <c r="H10" s="2387"/>
      <c r="I10" s="2387"/>
      <c r="J10" s="2387"/>
      <c r="K10" s="2387"/>
      <c r="L10" s="2388"/>
    </row>
    <row r="11" spans="1:29" ht="13.5" customHeight="1" x14ac:dyDescent="0.2">
      <c r="A11" s="1184" t="s">
        <v>1519</v>
      </c>
      <c r="B11" s="1185"/>
      <c r="C11" s="1186"/>
      <c r="D11" s="1191"/>
      <c r="E11" s="1186"/>
      <c r="F11" s="1190"/>
      <c r="G11" s="2386" t="str">
        <f>COVER!T19</f>
        <v>ODIN</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slyons1007@gmail.com</v>
      </c>
      <c r="J13" s="2399"/>
      <c r="K13" s="2399"/>
      <c r="L13" s="2400"/>
    </row>
    <row r="14" spans="1:29" ht="13.5" customHeight="1" x14ac:dyDescent="0.2">
      <c r="A14" s="2386" t="str">
        <f>COVER!A19</f>
        <v>233 WEST SOUTH</v>
      </c>
      <c r="B14" s="2387"/>
      <c r="C14" s="2387"/>
      <c r="D14" s="2387"/>
      <c r="E14" s="2387"/>
      <c r="F14" s="2388"/>
      <c r="G14" s="1195" t="s">
        <v>1185</v>
      </c>
      <c r="H14" s="1193"/>
      <c r="I14" s="1193"/>
      <c r="J14" s="1193"/>
      <c r="K14" s="1193"/>
      <c r="L14" s="1194"/>
    </row>
    <row r="15" spans="1:29" ht="13.5" customHeight="1" x14ac:dyDescent="0.2">
      <c r="A15" s="2386" t="str">
        <f>COVER!A21</f>
        <v>DIX</v>
      </c>
      <c r="B15" s="2387"/>
      <c r="C15" s="2387"/>
      <c r="D15" s="2387"/>
      <c r="E15" s="2387"/>
      <c r="F15" s="2388"/>
      <c r="G15" s="2383" t="str">
        <f>COVER!T15</f>
        <v>SUSAN J. LYONS</v>
      </c>
      <c r="H15" s="2384"/>
      <c r="I15" s="2384"/>
      <c r="J15" s="2384"/>
      <c r="K15" s="2384"/>
      <c r="L15" s="2385"/>
    </row>
    <row r="16" spans="1:29" ht="12.2" customHeight="1" x14ac:dyDescent="0.2">
      <c r="A16" s="2408">
        <f>COVER!A25</f>
        <v>62830</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618-267-3213</v>
      </c>
      <c r="H18" s="2403"/>
      <c r="I18" s="2403"/>
      <c r="J18" s="2403"/>
      <c r="K18" s="2402" t="str">
        <f>COVER!X21</f>
        <v>618-247-3208</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Rome CCSD 2</v>
      </c>
      <c r="B1" s="2401"/>
      <c r="C1" s="2401"/>
      <c r="D1" s="2401"/>
    </row>
    <row r="2" spans="1:11" s="1212" customFormat="1" ht="12.75" x14ac:dyDescent="0.2">
      <c r="A2" s="2425">
        <f>'Single Audit Cover'!E7</f>
        <v>13041002004</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Rome CCSD 2</v>
      </c>
      <c r="B1" s="2428"/>
      <c r="C1" s="2428"/>
      <c r="D1" s="2428"/>
      <c r="E1" s="2428"/>
    </row>
    <row r="2" spans="1:5" x14ac:dyDescent="0.2">
      <c r="A2" s="2429">
        <f>'Single Audit Cover'!E7</f>
        <v>13041002004</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267943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11884</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-5831</v>
      </c>
    </row>
    <row r="19" spans="1:4" ht="13.5" thickBot="1" x14ac:dyDescent="0.25">
      <c r="A19" s="1262" t="s">
        <v>1235</v>
      </c>
      <c r="D19" s="1263">
        <f>SUM(D10:D17)</f>
        <v>273996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273996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273996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Rome CCSD 2</v>
      </c>
      <c r="C1" s="2432"/>
      <c r="D1" s="2432"/>
      <c r="E1" s="2432"/>
      <c r="F1" s="2432"/>
      <c r="G1" s="2432"/>
      <c r="H1" s="2432"/>
      <c r="I1" s="2432"/>
      <c r="J1" s="2432"/>
      <c r="K1" s="2432"/>
      <c r="L1" s="2432"/>
      <c r="M1" s="2432"/>
    </row>
    <row r="2" spans="2:14" ht="15" x14ac:dyDescent="0.2">
      <c r="B2" s="2433">
        <f>'Single Audit Cover'!E7</f>
        <v>13041002004</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Rome CCSD 2</v>
      </c>
      <c r="B1" s="2445"/>
      <c r="C1" s="2445"/>
      <c r="D1" s="2445"/>
      <c r="E1" s="2445"/>
      <c r="F1" s="2445"/>
    </row>
    <row r="2" spans="1:7" ht="13.5" customHeight="1" x14ac:dyDescent="0.2">
      <c r="A2" s="2433">
        <f>'Single Audit Cover'!E7</f>
        <v>13041002004</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3" t="s">
        <v>1270</v>
      </c>
      <c r="D15" s="2442" t="s">
        <v>1269</v>
      </c>
      <c r="E15" s="2442"/>
      <c r="F15" s="2442"/>
    </row>
    <row r="16" spans="1:7" ht="13.5" customHeight="1" x14ac:dyDescent="0.2">
      <c r="A16" s="1279"/>
      <c r="B16" s="1273" t="s">
        <v>1268</v>
      </c>
      <c r="C16" s="1843"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39">
        <f>+C33+C34</f>
        <v>0</v>
      </c>
      <c r="F34" s="2440"/>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2"/>
      <c r="C50" s="1842"/>
      <c r="D50" s="1842"/>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Rome CCSD 2</v>
      </c>
      <c r="C1" s="2460"/>
      <c r="D1" s="2460"/>
      <c r="E1" s="2460"/>
      <c r="F1" s="2460"/>
      <c r="G1" s="2460"/>
      <c r="H1" s="2460"/>
      <c r="I1" s="2460"/>
      <c r="J1" s="1406"/>
    </row>
    <row r="2" spans="2:10" s="317" customFormat="1" ht="12.75" customHeight="1" x14ac:dyDescent="0.2">
      <c r="B2" s="2461">
        <f>'Single Audit Cover'!E7</f>
        <v>13041002004</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2062</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I42" sqref="I42:O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Rome CCSD 2</v>
      </c>
      <c r="C1" s="2459"/>
      <c r="D1" s="2459"/>
      <c r="E1" s="2459"/>
      <c r="F1" s="2459"/>
      <c r="G1" s="2459"/>
      <c r="H1" s="2459"/>
      <c r="I1" s="2459"/>
      <c r="J1" s="2459"/>
      <c r="K1" s="2459"/>
      <c r="L1" s="1371"/>
      <c r="M1" s="1371"/>
    </row>
    <row r="2" spans="1:13" ht="12" customHeight="1" x14ac:dyDescent="0.2">
      <c r="B2" s="2461">
        <f>'Single Audit Cover'!E7</f>
        <v>13041002004</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2075</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4" t="s">
        <v>2076</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2077</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2078</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t="s">
        <v>2079</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3" t="s">
        <v>2080</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3" t="s">
        <v>2081</v>
      </c>
      <c r="C32" s="2473"/>
      <c r="D32" s="2474"/>
      <c r="E32" s="2474"/>
      <c r="F32" s="2474"/>
      <c r="G32" s="2474"/>
      <c r="H32" s="2474"/>
      <c r="I32" s="2474"/>
      <c r="J32" s="2474"/>
      <c r="K32" s="2474"/>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9" zoomScale="110" zoomScaleNormal="110" workbookViewId="0">
      <selection activeCell="I42" sqref="I42:O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Rome CCSD 2</v>
      </c>
      <c r="C1" s="2459"/>
      <c r="D1" s="2459"/>
      <c r="E1" s="2459"/>
      <c r="F1" s="2459"/>
      <c r="G1" s="2459"/>
      <c r="H1" s="2459"/>
      <c r="I1" s="2459"/>
      <c r="J1" s="2459"/>
      <c r="K1" s="2459"/>
      <c r="L1" s="1371"/>
      <c r="M1" s="1371"/>
    </row>
    <row r="2" spans="1:13" ht="12" customHeight="1" x14ac:dyDescent="0.2">
      <c r="B2" s="2461">
        <f>'Single Audit Cover'!E7</f>
        <v>13041002004</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935"/>
      <c r="M3" s="1935"/>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2</v>
      </c>
      <c r="E10" s="322"/>
      <c r="F10" s="1384" t="s">
        <v>1295</v>
      </c>
      <c r="G10" s="1385"/>
      <c r="H10" s="1386" t="s">
        <v>1294</v>
      </c>
      <c r="I10" s="1385" t="s">
        <v>2083</v>
      </c>
      <c r="J10" s="1387" t="s">
        <v>1293</v>
      </c>
      <c r="K10" s="322"/>
      <c r="L10" s="1378"/>
    </row>
    <row r="11" spans="1:13" ht="13.5" customHeight="1" x14ac:dyDescent="0.2">
      <c r="B11" s="322"/>
      <c r="C11" s="322"/>
      <c r="D11" s="322"/>
      <c r="E11" s="322"/>
      <c r="F11" s="322"/>
      <c r="G11" s="1380"/>
      <c r="H11" s="322"/>
      <c r="I11" s="1388" t="s">
        <v>1292</v>
      </c>
      <c r="J11" s="322"/>
      <c r="K11" s="1389">
        <v>1999</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2115</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t="s">
        <v>2116</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2117</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2118</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1" customHeight="1" x14ac:dyDescent="0.2">
      <c r="B26" s="2474" t="s">
        <v>2119</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83.25" customHeight="1" x14ac:dyDescent="0.2">
      <c r="B29" s="2473" t="s">
        <v>2120</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t="s">
        <v>2121</v>
      </c>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Rome CCSD 2</v>
      </c>
      <c r="C1" s="2482"/>
      <c r="D1" s="2482"/>
      <c r="E1" s="2482"/>
      <c r="F1" s="2482"/>
      <c r="G1" s="2482"/>
      <c r="H1" s="2482"/>
      <c r="I1" s="2482"/>
      <c r="J1" s="2482"/>
      <c r="K1" s="2482"/>
      <c r="L1" s="1449"/>
    </row>
    <row r="2" spans="1:12" ht="12.75" customHeight="1" x14ac:dyDescent="0.2">
      <c r="B2" s="2483">
        <f>'Single Audit Cover'!E7</f>
        <v>13041002004</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Rome CCSD 2</v>
      </c>
      <c r="C1" s="2459"/>
      <c r="D1" s="2459"/>
      <c r="E1" s="1469"/>
    </row>
    <row r="2" spans="2:5" s="1279" customFormat="1" ht="12.75" customHeight="1" x14ac:dyDescent="0.2">
      <c r="B2" s="2461">
        <f>'Single Audit Cover'!E7</f>
        <v>13041002004</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schemas.openxmlformats.org/package/2006/metadata/core-propertie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4d435f69-8686-490b-bd6d-b153bf22ab50"/>
    <ds:schemaRef ds:uri="d21dc803-237d-4c68-8692-8d731fd29118"/>
    <ds:schemaRef ds:uri="6ce3111e-7420-4802-b50a-75d4e9a0b98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2019-09-20T15:55:50Z</cp:lastPrinted>
  <dcterms:created xsi:type="dcterms:W3CDTF">2003-10-29T19:06:34Z</dcterms:created>
  <dcterms:modified xsi:type="dcterms:W3CDTF">2019-12-02T17:21:16Z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