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0AA24F6-BE53-4515-86BF-7D70ABEC660E}" xr6:coauthVersionLast="36" xr6:coauthVersionMax="36" xr10:uidLastSave="{00000000-0000-0000-0000-000000000000}"/>
  <bookViews>
    <workbookView xWindow="-15" yWindow="13650" windowWidth="23250" windowHeight="6450" tabRatio="95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7" l="1"/>
  <c r="I12" i="11"/>
  <c r="D12" i="11"/>
  <c r="D8" i="11"/>
  <c r="D325" i="29" l="1"/>
  <c r="E182" i="29"/>
  <c r="C182" i="29"/>
  <c r="F124" i="29"/>
  <c r="E124" i="29"/>
  <c r="F63" i="29"/>
  <c r="E63" i="29"/>
  <c r="C63" i="29"/>
  <c r="E60" i="29"/>
  <c r="D55" i="29"/>
  <c r="C55" i="29"/>
  <c r="E50" i="29"/>
  <c r="F49" i="29"/>
  <c r="E49" i="29"/>
  <c r="D44" i="29"/>
  <c r="C44" i="29"/>
  <c r="D14" i="29"/>
  <c r="C14" i="29"/>
  <c r="D10" i="29"/>
  <c r="D8" i="29"/>
  <c r="C8" i="29"/>
  <c r="G5" i="29"/>
  <c r="F5" i="29"/>
  <c r="E5" i="29"/>
  <c r="D5" i="29"/>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G33" i="181"/>
  <c r="F33" i="181"/>
  <c r="F29" i="181"/>
  <c r="G29" i="181" s="1"/>
  <c r="F27" i="181"/>
  <c r="G27" i="181" s="1"/>
  <c r="G25" i="181"/>
  <c r="F25" i="18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51" i="127"/>
  <c r="B52"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D17" i="7"/>
  <c r="B4104" i="106" s="1"/>
  <c r="D4104" i="106" s="1"/>
  <c r="L367" i="29" l="1"/>
  <c r="B7235" i="106"/>
  <c r="D7235" i="106" s="1"/>
  <c r="D6103" i="106"/>
  <c r="K41" i="3"/>
  <c r="B3568" i="106" s="1"/>
  <c r="D3568" i="106" s="1"/>
  <c r="I24" i="12"/>
  <c r="L5" i="11"/>
  <c r="B2056" i="106" s="1"/>
  <c r="D2056" i="106" s="1"/>
  <c r="N22" i="3"/>
  <c r="B283" i="106" s="1"/>
  <c r="D283" i="106" s="1"/>
  <c r="B1308" i="106"/>
  <c r="D1308" i="106" s="1"/>
  <c r="E174" i="29"/>
  <c r="B1309" i="106" s="1"/>
  <c r="D1309" i="106" s="1"/>
  <c r="F77" i="4"/>
  <c r="B3255" i="106" s="1"/>
  <c r="D3255" i="106" s="1"/>
  <c r="D52" i="36"/>
  <c r="D69" i="36"/>
  <c r="C129" i="29"/>
  <c r="B1225" i="106" s="1"/>
  <c r="D1225" i="106" s="1"/>
  <c r="D9" i="7"/>
  <c r="B1767" i="106" s="1"/>
  <c r="D1767" i="106" s="1"/>
  <c r="D11" i="37"/>
  <c r="H29" i="118"/>
  <c r="K28" i="118" s="1"/>
  <c r="O27" i="118" s="1"/>
  <c r="O29" i="118" s="1"/>
  <c r="D31" i="36"/>
  <c r="L13" i="11"/>
  <c r="B2060" i="106" s="1"/>
  <c r="D2060" i="106" s="1"/>
  <c r="L15" i="11"/>
  <c r="B3459" i="106" s="1"/>
  <c r="D3459" i="106" s="1"/>
  <c r="F19" i="7"/>
  <c r="B1807" i="106" s="1"/>
  <c r="D1807" i="106" s="1"/>
  <c r="B3647" i="106"/>
  <c r="D3647" i="106" s="1"/>
  <c r="C342" i="29"/>
  <c r="B7216" i="106" s="1"/>
  <c r="D7216" i="106" s="1"/>
  <c r="G14" i="4"/>
  <c r="B2609" i="106" s="1"/>
  <c r="D2609" i="106" s="1"/>
  <c r="F72" i="34"/>
  <c r="K184" i="29"/>
  <c r="F13" i="4" s="1"/>
  <c r="B2596" i="106" s="1"/>
  <c r="D2596" i="106" s="1"/>
  <c r="G210" i="29"/>
  <c r="G30" i="108"/>
  <c r="E30" i="108"/>
  <c r="F34" i="34"/>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996" i="106" l="1"/>
  <c r="D1996" i="106" s="1"/>
  <c r="I26" i="12"/>
  <c r="B7741" i="106" s="1"/>
  <c r="D7741" i="106" s="1"/>
  <c r="N23" i="3"/>
  <c r="B284" i="106" s="1"/>
  <c r="D284" i="106" s="1"/>
  <c r="L114" i="29"/>
  <c r="B1381" i="106"/>
  <c r="D1381" i="106" s="1"/>
  <c r="L16" i="11"/>
  <c r="B2061" i="106" s="1"/>
  <c r="D2061" i="106" s="1"/>
  <c r="K342" i="29"/>
  <c r="F13" i="34" s="1"/>
  <c r="B1365" i="106"/>
  <c r="D1365" i="106" s="1"/>
  <c r="F65" i="34"/>
  <c r="B1317" i="106"/>
  <c r="D131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<sst xmlns="http://schemas.openxmlformats.org/spreadsheetml/2006/main" count="5087" uniqueCount="2110">
  <si>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</si>
  <si>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</si>
  <si>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</si>
  <si>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</si>
  <si>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</si>
  <si>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</si>
  <si>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</si>
  <si>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</si>
  <si>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</si>
  <si>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</si>
  <si>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</si>
  <si>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</si>
  <si>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</si>
  <si>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</si>
  <si>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</si>
  <si>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</si>
  <si>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</si>
  <si>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</si>
  <si>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</si>
  <si>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</si>
  <si>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</si>
  <si>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</si>
  <si>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</si>
  <si>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</si>
  <si>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</si>
  <si>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</si>
  <si>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</si>
  <si>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</si>
  <si>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</si>
  <si>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</si>
  <si>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</si>
  <si>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</si>
  <si>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</si>
  <si>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</si>
  <si>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</si>
  <si>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</si>
  <si>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</si>
  <si>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</si>
  <si>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</si>
  <si>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</si>
  <si>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</si>
  <si>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</si>
  <si>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</si>
  <si>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</si>
  <si>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</si>
  <si>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</si>
  <si>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</si>
  <si>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</si>
  <si>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</si>
  <si>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</si>
  <si>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</si>
  <si>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</si>
  <si>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</si>
  <si>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</si>
  <si>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</si>
  <si>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</si>
  <si>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</si>
  <si>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</si>
  <si>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</si>
  <si>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</si>
  <si>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</si>
  <si>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</si>
  <si>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</si>
  <si>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</si>
  <si>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</si>
  <si>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</si>
  <si>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</si>
  <si>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</si>
  <si>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</si>
  <si>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</si>
  <si>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</si>
  <si>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</si>
  <si>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</si>
  <si>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</si>
  <si>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</si>
  <si>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</si>
  <si>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</si>
  <si>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</si>
  <si>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</si>
  <si>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</si>
  <si>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</si>
  <si>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</si>
  <si>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</si>
  <si>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</si>
  <si>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</si>
  <si>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</si>
  <si>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</si>
  <si>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</si>
  <si>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</si>
  <si>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</si>
  <si>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</si>
  <si>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</si>
  <si>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</si>
  <si>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</si>
  <si>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</si>
  <si>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</si>
  <si>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</si>
  <si>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</si>
  <si>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</si>
  <si>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</si>
  <si>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</si>
  <si>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</si>
  <si>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</si>
  <si>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</si>
  <si>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</si>
  <si>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</si>
  <si>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</si>
  <si>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</si>
  <si>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</si>
  <si>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</si>
  <si>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</si>
  <si>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</si>
  <si>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</si>
  <si>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</si>
  <si>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</si>
  <si>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</si>
  <si>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</si>
  <si>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</si>
  <si>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</si>
  <si>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</si>
  <si>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</si>
  <si>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</si>
  <si>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</si>
  <si>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</si>
  <si>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</si>
  <si>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</si>
  <si>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</si>
  <si>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</si>
  <si>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</si>
  <si>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</si>
  <si>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</si>
  <si>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</si>
  <si>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</si>
  <si>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</si>
  <si>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</si>
  <si>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</si>
  <si>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</si>
  <si>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</si>
  <si>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</si>
  <si>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</si>
  <si>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</si>
  <si>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</si>
  <si>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</si>
  <si>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</si>
  <si>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</si>
  <si>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</si>
  <si>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</si>
  <si>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</si>
  <si>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</si>
  <si>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</si>
  <si>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</si>
  <si>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</si>
  <si>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</si>
  <si>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</si>
  <si>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</si>
  <si>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</si>
  <si>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</si>
  <si>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</si>
  <si>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</si>
  <si>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</si>
  <si>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</si>
  <si>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</si>
  <si>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</si>
  <si>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</si>
  <si>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</si>
  <si>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</si>
  <si>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</si>
  <si>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</si>
  <si>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</si>
  <si>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</si>
  <si>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</si>
  <si>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</si>
  <si>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</si>
  <si>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</si>
  <si>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</si>
  <si>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</si>
  <si>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</si>
  <si>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</si>
  <si>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</si>
  <si>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</si>
  <si>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</si>
  <si>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</si>
  <si>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</si>
  <si>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</si>
  <si>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</si>
  <si>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</si>
  <si>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</si>
  <si>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</si>
  <si>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</si>
  <si>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</si>
  <si>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</si>
  <si>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</si>
  <si>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</si>
  <si>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</si>
  <si>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</si>
  <si>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</si>
  <si>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</si>
  <si>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</si>
  <si>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</si>
  <si>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</si>
  <si>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</si>
  <si>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</si>
  <si>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</si>
  <si>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</si>
  <si>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</si>
  <si>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</si>
  <si>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</si>
  <si>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</si>
  <si>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</si>
  <si>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</si>
  <si>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</si>
  <si>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</si>
  <si>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</si>
  <si>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</si>
  <si>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</si>
  <si>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</si>
  <si>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</si>
  <si>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</si>
  <si>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</si>
  <si>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</si>
  <si>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</si>
  <si>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</si>
  <si>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</si>
  <si>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</si>
  <si>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</si>
  <si>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</si>
  <si>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</si>
  <si>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</si>
  <si>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</si>
  <si>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</si>
  <si>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</si>
  <si>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</si>
  <si>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</si>
  <si>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</si>
  <si>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</si>
  <si>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</si>
  <si>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</si>
  <si>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</si>
  <si>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</si>
  <si>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</si>
  <si>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</si>
  <si>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</si>
  <si>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</si>
  <si>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</si>
  <si>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</si>
  <si>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</si>
  <si>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</si>
  <si>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</si>
  <si>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</si>
  <si>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</si>
  <si>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</si>
  <si>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</si>
  <si>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</si>
  <si>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</si>
  <si>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</si>
  <si>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</si>
  <si>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</si>
  <si>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</si>
  <si>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</si>
  <si>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</si>
  <si>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</si>
  <si>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</si>
  <si>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</si>
  <si>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</si>
  <si>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</si>
  <si>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</si>
  <si>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</si>
  <si>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</si>
  <si>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</si>
  <si>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</si>
  <si>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</si>
  <si>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</si>
  <si>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</si>
  <si>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</si>
  <si>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</si>
  <si>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</si>
  <si>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</si>
  <si>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</si>
  <si>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</si>
  <si>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</si>
  <si>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</si>
  <si>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</si>
  <si>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</si>
  <si>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</si>
  <si>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</si>
  <si>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</si>
  <si>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</si>
  <si>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</si>
  <si>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</si>
  <si>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</si>
  <si>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</si>
  <si>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</si>
  <si>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</si>
  <si>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</si>
  <si>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</si>
  <si>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</si>
  <si>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</si>
  <si>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</si>
  <si>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</si>
  <si>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</si>
  <si>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</si>
  <si>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</si>
  <si>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</si>
  <si>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</si>
  <si>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</si>
  <si>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</si>
  <si>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</si>
  <si>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</si>
  <si>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</si>
  <si>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</si>
  <si>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</si>
  <si>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</si>
  <si>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</si>
  <si>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</si>
  <si>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</si>
  <si>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</si>
  <si>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</si>
  <si>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</si>
  <si>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</si>
  <si>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</si>
  <si>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</si>
  <si>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</si>
  <si>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</si>
  <si>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</si>
  <si>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</si>
  <si>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</si>
  <si>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</si>
  <si>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</si>
  <si>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</si>
  <si>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</si>
  <si>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</si>
  <si>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</si>
  <si>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</si>
  <si>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</si>
  <si>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</si>
  <si>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</si>
  <si>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</si>
  <si>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</si>
  <si>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</si>
  <si>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</si>
  <si>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</si>
  <si>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</si>
  <si>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</si>
  <si>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</si>
  <si>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</si>
  <si>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</si>
  <si>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</si>
  <si>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</si>
  <si>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</si>
  <si>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</si>
  <si>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</si>
  <si>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</si>
  <si>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</si>
  <si>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</si>
  <si>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</si>
  <si>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</si>
  <si>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</si>
  <si>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</si>
  <si>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</si>
  <si>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</si>
  <si>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</si>
  <si>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</si>
  <si>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</si>
  <si>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</si>
  <si>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</si>
  <si>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</si>
  <si>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</si>
  <si>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</si>
  <si>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</si>
  <si>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</si>
  <si>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</si>
  <si>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</si>
  <si>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</si>
  <si>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</si>
  <si>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</si>
  <si>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</si>
  <si>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</si>
  <si>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</si>
  <si>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</si>
  <si>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</si>
  <si>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</si>
  <si>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</si>
  <si>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</si>
  <si>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</si>
  <si>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</si>
  <si>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</si>
  <si>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</si>
  <si>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</si>
  <si>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</si>
  <si>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</si>
  <si>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</si>
  <si>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</si>
  <si>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</si>
  <si>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</si>
  <si>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</si>
  <si>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</si>
  <si>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</si>
  <si>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</si>
  <si>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</si>
  <si>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</si>
  <si>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</si>
  <si>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</si>
  <si>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</si>
  <si>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</si>
  <si>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</si>
  <si>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</si>
  <si>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</si>
  <si>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</si>
  <si>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</si>
  <si>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</si>
  <si>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</si>
  <si>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</si>
  <si>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</si>
  <si>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</si>
  <si>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</si>
  <si>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</si>
  <si>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</si>
  <si>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</si>
  <si>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</si>
  <si>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</si>
  <si>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</si>
  <si>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</si>
  <si>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</si>
  <si>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</si>
  <si>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</si>
  <si>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</si>
  <si>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</si>
  <si>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</si>
  <si>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</si>
  <si>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</si>
  <si>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</si>
  <si>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</si>
  <si>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</si>
  <si>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</si>
  <si>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</si>
  <si>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</si>
  <si>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</si>
  <si>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</si>
  <si>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</si>
  <si>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</si>
  <si>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</si>
  <si>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</si>
  <si>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</si>
  <si>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</si>
  <si>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</si>
  <si>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</si>
  <si>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</si>
  <si>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</si>
  <si>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</si>
  <si>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</si>
  <si>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</si>
  <si>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</si>
  <si>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</si>
  <si>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</si>
  <si>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</si>
  <si>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</si>
  <si>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</si>
  <si>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</si>
  <si>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</si>
  <si>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</si>
  <si>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</si>
  <si>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</si>
  <si>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</si>
  <si>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</si>
  <si>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</si>
  <si>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</si>
  <si>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</si>
  <si>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</si>
  <si>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</si>
  <si>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</si>
  <si>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</si>
  <si>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</si>
  <si>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</si>
  <si>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</si>
  <si>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</si>
  <si>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</si>
  <si>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</si>
  <si>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</si>
  <si>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</si>
  <si>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</si>
  <si>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</si>
  <si>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</si>
  <si>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</si>
  <si>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</si>
  <si>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</si>
  <si>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</si>
  <si>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</si>
  <si>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</si>
  <si>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</si>
  <si>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</si>
  <si>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</si>
  <si>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</si>
  <si>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</si>
  <si>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</si>
  <si>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</si>
  <si>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</si>
  <si>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</si>
  <si>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</si>
  <si>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</si>
  <si>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</si>
  <si>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</si>
  <si>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</si>
  <si>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</si>
  <si>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</si>
  <si>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</si>
  <si>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</si>
  <si>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</si>
  <si>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</si>
  <si>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</si>
  <si>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</si>
  <si>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</si>
  <si>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</si>
  <si>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</si>
  <si>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</si>
  <si>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</si>
  <si>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</si>
  <si>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</si>
  <si>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</si>
  <si>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</si>
  <si>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</si>
  <si>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</si>
  <si>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</si>
  <si>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</si>
  <si>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</si>
  <si>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</si>
  <si>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</si>
  <si>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</si>
  <si>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</si>
  <si>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</si>
  <si>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</si>
  <si>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</si>
  <si>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</si>
  <si>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</si>
  <si>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</si>
  <si>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</si>
  <si>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</si>
  <si>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</si>
  <si>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</si>
  <si>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</si>
  <si>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</si>
  <si>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</si>
  <si>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</si>
  <si>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</si>
  <si>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</si>
  <si>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</si>
  <si>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</si>
  <si>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</si>
  <si>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</si>
  <si>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</si>
  <si>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</si>
  <si>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</si>
  <si>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</si>
  <si>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</si>
  <si>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</si>
  <si>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</si>
  <si>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</si>
  <si>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</si>
  <si>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</si>
  <si>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</si>
  <si>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</si>
  <si>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</si>
  <si>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</si>
  <si>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</si>
  <si>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</si>
  <si>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</si>
  <si>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</si>
  <si>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</si>
  <si>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</si>
  <si>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</si>
  <si>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</si>
  <si>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</si>
  <si>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</si>
  <si>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</si>
  <si>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</si>
  <si>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</si>
  <si>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</si>
  <si>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</si>
  <si>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</si>
  <si>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</si>
  <si>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</si>
  <si>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</si>
  <si>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</si>
  <si>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</si>
  <si>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</si>
  <si>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</si>
  <si>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</si>
  <si>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</si>
  <si>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</si>
  <si>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</si>
  <si>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</si>
  <si>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</si>
  <si>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</si>
  <si>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</si>
  <si>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</si>
  <si>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</si>
  <si>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</si>
  <si>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</si>
  <si>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</si>
  <si>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</si>
  <si>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</si>
  <si>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</si>
  <si>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</si>
  <si>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</si>
  <si>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</si>
  <si>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</si>
  <si>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</si>
  <si>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</si>
  <si>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</si>
  <si>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</si>
  <si>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</si>
  <si>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</si>
  <si>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</si>
  <si>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</si>
  <si>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</si>
  <si>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</si>
  <si>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</si>
  <si>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</si>
  <si>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</si>
  <si>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</si>
  <si>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</si>
  <si>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</si>
  <si>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</si>
  <si>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</si>
  <si>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</si>
  <si>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</si>
  <si>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</si>
  <si>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</si>
  <si>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</si>
  <si>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</si>
  <si>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</si>
  <si>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</si>
  <si>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</si>
  <si>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</si>
  <si>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</si>
  <si>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</si>
  <si>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</si>
  <si>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</si>
  <si>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</si>
  <si>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</si>
  <si>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</si>
  <si>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</si>
  <si>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</si>
  <si>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</si>
  <si>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</si>
  <si>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</si>
  <si>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</si>
  <si>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</si>
  <si>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</si>
  <si>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</si>
  <si>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</si>
  <si>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</si>
  <si>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</si>
  <si>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</si>
  <si>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</si>
  <si>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</si>
  <si>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</si>
  <si>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</si>
  <si>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</si>
  <si>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</si>
  <si>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</si>
  <si>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</si>
  <si>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</si>
  <si>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</si>
  <si>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</si>
  <si>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</si>
  <si>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</si>
  <si>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</si>
  <si>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</si>
  <si>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</si>
  <si>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</si>
  <si>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</si>
  <si>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</si>
  <si>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</si>
  <si>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</si>
  <si>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</si>
  <si>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</si>
  <si>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</si>
  <si>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</si>
  <si>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</si>
  <si>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</si>
  <si>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</si>
  <si>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</si>
  <si>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</si>
  <si>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</si>
  <si>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</si>
  <si>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</si>
  <si>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</si>
  <si>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</si>
  <si>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</si>
  <si>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</si>
  <si>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</si>
  <si>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</si>
  <si>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</si>
  <si>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</si>
  <si>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</si>
  <si>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</si>
  <si>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</si>
  <si>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</si>
  <si>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</si>
  <si>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</si>
  <si>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</si>
  <si>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</si>
  <si>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</si>
  <si>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</si>
  <si>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</si>
  <si>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</si>
  <si>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</si>
  <si>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</si>
  <si>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</si>
  <si>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</si>
  <si>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</si>
  <si>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</si>
  <si>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</si>
  <si>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</si>
  <si>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</si>
  <si>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</si>
  <si>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</si>
  <si>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</si>
  <si>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</si>
  <si>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</si>
  <si>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</si>
  <si>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</si>
  <si>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</si>
  <si>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</si>
  <si>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</si>
  <si>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</si>
  <si>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</si>
  <si>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</si>
  <si>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</si>
  <si>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</si>
  <si>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</si>
  <si>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</si>
  <si>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</si>
  <si>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</si>
  <si>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</si>
  <si>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</si>
  <si>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</si>
  <si>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</si>
  <si>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</si>
  <si>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</si>
  <si>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</si>
  <si>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</si>
  <si>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</si>
  <si>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</si>
  <si>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</si>
  <si>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</si>
  <si>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</si>
  <si>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</si>
  <si>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</si>
  <si>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</si>
  <si>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</si>
  <si>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</si>
  <si>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</si>
  <si>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</si>
  <si>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</si>
  <si>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</si>
  <si>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</si>
  <si>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</si>
  <si>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</si>
  <si>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</si>
  <si>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</si>
  <si>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</si>
  <si>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</si>
  <si>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</si>
  <si>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</si>
  <si>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</si>
  <si>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</si>
  <si>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</si>
  <si>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</si>
  <si>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</si>
  <si>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</si>
  <si>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</si>
  <si>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</si>
  <si>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</si>
  <si>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</si>
  <si>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</si>
  <si>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</si>
  <si>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</si>
  <si>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</si>
  <si>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</si>
  <si>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</si>
  <si>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</si>
  <si>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</si>
  <si>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</si>
  <si>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</si>
  <si>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</si>
  <si>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</si>
  <si>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</si>
  <si>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</si>
  <si>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</si>
  <si>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</si>
  <si>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</si>
  <si>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</si>
  <si>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</si>
  <si>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</si>
  <si>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</si>
  <si>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</si>
  <si>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</si>
  <si>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</si>
  <si>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</si>
  <si>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</si>
  <si>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</si>
  <si>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</si>
  <si>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</si>
  <si>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</si>
  <si>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</si>
  <si>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</si>
  <si>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</si>
  <si>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</si>
  <si>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</si>
  <si>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</si>
  <si>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</si>
  <si>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</si>
  <si>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</si>
  <si>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</si>
  <si>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</si>
  <si>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</si>
  <si>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</si>
  <si>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</si>
  <si>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</si>
  <si>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</si>
  <si>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</si>
  <si>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</si>
  <si>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</si>
  <si>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</si>
  <si>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</si>
  <si>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</si>
  <si>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</si>
  <si>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</si>
  <si>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</si>
  <si>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</si>
  <si>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</si>
  <si>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</si>
  <si>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</si>
  <si>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</si>
  <si>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</si>
  <si>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</si>
  <si>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</si>
  <si>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</si>
  <si>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</si>
  <si>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</si>
  <si>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</si>
  <si>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</si>
  <si>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</si>
  <si>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</si>
  <si>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</si>
  <si>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</si>
  <si>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</si>
  <si>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</si>
  <si>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</si>
  <si>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</si>
  <si>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</si>
  <si>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</si>
  <si>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</si>
  <si>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</si>
  <si>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</si>
  <si>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</si>
  <si>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</si>
  <si>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</si>
  <si>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</si>
  <si>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</si>
  <si>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</si>
  <si>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</si>
  <si>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</si>
  <si>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</si>
  <si>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</si>
  <si>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</si>
  <si>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</si>
  <si>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</si>
  <si>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</si>
  <si>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</si>
  <si>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</si>
  <si>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</si>
  <si>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</si>
  <si>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</si>
  <si>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</si>
  <si>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</si>
  <si>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</si>
  <si>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</si>
  <si>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</si>
  <si>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</si>
  <si>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</si>
  <si>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</si>
  <si>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</si>
  <si>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</si>
  <si>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</si>
  <si>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</si>
  <si>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</si>
  <si>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</si>
  <si>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</si>
  <si>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</si>
  <si>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</si>
  <si>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</si>
  <si>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</si>
  <si>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</si>
  <si>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</si>
  <si>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</si>
  <si>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</si>
  <si>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</si>
  <si>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</si>
  <si>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</si>
  <si>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</si>
  <si>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</si>
  <si>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</si>
  <si>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</si>
  <si>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</si>
  <si>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</si>
  <si>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</si>
  <si>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</si>
  <si>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</si>
  <si>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</si>
  <si>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</si>
  <si>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</si>
  <si>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</si>
  <si>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</si>
  <si>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</si>
  <si>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</si>
  <si>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</si>
  <si>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</si>
  <si>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</si>
  <si>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</si>
  <si>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</si>
  <si>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</si>
  <si>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</si>
  <si>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</si>
  <si>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</si>
  <si>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</si>
  <si>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</si>
  <si>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</si>
  <si>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</si>
  <si>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</si>
  <si>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</si>
  <si>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</si>
  <si>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</si>
  <si>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</si>
  <si>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</si>
  <si>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</si>
  <si>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</si>
  <si>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</si>
  <si>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</si>
  <si>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</si>
  <si>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</si>
  <si>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</si>
  <si>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</si>
  <si>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</si>
  <si>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</si>
  <si>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</si>
  <si>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</si>
  <si>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</si>
  <si>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</si>
  <si>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</si>
  <si>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</si>
  <si>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</si>
  <si>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</si>
  <si>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</si>
  <si>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</si>
  <si>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</si>
  <si>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</si>
  <si>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</si>
  <si>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</si>
  <si>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</si>
  <si>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</si>
  <si>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</si>
  <si>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</si>
  <si>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</si>
  <si>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</si>
  <si>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</si>
  <si>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</si>
  <si>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</si>
  <si>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</si>
  <si>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</si>
  <si>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</si>
  <si>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</si>
  <si>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</si>
  <si>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</si>
  <si>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</si>
  <si>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</si>
  <si>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</si>
  <si>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</si>
  <si>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</si>
  <si>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</si>
  <si>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</si>
  <si>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</si>
  <si>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</si>
  <si>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</si>
  <si>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</si>
  <si>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</si>
  <si>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</si>
  <si>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</si>
  <si>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</si>
  <si>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</si>
  <si>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</si>
  <si>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</si>
  <si>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</si>
  <si>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</si>
  <si>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</si>
  <si>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</si>
  <si>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</si>
  <si>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</si>
  <si>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</si>
  <si>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</si>
  <si>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</si>
  <si>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</si>
  <si>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</si>
  <si>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</si>
  <si>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</si>
  <si>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</si>
  <si>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</si>
  <si>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</si>
  <si>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</si>
  <si>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</si>
  <si>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</si>
  <si>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</si>
  <si>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</si>
  <si>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</si>
  <si>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</si>
  <si>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</si>
  <si>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</si>
  <si>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</si>
  <si>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</si>
  <si>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</si>
  <si>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</si>
  <si>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</si>
  <si>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</si>
  <si>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</si>
  <si>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</si>
  <si>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</si>
  <si>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</si>
  <si>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</si>
  <si>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</si>
  <si>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</si>
  <si>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</si>
  <si>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</si>
  <si>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</si>
  <si>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</si>
  <si>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</si>
  <si>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</si>
  <si>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</si>
  <si>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</si>
  <si>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</si>
  <si>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</si>
  <si>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</si>
  <si>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</si>
  <si>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</si>
  <si>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</si>
  <si>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</si>
  <si>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</si>
  <si>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</si>
  <si>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</si>
  <si>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</si>
  <si>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</si>
  <si>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</si>
  <si>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</si>
  <si>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</si>
  <si>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</si>
  <si>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</si>
  <si>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</si>
  <si>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</si>
  <si>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</si>
  <si>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</si>
  <si>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</si>
  <si>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</si>
  <si>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</si>
  <si>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</si>
  <si>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</si>
  <si>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</si>
  <si>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</si>
  <si>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</si>
  <si>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</si>
  <si>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</si>
  <si>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</si>
  <si>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</si>
  <si>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</si>
  <si>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</si>
  <si>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</si>
  <si>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</si>
  <si>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</si>
  <si>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</si>
  <si>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</si>
  <si>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</si>
  <si>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</si>
  <si>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</si>
  <si>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</si>
  <si>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</si>
  <si>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</si>
  <si>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</si>
  <si>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</si>
  <si>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</si>
  <si>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</si>
  <si>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</si>
  <si>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</si>
  <si>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</si>
  <si>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</si>
  <si>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</si>
  <si>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</si>
  <si>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</si>
  <si>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</si>
  <si>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</si>
  <si>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</si>
  <si>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</si>
  <si>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</si>
  <si>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</si>
  <si>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</si>
  <si>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</si>
  <si>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</si>
  <si>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</si>
  <si>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</si>
  <si>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</si>
  <si>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</si>
  <si>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</si>
  <si>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</si>
  <si>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</si>
  <si>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</si>
  <si>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</si>
  <si>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</si>
  <si>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</si>
  <si>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</si>
  <si>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</si>
  <si>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</si>
  <si>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</si>
  <si>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</si>
  <si>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</si>
  <si>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</si>
  <si>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</si>
  <si>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</si>
  <si>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</si>
  <si>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</si>
  <si>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</si>
  <si>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</si>
  <si>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</si>
  <si>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</si>
  <si>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</si>
  <si>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</si>
  <si>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</si>
  <si>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</si>
  <si>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</si>
  <si>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</si>
  <si>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</si>
  <si>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</si>
  <si>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</si>
  <si>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</si>
  <si>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</si>
  <si>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</si>
  <si>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</si>
  <si>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</si>
  <si>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</si>
  <si>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</si>
  <si>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</si>
  <si>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</si>
  <si>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</si>
  <si>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</si>
  <si>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</si>
  <si>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</si>
  <si>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</si>
  <si>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</si>
  <si>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</si>
  <si>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</si>
  <si>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</si>
  <si>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</si>
  <si>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</si>
  <si>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</si>
  <si>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</si>
  <si>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</si>
  <si>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</si>
  <si>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</si>
  <si>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</si>
  <si>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</si>
  <si>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</si>
  <si>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</si>
  <si>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</si>
  <si>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</si>
  <si>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</si>
  <si>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</si>
  <si>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</si>
  <si>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</si>
  <si>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</si>
  <si>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</si>
  <si>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</si>
  <si>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</si>
  <si>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</si>
  <si>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</si>
  <si>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</si>
  <si>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</si>
  <si>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</si>
  <si>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</si>
  <si>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</si>
  <si>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</si>
  <si>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</si>
  <si>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</si>
  <si>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</si>
  <si>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</si>
  <si>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</si>
  <si>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</si>
  <si>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</si>
  <si>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</si>
  <si>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</si>
  <si>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</si>
  <si>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</si>
  <si>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</si>
  <si>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</si>
  <si>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</si>
  <si>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</si>
  <si>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</si>
  <si>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</si>
  <si>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</si>
  <si>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</si>
  <si>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</si>
  <si>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</si>
  <si>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</si>
  <si>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</si>
  <si>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</si>
  <si>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</si>
  <si>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</si>
  <si>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</si>
  <si>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</si>
  <si>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</si>
  <si>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</si>
  <si>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</si>
  <si>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</si>
  <si>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</si>
  <si>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</si>
  <si>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</si>
  <si>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</si>
  <si>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</si>
  <si>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</si>
  <si>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</si>
  <si>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</si>
  <si>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</si>
  <si>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</si>
  <si>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</si>
  <si>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</si>
  <si>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</si>
  <si>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</si>
  <si>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</si>
  <si>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</si>
  <si>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</si>
  <si>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</si>
  <si>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</si>
  <si>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</si>
  <si>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</si>
  <si>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</si>
  <si>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</si>
  <si>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</si>
  <si>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</si>
  <si>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</si>
  <si>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</si>
  <si>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</si>
  <si>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</si>
  <si>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</si>
  <si>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</si>
  <si>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</si>
  <si>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</si>
  <si>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</si>
  <si>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</si>
  <si>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</si>
  <si>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</si>
  <si>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</si>
  <si>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</si>
  <si>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</si>
  <si>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</si>
  <si>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</si>
  <si>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</si>
  <si>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</si>
  <si>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</si>
  <si>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</si>
  <si>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</si>
  <si>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</si>
  <si>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</si>
  <si>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</si>
  <si>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</si>
  <si>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</si>
  <si>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</si>
  <si>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</si>
  <si>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</si>
  <si>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</si>
  <si>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</si>
  <si>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</si>
  <si>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</si>
  <si>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</si>
  <si>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</si>
  <si>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</si>
  <si>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</si>
  <si>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</si>
  <si>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</si>
  <si>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</si>
  <si>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</si>
  <si>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</si>
  <si>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</si>
  <si>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</si>
  <si>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</si>
  <si>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</si>
  <si>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</si>
  <si>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</si>
  <si>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</si>
  <si>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</si>
  <si>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</si>
  <si>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</si>
  <si>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</si>
  <si>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</si>
  <si>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</si>
  <si>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</si>
  <si>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</si>
  <si>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</si>
  <si>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</si>
  <si>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</si>
  <si>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</si>
  <si>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</si>
  <si>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</si>
  <si>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</si>
  <si>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</si>
  <si>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</si>
  <si>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</si>
  <si>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</si>
  <si>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</si>
  <si>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</si>
  <si>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</si>
  <si>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</si>
  <si>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</si>
  <si>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</si>
  <si>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</si>
  <si>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</si>
  <si>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</si>
  <si>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</si>
  <si>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</si>
  <si>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</si>
  <si>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</si>
  <si>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</si>
  <si>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</si>
  <si>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</si>
  <si>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</si>
  <si>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</si>
  <si>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</si>
  <si>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</si>
  <si>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</si>
  <si>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</si>
  <si>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</si>
  <si>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</si>
  <si>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</si>
  <si>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</si>
  <si>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</si>
  <si>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</si>
  <si>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</si>
  <si>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</si>
  <si>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</si>
  <si>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</si>
  <si>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</si>
  <si>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</si>
  <si>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</si>
  <si>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</si>
  <si>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</si>
  <si>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</si>
  <si>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</si>
  <si>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</si>
  <si>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</si>
  <si>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</si>
  <si>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</si>
  <si>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</si>
  <si>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</si>
  <si>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</si>
  <si>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</si>
  <si>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</si>
  <si>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</si>
  <si>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</si>
  <si>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</si>
  <si>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</si>
  <si>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</si>
  <si>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</si>
  <si>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</si>
  <si>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</si>
  <si>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</si>
  <si>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</si>
  <si>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</si>
  <si>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</si>
  <si>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</si>
  <si>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</si>
  <si>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</si>
  <si>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</si>
  <si>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</si>
  <si>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</si>
  <si>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</si>
  <si>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</si>
  <si>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</si>
  <si>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</si>
  <si>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</si>
  <si>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</si>
  <si>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</si>
  <si>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</si>
  <si>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</si>
  <si>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</si>
  <si>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</si>
  <si>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</si>
  <si>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</si>
  <si>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</si>
  <si>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</si>
  <si>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</si>
  <si>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</si>
  <si>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</si>
  <si>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</si>
  <si>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</si>
  <si>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</si>
  <si>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</si>
  <si>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</si>
  <si>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</si>
  <si>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</si>
  <si>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</si>
  <si>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</si>
  <si>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</si>
  <si>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</si>
  <si>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</si>
  <si>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</si>
  <si>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</si>
  <si>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</si>
  <si>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</si>
  <si>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</si>
  <si>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</si>
  <si>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</si>
  <si>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</si>
  <si>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</si>
  <si>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</si>
  <si>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</si>
  <si>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</si>
  <si>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</si>
  <si>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</si>
  <si>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</si>
  <si>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</si>
  <si>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</si>
  <si>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</si>
  <si>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</si>
  <si>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</si>
  <si>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</si>
  <si>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</si>
  <si>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</si>
  <si>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</si>
  <si>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</si>
  <si>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</si>
  <si>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</si>
  <si>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</si>
  <si>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</si>
  <si>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</si>
  <si>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</si>
  <si>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</si>
  <si>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</si>
  <si>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</si>
  <si>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</si>
  <si>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</si>
  <si>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</si>
  <si>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</si>
  <si>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</si>
  <si>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</si>
  <si>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</si>
  <si>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</si>
  <si>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</si>
  <si>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</si>
  <si>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</si>
  <si>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</si>
  <si>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</si>
  <si>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</si>
  <si>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</si>
  <si>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</si>
  <si>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</si>
  <si>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</si>
  <si>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</si>
  <si>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</si>
  <si>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</si>
  <si>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</si>
  <si>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</si>
  <si>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</si>
  <si>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</si>
  <si>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</si>
  <si>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</si>
  <si>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</si>
  <si>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</si>
  <si>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</si>
  <si>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</si>
  <si>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</si>
  <si>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</si>
  <si>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</si>
  <si>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</si>
  <si>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</si>
  <si>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</si>
  <si>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</si>
  <si>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</si>
  <si>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</si>
  <si>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</si>
  <si>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</si>
  <si>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</si>
  <si>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</si>
  <si>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</si>
  <si>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</si>
  <si>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</si>
  <si>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</si>
  <si>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</si>
  <si>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</si>
  <si>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</si>
  <si>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</si>
  <si>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</si>
  <si>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</si>
  <si>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</si>
  <si>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</si>
  <si>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</si>
  <si>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</si>
  <si>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</si>
  <si>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</si>
  <si>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</si>
  <si>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</si>
  <si>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</si>
  <si>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</si>
  <si>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</si>
  <si>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</si>
  <si>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</si>
  <si>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</si>
  <si>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</si>
  <si>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</si>
  <si>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</si>
  <si>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</si>
  <si>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</si>
  <si>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</si>
  <si>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</si>
  <si>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</si>
  <si>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</si>
  <si>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</si>
  <si>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</si>
  <si>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</si>
  <si>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</si>
  <si>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</si>
  <si>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</si>
  <si>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</si>
  <si>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</si>
  <si>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</si>
  <si>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</si>
  <si>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</si>
  <si>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</si>
  <si>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</si>
  <si>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</si>
  <si>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</si>
  <si>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</si>
  <si>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</si>
  <si>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</si>
  <si>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</si>
  <si>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</si>
  <si>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</si>
  <si>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</si>
  <si>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</si>
  <si>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</si>
  <si>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</si>
  <si>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</si>
  <si>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</si>
  <si>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</si>
  <si>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</si>
  <si>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</si>
  <si>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</si>
  <si>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</si>
  <si>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</si>
  <si>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</si>
  <si>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</si>
  <si>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</si>
  <si>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</si>
  <si>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</si>
  <si>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</si>
  <si>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</si>
  <si>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</si>
  <si>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</si>
  <si>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</si>
  <si>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</si>
  <si>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</si>
  <si>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</si>
  <si>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</si>
  <si>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</si>
  <si>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</si>
  <si>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</si>
  <si>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</si>
  <si>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</si>
  <si>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</si>
  <si>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</si>
  <si>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</si>
  <si>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</si>
  <si>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</si>
  <si>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</si>
  <si>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</si>
  <si>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</si>
  <si>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</si>
  <si>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</si>
  <si>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</si>
  <si>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</si>
  <si>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</si>
  <si>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</si>
  <si>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</si>
  <si>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</si>
  <si>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</si>
  <si>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</si>
  <si>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</si>
  <si>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</si>
  <si>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</si>
  <si>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</si>
  <si>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</si>
  <si>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</si>
  <si>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</si>
  <si>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</si>
  <si>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</si>
  <si>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</si>
  <si>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</si>
  <si>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</si>
  <si>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</si>
  <si>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</si>
  <si>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</si>
  <si>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</si>
  <si>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</si>
  <si>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</si>
  <si>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</si>
  <si>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</si>
  <si>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</si>
  <si>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</si>
  <si>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</si>
  <si>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</si>
  <si>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</si>
  <si>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</si>
  <si>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</si>
  <si>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</si>
  <si>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</si>
  <si>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</si>
  <si>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</si>
  <si>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</si>
  <si>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</si>
  <si>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</si>
  <si>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</si>
  <si>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</si>
  <si>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</si>
  <si>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</si>
  <si>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</si>
  <si>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</si>
  <si>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</si>
  <si>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</si>
  <si>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</si>
  <si>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</si>
  <si>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</si>
  <si>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</si>
  <si>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</si>
  <si>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</si>
  <si>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</si>
  <si>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</si>
  <si>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</si>
  <si>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</si>
  <si>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</si>
  <si>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</si>
  <si>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</si>
  <si>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</si>
  <si>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</si>
  <si>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</si>
  <si>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</si>
  <si>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</si>
  <si>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</si>
  <si>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</si>
  <si>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</si>
  <si>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</si>
  <si>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</si>
  <si>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</si>
  <si>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</si>
  <si>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</si>
  <si>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</si>
  <si>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</si>
  <si>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</si>
  <si>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</si>
  <si>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</si>
  <si>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</si>
  <si>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</si>
  <si>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</si>
  <si>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</si>
  <si>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</si>
  <si>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</si>
  <si>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</si>
  <si>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</si>
  <si>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</si>
  <si>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</si>
  <si>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</si>
  <si>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</si>
  <si>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</si>
  <si>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</si>
  <si>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</si>
  <si>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</si>
  <si>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</si>
  <si>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</si>
  <si>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</si>
  <si>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</si>
  <si>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</si>
  <si>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</si>
  <si>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</si>
  <si>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</si>
  <si>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</si>
  <si>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</si>
  <si>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</si>
  <si>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</si>
  <si>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</si>
  <si>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</si>
  <si>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</si>
  <si>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</si>
  <si>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</si>
  <si>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</si>
  <si>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</si>
  <si>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</si>
  <si>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</si>
  <si>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</si>
  <si>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</si>
  <si>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</si>
  <si>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</si>
  <si>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</si>
  <si>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</si>
  <si>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</si>
  <si>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</si>
  <si>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</si>
  <si>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</si>
  <si>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</si>
  <si>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</si>
  <si>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</si>
  <si>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</si>
  <si>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</si>
  <si>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</si>
  <si>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</si>
  <si>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</si>
  <si>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</si>
  <si>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</si>
  <si>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</si>
  <si>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</si>
  <si>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</si>
  <si>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</si>
  <si>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</si>
  <si>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</si>
  <si>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</si>
  <si>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</si>
  <si>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</si>
  <si>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</si>
  <si>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</si>
  <si>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</si>
  <si>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</si>
  <si>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</si>
  <si>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</si>
  <si>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</si>
  <si>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</si>
  <si>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</si>
  <si>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</si>
  <si>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</si>
  <si>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</si>
  <si>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</si>
  <si>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</si>
  <si>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</si>
  <si>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</si>
  <si>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</si>
  <si>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</si>
  <si>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</si>
  <si>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</si>
  <si>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</si>
  <si>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</si>
  <si>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</si>
  <si>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</si>
  <si>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</si>
  <si>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</si>
  <si>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</si>
  <si>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</si>
  <si>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</si>
  <si>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</si>
  <si>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</si>
  <si>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</si>
  <si>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</si>
  <si>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</si>
  <si>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</si>
  <si>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</si>
  <si>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</si>
  <si>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</si>
  <si>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</si>
  <si>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</si>
  <si>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</si>
  <si>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</si>
  <si>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</si>
  <si>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</si>
  <si>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</si>
  <si>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</si>
  <si>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</si>
  <si>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</si>
  <si>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</si>
  <si>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</si>
  <si>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</si>
  <si>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</si>
  <si>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</si>
  <si>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</si>
  <si>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</si>
  <si>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</si>
  <si>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</si>
  <si>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</si>
  <si>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</si>
  <si>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</si>
  <si>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</si>
  <si>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</si>
  <si>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</si>
  <si>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</si>
  <si>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</si>
  <si>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</si>
  <si>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</si>
  <si>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</si>
  <si>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</si>
  <si>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</si>
  <si>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</si>
  <si>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</si>
  <si>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</si>
  <si>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</si>
  <si>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</si>
  <si>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</si>
  <si>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</si>
  <si>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</si>
  <si>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</si>
  <si>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</si>
  <si>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</si>
  <si>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</si>
  <si>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</si>
  <si>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</si>
  <si>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</si>
  <si>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</si>
  <si>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</si>
  <si>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</si>
  <si>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</si>
  <si>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</si>
  <si>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</si>
  <si>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</si>
  <si>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</si>
  <si>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</si>
  <si>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</si>
  <si>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</si>
  <si>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</si>
  <si>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</si>
  <si>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</si>
  <si>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</si>
  <si>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</si>
  <si>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</si>
  <si>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</si>
  <si>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</si>
  <si>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</si>
  <si>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</si>
  <si>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</si>
  <si>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</si>
  <si>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</si>
  <si>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</si>
  <si>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</si>
  <si>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</si>
  <si>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</si>
  <si>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</si>
  <si>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</si>
  <si>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</si>
  <si>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</si>
  <si>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</si>
  <si>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</si>
  <si>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</si>
  <si>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</si>
  <si>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</si>
  <si>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</si>
  <si>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</si>
  <si>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</si>
  <si>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</si>
  <si>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</si>
  <si>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</si>
  <si>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</si>
  <si>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</si>
  <si>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</si>
  <si>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</si>
  <si>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</si>
  <si>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</si>
  <si>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</si>
  <si>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</si>
  <si>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</si>
  <si>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</si>
  <si>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</si>
  <si>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</si>
  <si>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</si>
  <si>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</si>
  <si>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</si>
  <si>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</si>
  <si>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</si>
  <si>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</si>
  <si>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</si>
  <si>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</si>
  <si>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</si>
  <si>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</si>
  <si>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</si>
  <si>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</si>
  <si>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</si>
  <si>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</si>
  <si>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</si>
  <si>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</si>
  <si>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</si>
  <si>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</si>
  <si>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</si>
  <si>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</si>
  <si>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</si>
  <si>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</si>
  <si>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</si>
  <si>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</si>
  <si>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</si>
  <si>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</si>
  <si>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</si>
  <si>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</si>
  <si>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</si>
  <si>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</si>
  <si>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</si>
  <si>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</si>
  <si>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</si>
  <si>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</si>
  <si>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</si>
  <si>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</si>
  <si>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</si>
  <si>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</si>
  <si>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</si>
  <si>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</si>
  <si>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</si>
  <si>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</si>
  <si>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</si>
  <si>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</si>
  <si>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</si>
  <si>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</si>
  <si>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</si>
  <si>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</si>
  <si>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</si>
  <si>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</si>
  <si>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</si>
  <si>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</si>
  <si>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</si>
  <si>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</si>
  <si>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</si>
  <si>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</si>
  <si>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</si>
  <si>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</si>
  <si>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</si>
  <si>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</si>
  <si>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</si>
  <si>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</si>
  <si>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</si>
  <si>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</si>
  <si>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</si>
  <si>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</si>
  <si>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</si>
  <si>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</si>
  <si>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</si>
  <si>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</si>
  <si>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</si>
  <si>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</si>
  <si>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</si>
  <si>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</si>
  <si>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</si>
  <si>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</si>
  <si>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</si>
  <si>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</si>
  <si>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</si>
  <si>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</si>
  <si>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</si>
  <si>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</si>
  <si>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</si>
  <si>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</si>
  <si>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</si>
  <si>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</si>
  <si>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</si>
  <si>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</si>
  <si>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</si>
  <si>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</si>
  <si>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</si>
  <si>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</si>
  <si>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</si>
  <si>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</si>
  <si>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</si>
  <si>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</si>
  <si>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</si>
  <si>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</si>
  <si>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</si>
  <si>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</si>
  <si>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</si>
  <si>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</si>
  <si>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</si>
  <si>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</si>
  <si>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</si>
  <si>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</si>
  <si>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</si>
  <si>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</si>
  <si>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</si>
  <si>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</si>
  <si>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</si>
  <si>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</si>
  <si>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</si>
  <si>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</si>
  <si>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</si>
  <si>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</si>
  <si>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</si>
  <si>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</si>
  <si>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</si>
  <si>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</si>
  <si>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</si>
  <si>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</si>
  <si>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</si>
  <si>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</si>
  <si>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</si>
  <si>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</si>
  <si>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</si>
  <si>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</si>
  <si>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</si>
  <si>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</si>
  <si>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</si>
  <si>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</si>
  <si>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</si>
  <si>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</si>
  <si>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</si>
  <si>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</si>
  <si>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</si>
  <si>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</si>
  <si>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</si>
  <si>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</si>
  <si>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</si>
  <si>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</si>
  <si>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</si>
  <si>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</si>
  <si>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</si>
  <si>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</si>
  <si>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</si>
  <si>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</si>
  <si>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</si>
  <si>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</si>
  <si>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</si>
  <si>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</si>
  <si>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</si>
  <si>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</si>
  <si>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</si>
  <si>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</si>
  <si>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</si>
  <si>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</si>
  <si>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</si>
  <si>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</si>
  <si>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</si>
  <si>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</si>
  <si>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</si>
  <si>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</si>
  <si>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</si>
  <si>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</si>
  <si>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</si>
  <si>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</si>
  <si>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</si>
  <si>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</si>
  <si>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</si>
  <si>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</si>
  <si>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</si>
  <si>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</si>
  <si>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</si>
  <si>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</si>
  <si>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</si>
  <si>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</si>
  <si>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</si>
  <si>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</si>
  <si>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</si>
  <si>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</si>
  <si>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</si>
  <si>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</si>
  <si>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</si>
  <si>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</si>
  <si>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</si>
  <si>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</si>
  <si>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</si>
  <si>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</si>
  <si>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</si>
  <si>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</si>
  <si>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</si>
  <si>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</si>
  <si>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</si>
  <si>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</si>
  <si>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</si>
  <si>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</si>
  <si>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</si>
  <si>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</si>
  <si>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</si>
  <si>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</si>
  <si>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Douglas A. Ess, CPA</t>
  </si>
  <si>
    <t>Capital Lease/Purchase</t>
  </si>
  <si>
    <t>Kaskaskia Special Education District</t>
  </si>
  <si>
    <t>ITEMIZATION OF REQUIRED ITEMS:</t>
  </si>
  <si>
    <t>Brad Morris</t>
  </si>
  <si>
    <t>618-532-1826</t>
  </si>
  <si>
    <t>Clinton</t>
  </si>
  <si>
    <t>1500 Case</t>
  </si>
  <si>
    <t>bmorris@northwamac.com</t>
  </si>
  <si>
    <t>618-532-8250</t>
  </si>
  <si>
    <t>General Obligation Working Cash Bonds</t>
  </si>
  <si>
    <t>General Obligation Life Safety Bonds</t>
  </si>
  <si>
    <t>O&amp;M-O&amp;M Servies-Purchased Services</t>
  </si>
  <si>
    <t>20-2540-300</t>
  </si>
  <si>
    <t>AAA Trash</t>
  </si>
  <si>
    <t>Education-Admin Services-Purchased Services</t>
  </si>
  <si>
    <t>10-2300-300</t>
  </si>
  <si>
    <t>Glass &amp; Shuffett Ltd</t>
  </si>
  <si>
    <t>Jax Asphalt</t>
  </si>
  <si>
    <t>Transportation-Transportation Services-Purchased Services</t>
  </si>
  <si>
    <t>40-2550-300</t>
  </si>
  <si>
    <t>South Central Transit</t>
  </si>
  <si>
    <t>LINE 74, EDUCATION FUND:</t>
  </si>
  <si>
    <t>SODA MACHINE RECEIPTS</t>
  </si>
  <si>
    <t>LINE 107, EDUCATION FUND:</t>
  </si>
  <si>
    <t>E-RATE RECEIPTS</t>
  </si>
  <si>
    <t>REFUND</t>
  </si>
  <si>
    <t>LINE 168, EDUCATION FUND:</t>
  </si>
  <si>
    <t>HEALTHY COMMUNITY GRANT</t>
  </si>
  <si>
    <t>LINE 168, OPERATIONS &amp; MAINTENANCE FUND:</t>
  </si>
  <si>
    <t>LINE 41, SUPPLIES:</t>
  </si>
  <si>
    <t>STUDENT AWARDS</t>
  </si>
  <si>
    <t>LINE 171, OTHER:</t>
  </si>
  <si>
    <t>BOND AGENT FEE</t>
  </si>
  <si>
    <t>Capital Lease - 2018 Bus</t>
  </si>
  <si>
    <t>OTHER SOURCES OF FUNDS:</t>
  </si>
  <si>
    <t>LINE 43, TRANSPORTATION FUND:</t>
  </si>
  <si>
    <t>CAPITAL LEASE PROCEEDS</t>
  </si>
  <si>
    <t>North Wamac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</si>
</sst>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0" xfId="19" applyNumberFormat="1" applyFont="1"/>
    <xf numFmtId="181" fontId="56" fillId="0" borderId="78" xfId="19" applyNumberFormat="1" applyFont="1" applyBorder="1"/>
    <xf numFmtId="181" fontId="56" fillId="0" borderId="165" xfId="19" applyNumberFormat="1" applyFont="1" applyBorder="1"/>
    <xf numFmtId="181" fontId="56" fillId="0" borderId="166"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152400</xdr:rowOff>
        </xdr:from>
        <xdr:to>
          <xdr:col>1</xdr:col>
          <xdr:colOff>914400</xdr:colOff>
          <xdr:row>11</xdr:row>
          <xdr:rowOff>76200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7" t="s">
        <v>403</v>
      </c>
      <c r="J1" s="1988"/>
      <c r="K1" s="1988"/>
      <c r="L1" s="1988"/>
      <c r="M1" s="1988"/>
      <c r="N1" s="1988"/>
      <c r="O1" s="1988"/>
      <c r="P1" s="1988"/>
      <c r="Q1" s="1988"/>
      <c r="R1" s="1988"/>
      <c r="S1" s="1988"/>
    </row>
    <row r="2" spans="1:28" ht="12" customHeight="1" x14ac:dyDescent="0.2">
      <c r="A2" s="47" t="s">
        <v>1991</v>
      </c>
      <c r="D2" s="48"/>
      <c r="I2" s="1989" t="s">
        <v>977</v>
      </c>
      <c r="J2" s="1988"/>
      <c r="K2" s="1988"/>
      <c r="L2" s="1988"/>
      <c r="M2" s="1988"/>
      <c r="N2" s="1988"/>
      <c r="O2" s="1988"/>
      <c r="P2" s="1988"/>
      <c r="Q2" s="1988"/>
      <c r="R2" s="1988"/>
      <c r="S2" s="1988"/>
    </row>
    <row r="3" spans="1:28" ht="12" customHeight="1" x14ac:dyDescent="0.2">
      <c r="A3" s="155" t="s">
        <v>1943</v>
      </c>
      <c r="B3" s="156"/>
      <c r="C3" s="156"/>
      <c r="D3" s="157"/>
      <c r="I3" s="1989" t="s">
        <v>52</v>
      </c>
      <c r="J3" s="1988"/>
      <c r="K3" s="1988"/>
      <c r="L3" s="1988"/>
      <c r="M3" s="1988"/>
      <c r="N3" s="1988"/>
      <c r="O3" s="1988"/>
      <c r="P3" s="1988"/>
      <c r="Q3" s="1988"/>
      <c r="R3" s="1988"/>
      <c r="S3" s="1988"/>
    </row>
    <row r="4" spans="1:28" ht="12" customHeight="1" x14ac:dyDescent="0.2">
      <c r="A4" s="37"/>
      <c r="I4" s="1989" t="s">
        <v>522</v>
      </c>
      <c r="J4" s="1988"/>
      <c r="K4" s="1988"/>
      <c r="L4" s="1988"/>
      <c r="M4" s="1988"/>
      <c r="N4" s="1988"/>
      <c r="O4" s="1988"/>
      <c r="P4" s="1988"/>
      <c r="Q4" s="1988"/>
      <c r="R4" s="1988"/>
      <c r="S4" s="1988"/>
    </row>
    <row r="5" spans="1:28" ht="14.1" customHeight="1" x14ac:dyDescent="0.2">
      <c r="B5" s="104" t="s">
        <v>2070</v>
      </c>
      <c r="C5" s="26" t="s">
        <v>908</v>
      </c>
      <c r="D5" s="84"/>
      <c r="E5" s="84"/>
      <c r="H5" s="38"/>
      <c r="I5" s="1997" t="s">
        <v>678</v>
      </c>
      <c r="J5" s="1996"/>
      <c r="K5" s="1996"/>
      <c r="L5" s="1996"/>
      <c r="M5" s="1996"/>
      <c r="N5" s="1996"/>
      <c r="O5" s="1996"/>
      <c r="P5" s="1996"/>
      <c r="Q5" s="1996"/>
      <c r="R5" s="1996"/>
      <c r="S5" s="1996"/>
    </row>
    <row r="6" spans="1:28" ht="14.1" customHeight="1" x14ac:dyDescent="0.2">
      <c r="B6" s="104"/>
      <c r="C6" s="26" t="s">
        <v>909</v>
      </c>
      <c r="D6" s="84"/>
      <c r="E6" s="84"/>
      <c r="I6" s="1995" t="s">
        <v>881</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672</v>
      </c>
      <c r="J9" s="1993"/>
      <c r="K9" s="1993"/>
      <c r="L9" s="1993"/>
      <c r="M9" s="1993"/>
      <c r="N9" s="1993"/>
      <c r="O9" s="1993"/>
      <c r="P9" s="1993"/>
      <c r="Q9" s="1993"/>
      <c r="R9" s="1993"/>
      <c r="S9" s="1994"/>
      <c r="T9" s="2008" t="s">
        <v>531</v>
      </c>
      <c r="U9" s="2009"/>
      <c r="V9" s="2009"/>
      <c r="W9" s="2009"/>
      <c r="X9" s="2009"/>
      <c r="Y9" s="2009"/>
      <c r="Z9" s="2009"/>
      <c r="AA9" s="2010"/>
    </row>
    <row r="10" spans="1:28" ht="13.5" customHeight="1" x14ac:dyDescent="0.2">
      <c r="A10" s="2015" t="s">
        <v>673</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953</v>
      </c>
      <c r="B11" s="2019"/>
      <c r="C11" s="2019"/>
      <c r="D11" s="2019"/>
      <c r="E11" s="2019"/>
      <c r="F11" s="2019"/>
      <c r="G11" s="2019"/>
      <c r="H11" s="2020"/>
      <c r="I11" s="27"/>
      <c r="J11" s="74"/>
      <c r="K11" s="27"/>
      <c r="O11" s="148" t="s">
        <v>2070</v>
      </c>
      <c r="P11" s="100" t="s">
        <v>201</v>
      </c>
      <c r="Q11" s="30"/>
      <c r="R11" s="28"/>
      <c r="S11" s="27"/>
      <c r="T11" s="2012"/>
      <c r="U11" s="2013"/>
      <c r="V11" s="2013"/>
      <c r="W11" s="2013"/>
      <c r="X11" s="2013"/>
      <c r="Y11" s="2013"/>
      <c r="Z11" s="2013"/>
      <c r="AA11" s="2014"/>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2">
        <v>13014186002</v>
      </c>
      <c r="B13" s="2023"/>
      <c r="C13" s="2023"/>
      <c r="D13" s="2023"/>
      <c r="E13" s="2023"/>
      <c r="F13" s="2023"/>
      <c r="G13" s="2023"/>
      <c r="H13" s="2024"/>
      <c r="I13" s="31"/>
      <c r="J13" s="30"/>
      <c r="K13" s="28"/>
      <c r="L13" s="30"/>
      <c r="M13" s="30"/>
      <c r="N13" s="30"/>
      <c r="O13" s="30"/>
      <c r="P13" s="30"/>
      <c r="Q13" s="30"/>
      <c r="R13" s="30"/>
      <c r="S13" s="30"/>
      <c r="T13" s="2027" t="s">
        <v>2062</v>
      </c>
      <c r="U13" s="2028"/>
      <c r="V13" s="2028"/>
      <c r="W13" s="2028"/>
      <c r="X13" s="2028"/>
      <c r="Y13" s="2029"/>
      <c r="Z13" s="2029"/>
      <c r="AA13" s="2030"/>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21" t="s">
        <v>2077</v>
      </c>
      <c r="B15" s="2025"/>
      <c r="C15" s="2025"/>
      <c r="D15" s="2025"/>
      <c r="E15" s="2025"/>
      <c r="F15" s="2025"/>
      <c r="G15" s="2025"/>
      <c r="H15" s="2026"/>
      <c r="T15" s="2031" t="s">
        <v>2071</v>
      </c>
      <c r="U15" s="1975"/>
      <c r="V15" s="1975"/>
      <c r="W15" s="1975"/>
      <c r="X15" s="1975"/>
      <c r="Y15" s="2032"/>
      <c r="Z15" s="2032"/>
      <c r="AA15" s="2033"/>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1" t="s">
        <v>2109</v>
      </c>
      <c r="B17" s="1982"/>
      <c r="C17" s="1982"/>
      <c r="D17" s="1982"/>
      <c r="E17" s="1982"/>
      <c r="F17" s="1982"/>
      <c r="G17" s="1982"/>
      <c r="H17" s="2007"/>
      <c r="T17" s="2038" t="s">
        <v>2063</v>
      </c>
      <c r="U17" s="2039"/>
      <c r="V17" s="2039"/>
      <c r="W17" s="2039"/>
      <c r="X17" s="2039"/>
      <c r="Y17" s="2039"/>
      <c r="Z17" s="2039"/>
      <c r="AA17" s="2040"/>
    </row>
    <row r="18" spans="1:27" ht="13.5" customHeight="1" x14ac:dyDescent="0.2">
      <c r="A18" s="85" t="s">
        <v>528</v>
      </c>
      <c r="B18" s="76"/>
      <c r="C18" s="72"/>
      <c r="D18" s="76"/>
      <c r="E18" s="76"/>
      <c r="F18" s="76"/>
      <c r="G18" s="76"/>
      <c r="H18" s="56"/>
      <c r="I18" s="2006" t="s">
        <v>674</v>
      </c>
      <c r="J18" s="1957"/>
      <c r="K18" s="1957"/>
      <c r="L18" s="1957"/>
      <c r="M18" s="1957"/>
      <c r="N18" s="1957"/>
      <c r="O18" s="1957"/>
      <c r="P18" s="1957"/>
      <c r="Q18" s="1957"/>
      <c r="R18" s="1957"/>
      <c r="S18" s="1958"/>
      <c r="T18" s="85" t="s">
        <v>709</v>
      </c>
      <c r="U18" s="51"/>
      <c r="V18" s="72"/>
      <c r="W18" s="50"/>
      <c r="X18" s="85" t="s">
        <v>264</v>
      </c>
      <c r="Y18" s="81"/>
      <c r="Z18" s="159" t="s">
        <v>675</v>
      </c>
      <c r="AA18" s="46"/>
    </row>
    <row r="19" spans="1:27" ht="13.5" customHeight="1" x14ac:dyDescent="0.2">
      <c r="A19" s="2021" t="s">
        <v>2078</v>
      </c>
      <c r="B19" s="1967"/>
      <c r="C19" s="1967"/>
      <c r="D19" s="1967"/>
      <c r="E19" s="1967"/>
      <c r="F19" s="1967"/>
      <c r="G19" s="1967"/>
      <c r="H19" s="1947"/>
      <c r="I19" s="30"/>
      <c r="J19" s="99"/>
      <c r="K19" s="40"/>
      <c r="L19" s="38"/>
      <c r="M19" s="112" t="s">
        <v>313</v>
      </c>
      <c r="P19" s="27"/>
      <c r="Q19" s="27"/>
      <c r="R19" s="27"/>
      <c r="S19" s="31"/>
      <c r="T19" s="2021" t="s">
        <v>2064</v>
      </c>
      <c r="U19" s="1946"/>
      <c r="V19" s="1946"/>
      <c r="W19" s="1947"/>
      <c r="X19" s="2036" t="s">
        <v>2065</v>
      </c>
      <c r="Y19" s="2037"/>
      <c r="Z19" s="2034">
        <v>62801</v>
      </c>
      <c r="AA19" s="2035"/>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5" t="s">
        <v>2064</v>
      </c>
      <c r="B21" s="1946"/>
      <c r="C21" s="1946"/>
      <c r="D21" s="1946"/>
      <c r="E21" s="1946"/>
      <c r="F21" s="1946"/>
      <c r="G21" s="1946"/>
      <c r="H21" s="1947"/>
      <c r="I21" s="2001" t="s">
        <v>676</v>
      </c>
      <c r="J21" s="1996"/>
      <c r="K21" s="1996"/>
      <c r="L21" s="1996"/>
      <c r="M21" s="1996"/>
      <c r="N21" s="1996"/>
      <c r="O21" s="1996"/>
      <c r="P21" s="1996"/>
      <c r="Q21" s="1996"/>
      <c r="R21" s="1996"/>
      <c r="S21" s="2002"/>
      <c r="T21" s="2045" t="s">
        <v>2066</v>
      </c>
      <c r="U21" s="2046"/>
      <c r="V21" s="2046"/>
      <c r="W21" s="2046"/>
      <c r="X21" s="2051" t="s">
        <v>2067</v>
      </c>
      <c r="Y21" s="2052"/>
      <c r="Z21" s="2052"/>
      <c r="AA21" s="2053"/>
    </row>
    <row r="22" spans="1:27" ht="13.5" customHeight="1" x14ac:dyDescent="0.2">
      <c r="A22" s="87" t="s">
        <v>529</v>
      </c>
      <c r="B22" s="59"/>
      <c r="C22" s="59"/>
      <c r="D22" s="59"/>
      <c r="E22" s="59"/>
      <c r="F22" s="59"/>
      <c r="G22" s="59"/>
      <c r="H22" s="60"/>
      <c r="I22" s="2003" t="s">
        <v>1427</v>
      </c>
      <c r="J22" s="2004"/>
      <c r="K22" s="2004"/>
      <c r="L22" s="2004"/>
      <c r="M22" s="2004"/>
      <c r="N22" s="2004"/>
      <c r="O22" s="2004"/>
      <c r="P22" s="2004"/>
      <c r="Q22" s="2004"/>
      <c r="R22" s="2004"/>
      <c r="S22" s="2005"/>
      <c r="T22" s="85" t="s">
        <v>1514</v>
      </c>
      <c r="U22" s="51"/>
      <c r="V22" s="72"/>
      <c r="W22" s="51"/>
      <c r="X22" s="160" t="s">
        <v>1316</v>
      </c>
      <c r="Z22" s="45"/>
      <c r="AA22" s="46"/>
    </row>
    <row r="23" spans="1:27" ht="13.5" customHeight="1" x14ac:dyDescent="0.2">
      <c r="A23" s="1998" t="s">
        <v>2079</v>
      </c>
      <c r="B23" s="1999"/>
      <c r="C23" s="1999"/>
      <c r="D23" s="1999"/>
      <c r="E23" s="1999"/>
      <c r="F23" s="1999"/>
      <c r="G23" s="1999"/>
      <c r="H23" s="2000"/>
      <c r="T23" s="1981" t="s">
        <v>2068</v>
      </c>
      <c r="U23" s="2044"/>
      <c r="V23" s="2044"/>
      <c r="W23" s="2044"/>
      <c r="X23" s="2048">
        <v>44530</v>
      </c>
      <c r="Y23" s="2049"/>
      <c r="Z23" s="2049"/>
      <c r="AA23" s="2050"/>
    </row>
    <row r="24" spans="1:27" ht="14.1" customHeight="1" x14ac:dyDescent="0.2">
      <c r="A24" s="88" t="s">
        <v>675</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529</v>
      </c>
      <c r="U24" s="106"/>
      <c r="V24" s="106"/>
      <c r="W24" s="106"/>
      <c r="X24" s="107"/>
      <c r="Y24" s="107"/>
      <c r="Z24" s="107"/>
      <c r="AA24" s="108"/>
    </row>
    <row r="25" spans="1:27" ht="14.1" customHeight="1" x14ac:dyDescent="0.2">
      <c r="A25" s="1945">
        <v>62801</v>
      </c>
      <c r="B25" s="1946"/>
      <c r="C25" s="1946"/>
      <c r="D25" s="1946"/>
      <c r="E25" s="1946"/>
      <c r="F25" s="1946"/>
      <c r="G25" s="1946"/>
      <c r="H25" s="1947"/>
      <c r="I25" s="113"/>
      <c r="J25" s="1970"/>
      <c r="K25" s="1970"/>
      <c r="L25" s="1970"/>
      <c r="M25" s="1970"/>
      <c r="N25" s="1970"/>
      <c r="O25" s="1970"/>
      <c r="P25" s="1970"/>
      <c r="Q25" s="1970"/>
      <c r="R25" s="1970"/>
      <c r="S25" s="1971"/>
      <c r="T25" s="2041" t="s">
        <v>2069</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6" t="s">
        <v>1509</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48" t="s">
        <v>2070</v>
      </c>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81" t="s">
        <v>2075</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529</v>
      </c>
      <c r="B39" s="1952"/>
      <c r="C39" s="72"/>
      <c r="D39" s="69"/>
      <c r="E39" s="69"/>
      <c r="F39" s="79"/>
      <c r="G39" s="69"/>
      <c r="H39" s="56"/>
      <c r="I39" s="1951" t="s">
        <v>529</v>
      </c>
      <c r="J39" s="1952"/>
      <c r="K39" s="1952"/>
      <c r="L39" s="1952"/>
      <c r="M39" s="1952"/>
      <c r="N39" s="67"/>
      <c r="O39" s="72"/>
      <c r="P39" s="72"/>
      <c r="Q39" s="78"/>
      <c r="R39" s="72"/>
      <c r="S39" s="56"/>
      <c r="T39" s="72" t="s">
        <v>529</v>
      </c>
      <c r="U39" s="51"/>
      <c r="V39" s="72"/>
      <c r="W39" s="50"/>
      <c r="X39" s="78"/>
      <c r="Y39" s="45"/>
      <c r="Z39" s="45"/>
      <c r="AA39" s="46"/>
    </row>
    <row r="40" spans="1:27" ht="13.5" customHeight="1" x14ac:dyDescent="0.2">
      <c r="A40" s="1959" t="s">
        <v>2079</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3" t="s">
        <v>2076</v>
      </c>
      <c r="B42" s="1965"/>
      <c r="C42" s="1966"/>
      <c r="D42" s="1964" t="s">
        <v>2080</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1800</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1153</v>
      </c>
      <c r="B4" s="1749">
        <f>'Revenues 9-14'!C5</f>
        <v>131055</v>
      </c>
      <c r="C4" s="1524"/>
      <c r="D4" s="1752">
        <f>B4-C4</f>
        <v>131055</v>
      </c>
      <c r="E4" s="1524">
        <v>138743</v>
      </c>
      <c r="F4" s="1752">
        <f>E4-C4</f>
        <v>138743</v>
      </c>
    </row>
    <row r="5" spans="1:6" ht="13.7" customHeight="1" x14ac:dyDescent="0.2">
      <c r="A5" s="715" t="s">
        <v>868</v>
      </c>
      <c r="B5" s="1750">
        <f>'Revenues 9-14'!D5</f>
        <v>21841</v>
      </c>
      <c r="C5" s="585"/>
      <c r="D5" s="1753">
        <f t="shared" ref="D5:D18" si="0">B5-C5</f>
        <v>21841</v>
      </c>
      <c r="E5" s="585">
        <v>23124</v>
      </c>
      <c r="F5" s="1753">
        <f>E5-C5</f>
        <v>23124</v>
      </c>
    </row>
    <row r="6" spans="1:6" ht="13.7" customHeight="1" x14ac:dyDescent="0.2">
      <c r="A6" s="715" t="s">
        <v>409</v>
      </c>
      <c r="B6" s="1750">
        <f>'Revenues 9-14'!E5</f>
        <v>34887</v>
      </c>
      <c r="C6" s="585"/>
      <c r="D6" s="1753">
        <f t="shared" si="0"/>
        <v>34887</v>
      </c>
      <c r="E6" s="585">
        <v>35973</v>
      </c>
      <c r="F6" s="1753">
        <f t="shared" ref="F6:F18" si="1">E6-C6</f>
        <v>35973</v>
      </c>
    </row>
    <row r="7" spans="1:6" ht="13.7" customHeight="1" x14ac:dyDescent="0.2">
      <c r="A7" s="715" t="s">
        <v>155</v>
      </c>
      <c r="B7" s="1750">
        <f>'Revenues 9-14'!F5</f>
        <v>10484</v>
      </c>
      <c r="C7" s="585"/>
      <c r="D7" s="1753">
        <f t="shared" si="0"/>
        <v>10484</v>
      </c>
      <c r="E7" s="585">
        <v>11100</v>
      </c>
      <c r="F7" s="1753">
        <f t="shared" si="1"/>
        <v>11100</v>
      </c>
    </row>
    <row r="8" spans="1:6" ht="13.7" customHeight="1" x14ac:dyDescent="0.2">
      <c r="A8" s="715" t="s">
        <v>1177</v>
      </c>
      <c r="B8" s="1750">
        <f>'Revenues 9-14'!G5</f>
        <v>11131</v>
      </c>
      <c r="C8" s="585"/>
      <c r="D8" s="1753">
        <f t="shared" si="0"/>
        <v>11131</v>
      </c>
      <c r="E8" s="585">
        <v>11782</v>
      </c>
      <c r="F8" s="1753">
        <f t="shared" si="1"/>
        <v>11782</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4369</v>
      </c>
      <c r="C10" s="585"/>
      <c r="D10" s="1753">
        <f t="shared" si="0"/>
        <v>4369</v>
      </c>
      <c r="E10" s="585">
        <v>4625</v>
      </c>
      <c r="F10" s="1753">
        <f t="shared" si="1"/>
        <v>4625</v>
      </c>
    </row>
    <row r="11" spans="1:6" x14ac:dyDescent="0.2">
      <c r="A11" s="715" t="s">
        <v>407</v>
      </c>
      <c r="B11" s="1750">
        <f>'Revenues 9-14'!J5</f>
        <v>94927</v>
      </c>
      <c r="C11" s="585"/>
      <c r="D11" s="1753">
        <f t="shared" si="0"/>
        <v>94927</v>
      </c>
      <c r="E11" s="585">
        <v>100487</v>
      </c>
      <c r="F11" s="1753">
        <f t="shared" si="1"/>
        <v>100487</v>
      </c>
    </row>
    <row r="12" spans="1:6" ht="13.7" customHeight="1" x14ac:dyDescent="0.2">
      <c r="A12" s="715" t="s">
        <v>157</v>
      </c>
      <c r="B12" s="1750">
        <f>'Revenues 9-14'!K5</f>
        <v>4368</v>
      </c>
      <c r="C12" s="585"/>
      <c r="D12" s="1753">
        <f t="shared" si="0"/>
        <v>4368</v>
      </c>
      <c r="E12" s="585">
        <v>4625</v>
      </c>
      <c r="F12" s="1753">
        <f t="shared" si="1"/>
        <v>4625</v>
      </c>
    </row>
    <row r="13" spans="1:6" ht="13.7" customHeight="1" x14ac:dyDescent="0.2">
      <c r="A13" s="715" t="s">
        <v>934</v>
      </c>
      <c r="B13" s="1750">
        <f>SUM('Revenues 9-14'!C6:D6)</f>
        <v>4369</v>
      </c>
      <c r="C13" s="585"/>
      <c r="D13" s="1753">
        <f t="shared" si="0"/>
        <v>4369</v>
      </c>
      <c r="E13" s="585">
        <v>4624</v>
      </c>
      <c r="F13" s="1753">
        <f t="shared" si="1"/>
        <v>4624</v>
      </c>
    </row>
    <row r="14" spans="1:6" ht="13.7" customHeight="1" x14ac:dyDescent="0.2">
      <c r="A14" s="715" t="s">
        <v>408</v>
      </c>
      <c r="B14" s="1750">
        <f>SUM('Revenues 9-14'!C7:D7,'Revenues 9-14'!F7:H7)</f>
        <v>1753</v>
      </c>
      <c r="C14" s="585"/>
      <c r="D14" s="1753">
        <f t="shared" si="0"/>
        <v>1753</v>
      </c>
      <c r="E14" s="585">
        <v>1857</v>
      </c>
      <c r="F14" s="1753">
        <f t="shared" si="1"/>
        <v>1857</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27606</v>
      </c>
      <c r="C16" s="585"/>
      <c r="D16" s="1753">
        <f t="shared" si="0"/>
        <v>27606</v>
      </c>
      <c r="E16" s="585">
        <v>29225</v>
      </c>
      <c r="F16" s="1753">
        <f t="shared" si="1"/>
        <v>29225</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346790</v>
      </c>
      <c r="C19" s="1751">
        <f>SUM(C4:C18)</f>
        <v>0</v>
      </c>
      <c r="D19" s="1751">
        <f>SUM(D4:D18)</f>
        <v>346790</v>
      </c>
      <c r="E19" s="1751">
        <f>SUM(E4:E18)</f>
        <v>366165</v>
      </c>
      <c r="F19" s="1751">
        <f>SUM(F4:F18)</f>
        <v>366165</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D43" sqref="D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627</v>
      </c>
      <c r="B1" s="2207"/>
      <c r="C1" s="721"/>
    </row>
    <row r="2" spans="1:7" ht="33.75" x14ac:dyDescent="0.2">
      <c r="A2" s="2214" t="s">
        <v>1800</v>
      </c>
      <c r="B2" s="2215"/>
      <c r="C2" s="1884" t="s">
        <v>1954</v>
      </c>
      <c r="D2" s="723" t="s">
        <v>1955</v>
      </c>
      <c r="E2" s="723" t="s">
        <v>1956</v>
      </c>
      <c r="F2" s="1884" t="s">
        <v>1957</v>
      </c>
    </row>
    <row r="3" spans="1:7" ht="15.75" customHeight="1" x14ac:dyDescent="0.2">
      <c r="A3" s="2216" t="s">
        <v>1112</v>
      </c>
      <c r="B3" s="2217"/>
      <c r="C3" s="2210"/>
      <c r="D3" s="2211"/>
      <c r="E3" s="2211"/>
      <c r="F3" s="2212"/>
    </row>
    <row r="4" spans="1:7" ht="12.75" customHeight="1" thickBot="1" x14ac:dyDescent="0.25">
      <c r="A4" s="2204" t="s">
        <v>628</v>
      </c>
      <c r="B4" s="2205"/>
      <c r="C4" s="581"/>
      <c r="D4" s="581"/>
      <c r="E4" s="581"/>
      <c r="F4" s="1755">
        <f>SUM(C4+D4)-E4</f>
        <v>0</v>
      </c>
    </row>
    <row r="5" spans="1:7" ht="15.75" customHeight="1" thickTop="1" x14ac:dyDescent="0.2">
      <c r="A5" s="2208" t="s">
        <v>1108</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200" t="s">
        <v>629</v>
      </c>
      <c r="B15" s="2201"/>
      <c r="C15" s="1755">
        <f>SUM(C6:C14)</f>
        <v>0</v>
      </c>
      <c r="D15" s="1755">
        <f>SUM(D6:D14)</f>
        <v>0</v>
      </c>
      <c r="E15" s="1755">
        <f>SUM(E6:E14)</f>
        <v>0</v>
      </c>
      <c r="F15" s="1755">
        <f>SUM(F6:F14)</f>
        <v>0</v>
      </c>
      <c r="G15" s="552"/>
    </row>
    <row r="16" spans="1:7" s="202" customFormat="1" ht="15.75" customHeight="1" thickTop="1" x14ac:dyDescent="0.2">
      <c r="A16" s="2213" t="s">
        <v>1109</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386</v>
      </c>
      <c r="B19" s="2196"/>
      <c r="C19" s="726"/>
      <c r="D19" s="585"/>
      <c r="E19" s="726"/>
      <c r="F19" s="1755">
        <f>SUM(C19+D19)-E19</f>
        <v>0</v>
      </c>
    </row>
    <row r="20" spans="1:11" ht="12.75" customHeight="1" thickTop="1" thickBot="1" x14ac:dyDescent="0.25">
      <c r="A20" s="2195" t="s">
        <v>446</v>
      </c>
      <c r="B20" s="2196"/>
      <c r="C20" s="726"/>
      <c r="D20" s="585"/>
      <c r="E20" s="726"/>
      <c r="F20" s="1755">
        <f>SUM(C20+D20)-E20</f>
        <v>0</v>
      </c>
    </row>
    <row r="21" spans="1:11" ht="14.25" thickTop="1" thickBot="1" x14ac:dyDescent="0.25">
      <c r="A21" s="2200" t="s">
        <v>630</v>
      </c>
      <c r="B21" s="2201"/>
      <c r="C21" s="1755">
        <f>SUM(C17:C20)</f>
        <v>0</v>
      </c>
      <c r="D21" s="1755">
        <f>SUM(D17:D20)</f>
        <v>0</v>
      </c>
      <c r="E21" s="1755">
        <f>SUM(E17:E20)</f>
        <v>0</v>
      </c>
      <c r="F21" s="1755">
        <f>SUM(F17:F20)</f>
        <v>0</v>
      </c>
      <c r="G21" s="552"/>
    </row>
    <row r="22" spans="1:11" ht="15.75" customHeight="1" thickTop="1" x14ac:dyDescent="0.2">
      <c r="A22" s="2202" t="s">
        <v>1110</v>
      </c>
      <c r="B22" s="2203"/>
      <c r="C22" s="2197"/>
      <c r="D22" s="2198"/>
      <c r="E22" s="2198"/>
      <c r="F22" s="2199"/>
    </row>
    <row r="23" spans="1:11" ht="13.5" thickBot="1" x14ac:dyDescent="0.25">
      <c r="A23" s="2204" t="s">
        <v>631</v>
      </c>
      <c r="B23" s="2205"/>
      <c r="C23" s="581"/>
      <c r="D23" s="581"/>
      <c r="E23" s="581"/>
      <c r="F23" s="1755">
        <f>SUM(C23+D23)-E23</f>
        <v>0</v>
      </c>
      <c r="G23" s="552"/>
    </row>
    <row r="24" spans="1:11" ht="15.75" customHeight="1" thickTop="1" x14ac:dyDescent="0.2">
      <c r="A24" s="2202" t="s">
        <v>1111</v>
      </c>
      <c r="B24" s="2203"/>
      <c r="C24" s="2197"/>
      <c r="D24" s="2198"/>
      <c r="E24" s="2198"/>
      <c r="F24" s="2199"/>
    </row>
    <row r="25" spans="1:11" ht="13.5" thickBot="1" x14ac:dyDescent="0.25">
      <c r="A25" s="2204" t="s">
        <v>632</v>
      </c>
      <c r="B25" s="2205"/>
      <c r="C25" s="581"/>
      <c r="D25" s="581"/>
      <c r="E25" s="581"/>
      <c r="F25" s="1755">
        <f>SUM(C25+D25)-E25</f>
        <v>0</v>
      </c>
      <c r="G25" s="552"/>
    </row>
    <row r="26" spans="1:11" ht="15.75" customHeight="1" thickTop="1" x14ac:dyDescent="0.2">
      <c r="A26" s="2208" t="s">
        <v>655</v>
      </c>
      <c r="B26" s="2203"/>
      <c r="C26" s="727"/>
      <c r="D26" s="727"/>
      <c r="E26" s="727"/>
      <c r="F26" s="728"/>
    </row>
    <row r="27" spans="1:11" ht="13.5" thickBot="1" x14ac:dyDescent="0.25">
      <c r="A27" s="2200" t="s">
        <v>1068</v>
      </c>
      <c r="B27" s="2201"/>
      <c r="C27" s="585"/>
      <c r="D27" s="585"/>
      <c r="E27" s="585"/>
      <c r="F27" s="1755">
        <f>SUM(C27+D27)-E27</f>
        <v>0</v>
      </c>
      <c r="G27" s="552"/>
    </row>
    <row r="28" spans="1:11" ht="7.5" customHeight="1" thickTop="1" x14ac:dyDescent="0.2">
      <c r="A28" s="593"/>
    </row>
    <row r="29" spans="1:11" ht="23.25" customHeight="1" x14ac:dyDescent="0.2">
      <c r="A29" s="2206" t="s">
        <v>580</v>
      </c>
      <c r="B29" s="2207"/>
      <c r="C29" s="729"/>
      <c r="D29" s="729"/>
      <c r="E29" s="729"/>
      <c r="F29" s="729"/>
      <c r="G29" s="729"/>
      <c r="H29" s="729"/>
      <c r="I29" s="729"/>
      <c r="J29" s="729"/>
    </row>
    <row r="30" spans="1:11" ht="33.75" x14ac:dyDescent="0.2">
      <c r="A30" s="1529" t="s">
        <v>1069</v>
      </c>
      <c r="B30" s="730" t="s">
        <v>1122</v>
      </c>
      <c r="C30" s="1885" t="s">
        <v>581</v>
      </c>
      <c r="D30" s="1885" t="s">
        <v>1671</v>
      </c>
      <c r="E30" s="1885" t="s">
        <v>1958</v>
      </c>
      <c r="F30" s="1885" t="s">
        <v>1959</v>
      </c>
      <c r="G30" s="1885" t="s">
        <v>1909</v>
      </c>
      <c r="H30" s="1885" t="s">
        <v>1960</v>
      </c>
      <c r="I30" s="1885" t="s">
        <v>1961</v>
      </c>
      <c r="J30" s="1886" t="s">
        <v>2</v>
      </c>
      <c r="K30" s="731"/>
    </row>
    <row r="31" spans="1:11" ht="12" customHeight="1" x14ac:dyDescent="0.2">
      <c r="A31" s="732" t="s">
        <v>2081</v>
      </c>
      <c r="B31" s="733">
        <v>42422</v>
      </c>
      <c r="C31" s="734">
        <v>138000</v>
      </c>
      <c r="D31" s="735">
        <v>1</v>
      </c>
      <c r="E31" s="734">
        <v>92000</v>
      </c>
      <c r="F31" s="734"/>
      <c r="G31" s="734"/>
      <c r="H31" s="734">
        <v>25000</v>
      </c>
      <c r="I31" s="1756">
        <f>((E31+F31)-H31)+G31</f>
        <v>67000</v>
      </c>
      <c r="J31" s="734">
        <v>63973</v>
      </c>
      <c r="K31" s="736"/>
    </row>
    <row r="32" spans="1:11" ht="12" customHeight="1" x14ac:dyDescent="0.2">
      <c r="A32" s="732" t="s">
        <v>2082</v>
      </c>
      <c r="B32" s="733">
        <v>42422</v>
      </c>
      <c r="C32" s="734">
        <v>144000</v>
      </c>
      <c r="D32" s="735">
        <v>4</v>
      </c>
      <c r="E32" s="734">
        <v>144000</v>
      </c>
      <c r="F32" s="734"/>
      <c r="G32" s="734"/>
      <c r="H32" s="734"/>
      <c r="I32" s="1756">
        <f>((E32+F32)-H32)+G32</f>
        <v>144000</v>
      </c>
      <c r="J32" s="734">
        <v>144000</v>
      </c>
      <c r="K32" s="736"/>
    </row>
    <row r="33" spans="1:11" ht="12" customHeight="1" x14ac:dyDescent="0.2">
      <c r="A33" s="732" t="s">
        <v>2105</v>
      </c>
      <c r="B33" s="733">
        <v>43308</v>
      </c>
      <c r="C33" s="734">
        <v>47900</v>
      </c>
      <c r="D33" s="735">
        <v>7</v>
      </c>
      <c r="E33" s="734"/>
      <c r="F33" s="734">
        <v>47900</v>
      </c>
      <c r="G33" s="734"/>
      <c r="H33" s="734">
        <v>10602</v>
      </c>
      <c r="I33" s="1756">
        <f t="shared" ref="I33:I48" si="1">((E33+F33)-H33)+G33</f>
        <v>37298</v>
      </c>
      <c r="J33" s="734">
        <v>37298</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329900</v>
      </c>
      <c r="D49" s="745"/>
      <c r="E49" s="1756">
        <f t="shared" ref="E49:J49" si="2">SUM(E31:E48)</f>
        <v>236000</v>
      </c>
      <c r="F49" s="1756">
        <f t="shared" si="2"/>
        <v>47900</v>
      </c>
      <c r="G49" s="1756">
        <f t="shared" si="2"/>
        <v>0</v>
      </c>
      <c r="H49" s="1756">
        <f t="shared" si="2"/>
        <v>35602</v>
      </c>
      <c r="I49" s="1756">
        <f t="shared" si="2"/>
        <v>248298</v>
      </c>
      <c r="J49" s="1756">
        <f t="shared" si="2"/>
        <v>245271</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189" t="s">
        <v>582</v>
      </c>
      <c r="C52" s="2190"/>
      <c r="D52" s="2190"/>
      <c r="E52" s="749" t="s">
        <v>843</v>
      </c>
      <c r="F52" s="2191" t="s">
        <v>2072</v>
      </c>
      <c r="G52" s="2192"/>
      <c r="H52" s="736"/>
      <c r="I52" s="736"/>
      <c r="J52" s="746"/>
    </row>
    <row r="53" spans="1:11" ht="11.25" customHeight="1" x14ac:dyDescent="0.2">
      <c r="A53" s="750" t="s">
        <v>911</v>
      </c>
      <c r="B53" s="751" t="s">
        <v>949</v>
      </c>
      <c r="C53" s="746"/>
      <c r="D53" s="737"/>
      <c r="E53" s="749" t="s">
        <v>495</v>
      </c>
      <c r="F53" s="2193"/>
      <c r="G53" s="2194"/>
      <c r="H53" s="736"/>
      <c r="I53" s="736"/>
      <c r="J53" s="746"/>
    </row>
    <row r="54" spans="1:11" ht="11.25" customHeight="1" x14ac:dyDescent="0.2">
      <c r="A54" s="752" t="s">
        <v>912</v>
      </c>
      <c r="B54" s="747" t="s">
        <v>950</v>
      </c>
      <c r="C54" s="746"/>
      <c r="D54" s="737"/>
      <c r="E54" s="749" t="s">
        <v>496</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854</v>
      </c>
      <c r="B1" s="2219"/>
      <c r="C1" s="2219"/>
      <c r="D1" s="2219"/>
      <c r="E1" s="2219"/>
      <c r="F1" s="2219"/>
      <c r="G1" s="2220"/>
      <c r="H1" s="1530"/>
      <c r="I1" s="760"/>
      <c r="J1" s="433"/>
    </row>
    <row r="2" spans="1:11" ht="26.25" x14ac:dyDescent="0.2">
      <c r="A2" s="2237" t="s">
        <v>1675</v>
      </c>
      <c r="B2" s="2238"/>
      <c r="C2" s="2238"/>
      <c r="D2" s="2238"/>
      <c r="E2" s="2239"/>
      <c r="F2" s="761" t="s">
        <v>902</v>
      </c>
      <c r="G2" s="762" t="s">
        <v>1672</v>
      </c>
      <c r="H2" s="762" t="s">
        <v>408</v>
      </c>
      <c r="I2" s="762" t="s">
        <v>1156</v>
      </c>
      <c r="J2" s="762" t="s">
        <v>1810</v>
      </c>
      <c r="K2" s="762" t="s">
        <v>138</v>
      </c>
    </row>
    <row r="3" spans="1:11" x14ac:dyDescent="0.2">
      <c r="A3" s="2240" t="s">
        <v>1962</v>
      </c>
      <c r="B3" s="2241"/>
      <c r="C3" s="2241"/>
      <c r="D3" s="2241"/>
      <c r="E3" s="2242"/>
      <c r="F3" s="763"/>
      <c r="G3" s="764">
        <v>0</v>
      </c>
      <c r="H3" s="764">
        <v>0</v>
      </c>
      <c r="I3" s="764">
        <v>0</v>
      </c>
      <c r="J3" s="765">
        <v>0</v>
      </c>
      <c r="K3" s="765">
        <v>0</v>
      </c>
    </row>
    <row r="4" spans="1:11" x14ac:dyDescent="0.2">
      <c r="A4" s="2243" t="s">
        <v>367</v>
      </c>
      <c r="B4" s="2244"/>
      <c r="C4" s="2244"/>
      <c r="D4" s="2244"/>
      <c r="E4" s="2190"/>
      <c r="F4" s="766"/>
      <c r="G4" s="767"/>
      <c r="H4" s="768"/>
      <c r="I4" s="767"/>
      <c r="J4" s="769"/>
      <c r="K4" s="769"/>
    </row>
    <row r="5" spans="1:11" x14ac:dyDescent="0.2">
      <c r="A5" s="2221" t="s">
        <v>1067</v>
      </c>
      <c r="B5" s="2222"/>
      <c r="C5" s="2222"/>
      <c r="D5" s="2222"/>
      <c r="E5" s="2223"/>
      <c r="F5" s="770" t="s">
        <v>846</v>
      </c>
      <c r="G5" s="771"/>
      <c r="H5" s="764">
        <v>1753</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row>
    <row r="10" spans="1:11" x14ac:dyDescent="0.2">
      <c r="A10" s="2221" t="s">
        <v>1811</v>
      </c>
      <c r="B10" s="2222"/>
      <c r="C10" s="2222"/>
      <c r="D10" s="2222"/>
      <c r="E10" s="2224"/>
      <c r="F10" s="783" t="s">
        <v>860</v>
      </c>
      <c r="G10" s="782"/>
      <c r="H10" s="784"/>
      <c r="I10" s="764"/>
      <c r="J10" s="765"/>
      <c r="K10" s="765"/>
    </row>
    <row r="11" spans="1:11" x14ac:dyDescent="0.2">
      <c r="A11" s="2221" t="s">
        <v>160</v>
      </c>
      <c r="B11" s="2222"/>
      <c r="C11" s="2222"/>
      <c r="D11" s="2222"/>
      <c r="E11" s="2223"/>
      <c r="F11" s="770" t="s">
        <v>850</v>
      </c>
      <c r="G11" s="771"/>
      <c r="H11" s="764"/>
      <c r="I11" s="764"/>
      <c r="J11" s="765"/>
      <c r="K11" s="773"/>
    </row>
    <row r="12" spans="1:11" ht="13.5" thickBot="1" x14ac:dyDescent="0.25">
      <c r="A12" s="2248" t="s">
        <v>903</v>
      </c>
      <c r="B12" s="2249"/>
      <c r="C12" s="2249"/>
      <c r="D12" s="2249"/>
      <c r="E12" s="2250"/>
      <c r="F12" s="1757"/>
      <c r="G12" s="1758">
        <f>SUM(G5:G11)</f>
        <v>0</v>
      </c>
      <c r="H12" s="1758">
        <f>SUM(H5:H11)</f>
        <v>1753</v>
      </c>
      <c r="I12" s="1758">
        <f>SUM(I5:I11)</f>
        <v>0</v>
      </c>
      <c r="J12" s="1758">
        <f>SUM(J5:J11)</f>
        <v>0</v>
      </c>
      <c r="K12" s="1758">
        <f>SUM(K5:K11)</f>
        <v>0</v>
      </c>
    </row>
    <row r="13" spans="1:11" ht="13.5" thickTop="1" x14ac:dyDescent="0.2">
      <c r="A13" s="2245" t="s">
        <v>368</v>
      </c>
      <c r="B13" s="2246"/>
      <c r="C13" s="2246"/>
      <c r="D13" s="2246"/>
      <c r="E13" s="2247"/>
      <c r="F13" s="785"/>
      <c r="G13" s="786"/>
      <c r="H13" s="787"/>
      <c r="I13" s="788"/>
      <c r="J13" s="788"/>
      <c r="K13" s="788"/>
    </row>
    <row r="14" spans="1:11" x14ac:dyDescent="0.2">
      <c r="A14" s="2228" t="s">
        <v>454</v>
      </c>
      <c r="B14" s="2228"/>
      <c r="C14" s="2228"/>
      <c r="D14" s="2228"/>
      <c r="E14" s="2229"/>
      <c r="F14" s="789" t="s">
        <v>852</v>
      </c>
      <c r="G14" s="782"/>
      <c r="H14" s="764">
        <v>1753</v>
      </c>
      <c r="I14" s="771"/>
      <c r="J14" s="773"/>
      <c r="K14" s="765"/>
    </row>
    <row r="15" spans="1:11" x14ac:dyDescent="0.2">
      <c r="A15" s="2222" t="s">
        <v>4</v>
      </c>
      <c r="B15" s="2222"/>
      <c r="C15" s="2222"/>
      <c r="D15" s="2222"/>
      <c r="E15" s="2223"/>
      <c r="F15" s="789" t="s">
        <v>853</v>
      </c>
      <c r="G15" s="771"/>
      <c r="H15" s="764"/>
      <c r="I15" s="764"/>
      <c r="J15" s="765"/>
      <c r="K15" s="765"/>
    </row>
    <row r="16" spans="1:11" x14ac:dyDescent="0.2">
      <c r="A16" s="2222" t="s">
        <v>296</v>
      </c>
      <c r="B16" s="2222"/>
      <c r="C16" s="2222"/>
      <c r="D16" s="2222"/>
      <c r="E16" s="2223"/>
      <c r="F16" s="789" t="s">
        <v>921</v>
      </c>
      <c r="G16" s="772"/>
      <c r="H16" s="767"/>
      <c r="I16" s="767"/>
      <c r="J16" s="769"/>
      <c r="K16" s="769"/>
    </row>
    <row r="17" spans="1:11" x14ac:dyDescent="0.2">
      <c r="A17" s="2253" t="s">
        <v>933</v>
      </c>
      <c r="B17" s="2253"/>
      <c r="C17" s="2253"/>
      <c r="D17" s="2253"/>
      <c r="E17" s="2254"/>
      <c r="F17" s="790"/>
      <c r="G17" s="791"/>
      <c r="H17" s="792"/>
      <c r="I17" s="792"/>
      <c r="J17" s="793"/>
      <c r="K17" s="794"/>
    </row>
    <row r="18" spans="1:11" x14ac:dyDescent="0.2">
      <c r="A18" s="2232" t="s">
        <v>366</v>
      </c>
      <c r="B18" s="2233"/>
      <c r="C18" s="2233"/>
      <c r="D18" s="2233"/>
      <c r="E18" s="2234"/>
      <c r="F18" s="789" t="s">
        <v>930</v>
      </c>
      <c r="G18" s="782"/>
      <c r="H18" s="782"/>
      <c r="I18" s="782"/>
      <c r="J18" s="765"/>
      <c r="K18" s="795"/>
    </row>
    <row r="19" spans="1:11" ht="21.75" customHeight="1" x14ac:dyDescent="0.2">
      <c r="A19" s="2230" t="s">
        <v>1807</v>
      </c>
      <c r="B19" s="2230"/>
      <c r="C19" s="2230"/>
      <c r="D19" s="2230"/>
      <c r="E19" s="2231"/>
      <c r="F19" s="789" t="s">
        <v>931</v>
      </c>
      <c r="G19" s="782"/>
      <c r="H19" s="782"/>
      <c r="I19" s="782"/>
      <c r="J19" s="765"/>
      <c r="K19" s="795"/>
    </row>
    <row r="20" spans="1:11" x14ac:dyDescent="0.2">
      <c r="A20" s="2232" t="s">
        <v>1812</v>
      </c>
      <c r="B20" s="2233"/>
      <c r="C20" s="2233"/>
      <c r="D20" s="2233"/>
      <c r="E20" s="2234"/>
      <c r="F20" s="789" t="s">
        <v>932</v>
      </c>
      <c r="G20" s="782"/>
      <c r="H20" s="782"/>
      <c r="I20" s="782"/>
      <c r="J20" s="765"/>
      <c r="K20" s="795"/>
    </row>
    <row r="21" spans="1:11" ht="13.5" thickBot="1" x14ac:dyDescent="0.25">
      <c r="A21" s="2251" t="s">
        <v>636</v>
      </c>
      <c r="B21" s="2251"/>
      <c r="C21" s="2251"/>
      <c r="D21" s="2251"/>
      <c r="E21" s="2251"/>
      <c r="F21" s="1759"/>
      <c r="G21" s="792"/>
      <c r="H21" s="796"/>
      <c r="I21" s="796"/>
      <c r="J21" s="1760">
        <f>SUM(J18:J20)</f>
        <v>0</v>
      </c>
      <c r="K21" s="793"/>
    </row>
    <row r="22" spans="1:11" ht="13.5" thickTop="1" x14ac:dyDescent="0.2">
      <c r="A22" s="2222" t="s">
        <v>1813</v>
      </c>
      <c r="B22" s="2222"/>
      <c r="C22" s="2222"/>
      <c r="D22" s="2222"/>
      <c r="E22" s="2223"/>
      <c r="F22" s="789" t="s">
        <v>860</v>
      </c>
      <c r="G22" s="782"/>
      <c r="H22" s="764"/>
      <c r="I22" s="764"/>
      <c r="J22" s="797"/>
      <c r="K22" s="765"/>
    </row>
    <row r="23" spans="1:11" ht="13.5" thickBot="1" x14ac:dyDescent="0.25">
      <c r="A23" s="2252" t="s">
        <v>904</v>
      </c>
      <c r="B23" s="2251"/>
      <c r="C23" s="2251"/>
      <c r="D23" s="2251"/>
      <c r="E23" s="2251"/>
      <c r="F23" s="1761"/>
      <c r="G23" s="1758">
        <f>SUM(G14:G16,G21,G22)</f>
        <v>0</v>
      </c>
      <c r="H23" s="1758">
        <f>SUM(H14:H16,H21,H22)</f>
        <v>1753</v>
      </c>
      <c r="I23" s="1758">
        <f>SUM(I14:I16,I21,I22)</f>
        <v>0</v>
      </c>
      <c r="J23" s="1758">
        <f>SUM(J14:J16,J21,J22)</f>
        <v>0</v>
      </c>
      <c r="K23" s="1758">
        <f>SUM(K14:K16,K21,K22)</f>
        <v>0</v>
      </c>
    </row>
    <row r="24" spans="1:11" ht="14.25" thickTop="1" thickBot="1" x14ac:dyDescent="0.25">
      <c r="A24" s="2252" t="s">
        <v>1963</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v>0</v>
      </c>
      <c r="H25" s="802">
        <v>0</v>
      </c>
      <c r="I25" s="802">
        <v>0</v>
      </c>
      <c r="J25" s="797">
        <v>0</v>
      </c>
      <c r="K25" s="797">
        <v>0</v>
      </c>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2070</v>
      </c>
      <c r="E30" s="808" t="s">
        <v>766</v>
      </c>
      <c r="F30" s="202"/>
      <c r="G30" s="805"/>
    </row>
    <row r="31" spans="1:11" x14ac:dyDescent="0.2">
      <c r="A31" s="809"/>
      <c r="D31" s="237"/>
      <c r="E31" s="810" t="s">
        <v>767</v>
      </c>
      <c r="F31" s="811" t="s">
        <v>537</v>
      </c>
      <c r="G31" s="764"/>
      <c r="H31" s="2225"/>
      <c r="I31" s="2226"/>
      <c r="J31" s="2226"/>
      <c r="K31" s="2226"/>
    </row>
    <row r="32" spans="1:11" x14ac:dyDescent="0.2">
      <c r="A32" s="809"/>
      <c r="B32" s="237"/>
      <c r="C32" s="237"/>
      <c r="D32" s="237"/>
      <c r="E32" s="805"/>
      <c r="F32" s="811" t="s">
        <v>538</v>
      </c>
      <c r="G32" s="764"/>
      <c r="H32" s="2227"/>
      <c r="I32" s="2226"/>
      <c r="J32" s="2226"/>
      <c r="K32" s="2226"/>
    </row>
    <row r="33" spans="1:11" ht="1.5" customHeight="1" x14ac:dyDescent="0.2">
      <c r="A33" s="812" t="s">
        <v>1167</v>
      </c>
      <c r="B33" s="364"/>
      <c r="C33" s="364"/>
      <c r="D33" s="364"/>
      <c r="E33" s="364"/>
      <c r="F33" s="364"/>
      <c r="G33" s="813"/>
      <c r="H33" s="2227"/>
      <c r="I33" s="2226"/>
      <c r="J33" s="2226"/>
      <c r="K33" s="2226"/>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2" t="s">
        <v>539</v>
      </c>
      <c r="B41" s="2235"/>
      <c r="C41" s="2235"/>
      <c r="D41" s="2235"/>
      <c r="E41" s="2235"/>
      <c r="F41" s="2236"/>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1808</v>
      </c>
      <c r="B46" s="408" t="s">
        <v>1673</v>
      </c>
    </row>
    <row r="47" spans="1:11" s="823" customFormat="1" ht="12.75" customHeight="1" x14ac:dyDescent="0.2">
      <c r="A47" s="821"/>
      <c r="B47" s="822" t="s">
        <v>1674</v>
      </c>
      <c r="E47" s="822"/>
      <c r="K47" s="824"/>
    </row>
    <row r="48" spans="1:11" ht="12.75" customHeight="1" x14ac:dyDescent="0.2">
      <c r="A48" s="1532" t="s">
        <v>1809</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1907</v>
      </c>
      <c r="B1" s="2258"/>
      <c r="C1" s="2259"/>
      <c r="D1" s="826"/>
      <c r="E1" s="827"/>
      <c r="F1" s="827"/>
      <c r="G1" s="828"/>
      <c r="H1" s="829"/>
      <c r="I1" s="830"/>
      <c r="J1" s="2255"/>
      <c r="K1" s="2256"/>
      <c r="L1" s="2256"/>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9" t="s">
        <v>890</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v>8325</v>
      </c>
      <c r="D5" s="841"/>
      <c r="E5" s="841"/>
      <c r="F5" s="1760">
        <f>(C5+D5)-E5</f>
        <v>8325</v>
      </c>
      <c r="G5" s="837"/>
      <c r="H5" s="842"/>
      <c r="I5" s="842"/>
      <c r="J5" s="842"/>
      <c r="K5" s="793"/>
      <c r="L5" s="1769">
        <f>F5-K5</f>
        <v>8325</v>
      </c>
    </row>
    <row r="6" spans="1:14" ht="14.25" thickTop="1" thickBot="1" x14ac:dyDescent="0.25">
      <c r="A6" s="778" t="s">
        <v>1115</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v>1074558</v>
      </c>
      <c r="D8" s="844">
        <f>7892+7957+12876</f>
        <v>28725</v>
      </c>
      <c r="E8" s="844"/>
      <c r="F8" s="1760">
        <f>(C8+D8)-E8</f>
        <v>1103283</v>
      </c>
      <c r="G8" s="843">
        <v>50</v>
      </c>
      <c r="H8" s="765">
        <v>464256</v>
      </c>
      <c r="I8" s="765">
        <v>21851</v>
      </c>
      <c r="J8" s="765"/>
      <c r="K8" s="1769">
        <f>(H8+I8)-J8</f>
        <v>486107</v>
      </c>
      <c r="L8" s="1769">
        <f>F8-K8</f>
        <v>617176</v>
      </c>
    </row>
    <row r="9" spans="1:14" ht="14.25" thickTop="1" thickBot="1" x14ac:dyDescent="0.25">
      <c r="A9" s="778" t="s">
        <v>1117</v>
      </c>
      <c r="B9" s="840">
        <v>232</v>
      </c>
      <c r="C9" s="765"/>
      <c r="D9" s="765"/>
      <c r="E9" s="765"/>
      <c r="F9" s="1760">
        <f>(C9+D9)-E9</f>
        <v>0</v>
      </c>
      <c r="G9" s="843">
        <v>20</v>
      </c>
      <c r="H9" s="765"/>
      <c r="I9" s="765"/>
      <c r="J9" s="765"/>
      <c r="K9" s="1769">
        <f>(H9+I9)-J9</f>
        <v>0</v>
      </c>
      <c r="L9" s="1769">
        <f>F9-K9</f>
        <v>0</v>
      </c>
    </row>
    <row r="10" spans="1:14" ht="24" thickTop="1" thickBot="1" x14ac:dyDescent="0.25">
      <c r="A10" s="845" t="s">
        <v>1118</v>
      </c>
      <c r="B10" s="840">
        <v>240</v>
      </c>
      <c r="C10" s="846">
        <v>128157</v>
      </c>
      <c r="D10" s="846"/>
      <c r="E10" s="846"/>
      <c r="F10" s="1764">
        <f>(C10+D10)-E10</f>
        <v>128157</v>
      </c>
      <c r="G10" s="843">
        <v>20</v>
      </c>
      <c r="H10" s="847">
        <v>74965</v>
      </c>
      <c r="I10" s="847">
        <v>5248</v>
      </c>
      <c r="J10" s="847"/>
      <c r="K10" s="1769">
        <f>(H10+I10)-J10</f>
        <v>80213</v>
      </c>
      <c r="L10" s="1769">
        <f>F10-K10</f>
        <v>47944</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565404</v>
      </c>
      <c r="D12" s="844">
        <f>1899+5545+10007+5682+10699+7634+760</f>
        <v>42226</v>
      </c>
      <c r="E12" s="844"/>
      <c r="F12" s="1760">
        <f>(C12+D12)-E12</f>
        <v>607630</v>
      </c>
      <c r="G12" s="843">
        <v>10</v>
      </c>
      <c r="H12" s="765">
        <v>437025</v>
      </c>
      <c r="I12" s="765">
        <f>2269+24659</f>
        <v>26928</v>
      </c>
      <c r="J12" s="765"/>
      <c r="K12" s="1769">
        <f>(H12+I12)-J12</f>
        <v>463953</v>
      </c>
      <c r="L12" s="1769">
        <f>F12-K12</f>
        <v>143677</v>
      </c>
    </row>
    <row r="13" spans="1:14" ht="14.25" thickTop="1" thickBot="1" x14ac:dyDescent="0.25">
      <c r="A13" s="848" t="s">
        <v>1120</v>
      </c>
      <c r="B13" s="840">
        <v>252</v>
      </c>
      <c r="C13" s="844">
        <v>68593</v>
      </c>
      <c r="D13" s="844">
        <v>47900</v>
      </c>
      <c r="E13" s="844"/>
      <c r="F13" s="1760">
        <f>(C13+D13)-E13</f>
        <v>116493</v>
      </c>
      <c r="G13" s="843">
        <v>5</v>
      </c>
      <c r="H13" s="765">
        <v>68593</v>
      </c>
      <c r="I13" s="765">
        <v>8782</v>
      </c>
      <c r="J13" s="765"/>
      <c r="K13" s="1769">
        <f>(H13+I13)-J13</f>
        <v>77375</v>
      </c>
      <c r="L13" s="1769">
        <f>F13-K13</f>
        <v>39118</v>
      </c>
    </row>
    <row r="14" spans="1:14" ht="14.25" thickTop="1" thickBot="1" x14ac:dyDescent="0.25">
      <c r="A14" s="848" t="s">
        <v>1121</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c r="D15" s="844"/>
      <c r="E15" s="844"/>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1845037</v>
      </c>
      <c r="D16" s="1760">
        <f>SUM(D3,D5:D6,D8:D10,D12:D15)</f>
        <v>118851</v>
      </c>
      <c r="E16" s="1760">
        <f>SUM(E3,E5:E6,E8:E10,E12:E15)</f>
        <v>0</v>
      </c>
      <c r="F16" s="1760">
        <f>SUM(F3,F5:F6,F8:F10,F12:F15)</f>
        <v>1963888</v>
      </c>
      <c r="G16" s="843"/>
      <c r="H16" s="1760">
        <f>SUM(H3,H6,H8:H10,H12:H14,)</f>
        <v>1044839</v>
      </c>
      <c r="I16" s="1760">
        <f>SUM(I3,I6,I8:I10,I12:I14,)</f>
        <v>62809</v>
      </c>
      <c r="J16" s="1760">
        <f>SUM(J3,J6,J8:J10,J12:J14,)</f>
        <v>0</v>
      </c>
      <c r="K16" s="1760">
        <f>(H16+I16)-J16</f>
        <v>1107648</v>
      </c>
      <c r="L16" s="1760">
        <f>F16-K16</f>
        <v>856240</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62809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selection activeCell="D43" sqref="D4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475</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9"/>
      <c r="B5" s="2270"/>
      <c r="C5" s="2270"/>
      <c r="D5" s="2270"/>
      <c r="E5" s="2270"/>
      <c r="F5" s="2270"/>
    </row>
    <row r="6" spans="1:7" ht="13.5" customHeight="1" thickBot="1" x14ac:dyDescent="0.25">
      <c r="A6" s="2260" t="s">
        <v>1102</v>
      </c>
      <c r="B6" s="2261"/>
      <c r="C6" s="2261"/>
      <c r="D6" s="2261"/>
      <c r="E6" s="2261"/>
      <c r="F6" s="2262"/>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1023744</v>
      </c>
      <c r="G8" s="865"/>
    </row>
    <row r="9" spans="1:7" x14ac:dyDescent="0.2">
      <c r="A9" s="869" t="s">
        <v>458</v>
      </c>
      <c r="B9" s="870" t="s">
        <v>1875</v>
      </c>
      <c r="C9" s="871"/>
      <c r="D9" s="869" t="s">
        <v>499</v>
      </c>
      <c r="E9" s="868"/>
      <c r="F9" s="1909">
        <f>'Expenditures 15-22'!K151</f>
        <v>136461</v>
      </c>
      <c r="G9" s="872"/>
    </row>
    <row r="10" spans="1:7" x14ac:dyDescent="0.2">
      <c r="A10" s="869" t="s">
        <v>497</v>
      </c>
      <c r="B10" s="870" t="s">
        <v>1876</v>
      </c>
      <c r="C10" s="871"/>
      <c r="D10" s="869" t="s">
        <v>499</v>
      </c>
      <c r="E10" s="868"/>
      <c r="F10" s="1909">
        <f>'Expenditures 15-22'!K174</f>
        <v>36287</v>
      </c>
      <c r="G10" s="872"/>
    </row>
    <row r="11" spans="1:7" x14ac:dyDescent="0.2">
      <c r="A11" s="869" t="s">
        <v>459</v>
      </c>
      <c r="B11" s="870" t="s">
        <v>1877</v>
      </c>
      <c r="C11" s="871"/>
      <c r="D11" s="869" t="s">
        <v>499</v>
      </c>
      <c r="E11" s="868"/>
      <c r="F11" s="1909">
        <f>'Expenditures 15-22'!K210</f>
        <v>82695</v>
      </c>
      <c r="G11" s="872"/>
    </row>
    <row r="12" spans="1:7" x14ac:dyDescent="0.2">
      <c r="A12" s="869" t="s">
        <v>460</v>
      </c>
      <c r="B12" s="870" t="s">
        <v>1878</v>
      </c>
      <c r="C12" s="871"/>
      <c r="D12" s="869" t="s">
        <v>499</v>
      </c>
      <c r="E12" s="868"/>
      <c r="F12" s="1909">
        <f>'Expenditures 15-22'!K295</f>
        <v>38831</v>
      </c>
      <c r="G12" s="872"/>
    </row>
    <row r="13" spans="1:7" x14ac:dyDescent="0.2">
      <c r="A13" s="869" t="s">
        <v>106</v>
      </c>
      <c r="B13" s="870" t="s">
        <v>1879</v>
      </c>
      <c r="C13" s="871"/>
      <c r="D13" s="869" t="s">
        <v>499</v>
      </c>
      <c r="E13" s="868"/>
      <c r="F13" s="1909">
        <f>'Expenditures 15-22'!K342</f>
        <v>88144</v>
      </c>
      <c r="G13" s="873"/>
    </row>
    <row r="14" spans="1:7" ht="12" customHeight="1" thickBot="1" x14ac:dyDescent="0.25">
      <c r="A14" s="1770"/>
      <c r="B14" s="1771"/>
      <c r="C14" s="1772"/>
      <c r="D14" s="1773" t="s">
        <v>499</v>
      </c>
      <c r="E14" s="1774" t="s">
        <v>956</v>
      </c>
      <c r="F14" s="1775">
        <f>SUM(F8:F13)</f>
        <v>1406162</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0</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4">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2000</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3">
        <f>'Expenditures 15-22'!K102</f>
        <v>79771</v>
      </c>
      <c r="G53" s="865"/>
    </row>
    <row r="54" spans="1:7" x14ac:dyDescent="0.2">
      <c r="A54" s="869" t="s">
        <v>457</v>
      </c>
      <c r="B54" s="869" t="s">
        <v>1474</v>
      </c>
      <c r="C54" s="889" t="s">
        <v>980</v>
      </c>
      <c r="D54" s="885" t="s">
        <v>1093</v>
      </c>
      <c r="E54" s="868"/>
      <c r="F54" s="1913">
        <f>'Expenditures 15-22'!G114</f>
        <v>36680</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3">
        <f>'Expenditures 15-22'!K139</f>
        <v>0</v>
      </c>
      <c r="G57" s="865"/>
    </row>
    <row r="58" spans="1:7" x14ac:dyDescent="0.2">
      <c r="A58" s="869" t="s">
        <v>458</v>
      </c>
      <c r="B58" s="869" t="s">
        <v>1881</v>
      </c>
      <c r="C58" s="886" t="s">
        <v>980</v>
      </c>
      <c r="D58" s="885" t="s">
        <v>1093</v>
      </c>
      <c r="E58" s="868"/>
      <c r="F58" s="1915">
        <f>'Expenditures 15-22'!G151</f>
        <v>5545</v>
      </c>
      <c r="G58" s="865"/>
    </row>
    <row r="59" spans="1:7" x14ac:dyDescent="0.2">
      <c r="A59" s="893" t="s">
        <v>458</v>
      </c>
      <c r="B59" s="856" t="s">
        <v>1882</v>
      </c>
      <c r="C59" s="894" t="s">
        <v>980</v>
      </c>
      <c r="D59" s="856" t="s">
        <v>289</v>
      </c>
      <c r="F59" s="1916">
        <f>'Expenditures 15-22'!I151</f>
        <v>0</v>
      </c>
      <c r="G59" s="865"/>
    </row>
    <row r="60" spans="1:7" x14ac:dyDescent="0.2">
      <c r="A60" s="893" t="s">
        <v>497</v>
      </c>
      <c r="B60" s="856" t="s">
        <v>1883</v>
      </c>
      <c r="C60" s="894">
        <v>4000</v>
      </c>
      <c r="D60" s="856" t="s">
        <v>310</v>
      </c>
      <c r="F60" s="1914">
        <f>'Expenditures 15-22'!K160</f>
        <v>0</v>
      </c>
      <c r="G60" s="865"/>
    </row>
    <row r="61" spans="1:7" x14ac:dyDescent="0.2">
      <c r="A61" s="895" t="s">
        <v>497</v>
      </c>
      <c r="B61" s="895" t="s">
        <v>1884</v>
      </c>
      <c r="C61" s="896" t="str">
        <f>'Expenditures 15-22'!B170</f>
        <v>5300</v>
      </c>
      <c r="D61" s="897" t="s">
        <v>309</v>
      </c>
      <c r="E61" s="879"/>
      <c r="F61" s="1913">
        <f>'Expenditures 15-22'!K170</f>
        <v>25000</v>
      </c>
      <c r="G61" s="865"/>
    </row>
    <row r="62" spans="1:7" x14ac:dyDescent="0.2">
      <c r="A62" s="869" t="s">
        <v>459</v>
      </c>
      <c r="B62" s="869" t="s">
        <v>1885</v>
      </c>
      <c r="C62" s="886">
        <f>'Expenditures 15-22'!B185</f>
        <v>3000</v>
      </c>
      <c r="D62" s="876" t="s">
        <v>447</v>
      </c>
      <c r="E62" s="868"/>
      <c r="F62" s="1913">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1887</v>
      </c>
      <c r="C64" s="896" t="str">
        <f>'Expenditures 15-22'!B206</f>
        <v>5300</v>
      </c>
      <c r="D64" s="892" t="s">
        <v>309</v>
      </c>
      <c r="E64" s="868"/>
      <c r="F64" s="1913">
        <f>'Expenditures 15-22'!K206</f>
        <v>10602</v>
      </c>
      <c r="G64" s="865"/>
    </row>
    <row r="65" spans="1:8" x14ac:dyDescent="0.2">
      <c r="A65" s="869" t="s">
        <v>459</v>
      </c>
      <c r="B65" s="869" t="s">
        <v>1888</v>
      </c>
      <c r="C65" s="886" t="s">
        <v>980</v>
      </c>
      <c r="D65" s="885" t="s">
        <v>1093</v>
      </c>
      <c r="E65" s="868"/>
      <c r="F65" s="1913">
        <f>'Expenditures 15-22'!G210</f>
        <v>47900</v>
      </c>
      <c r="G65" s="865"/>
    </row>
    <row r="66" spans="1:8" x14ac:dyDescent="0.2">
      <c r="A66" s="869" t="s">
        <v>459</v>
      </c>
      <c r="B66" s="869" t="s">
        <v>1889</v>
      </c>
      <c r="C66" s="886" t="s">
        <v>980</v>
      </c>
      <c r="D66" s="885" t="s">
        <v>289</v>
      </c>
      <c r="E66" s="868"/>
      <c r="F66" s="1913">
        <f>'Expenditures 15-22'!I210</f>
        <v>0</v>
      </c>
      <c r="G66" s="865"/>
    </row>
    <row r="67" spans="1:8" x14ac:dyDescent="0.2">
      <c r="A67" s="869" t="s">
        <v>460</v>
      </c>
      <c r="B67" s="869" t="s">
        <v>1890</v>
      </c>
      <c r="C67" s="886" t="str">
        <f>'Expenditures 15-22'!B216</f>
        <v>1125</v>
      </c>
      <c r="D67" s="892" t="str">
        <f>'Expenditures 15-22'!A216</f>
        <v>Pre-K Programs</v>
      </c>
      <c r="E67" s="868"/>
      <c r="F67" s="1913">
        <f>'Expenditures 15-22'!K216</f>
        <v>0</v>
      </c>
      <c r="G67" s="865"/>
    </row>
    <row r="68" spans="1:8" x14ac:dyDescent="0.2">
      <c r="A68" s="869" t="s">
        <v>460</v>
      </c>
      <c r="B68" s="869" t="s">
        <v>1477</v>
      </c>
      <c r="C68" s="886" t="str">
        <f>'Expenditures 15-22'!B218</f>
        <v>1225</v>
      </c>
      <c r="D68" s="892" t="str">
        <f>'Expenditures 15-22'!A218</f>
        <v>Special Education Programs - Pre-K</v>
      </c>
      <c r="E68" s="868"/>
      <c r="F68" s="1913">
        <f>'Expenditures 15-22'!K218</f>
        <v>0</v>
      </c>
      <c r="G68" s="865"/>
    </row>
    <row r="69" spans="1:8" x14ac:dyDescent="0.2">
      <c r="A69" s="869" t="s">
        <v>460</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1892</v>
      </c>
      <c r="C70" s="886">
        <f>'Expenditures 15-22'!B221</f>
        <v>1300</v>
      </c>
      <c r="D70" s="887" t="str">
        <f>'Expenditures 15-22'!A221</f>
        <v>Adult/Continuing Education Programs</v>
      </c>
      <c r="E70" s="868"/>
      <c r="F70" s="1913">
        <f>'Expenditures 15-22'!K221</f>
        <v>0</v>
      </c>
      <c r="G70" s="865"/>
    </row>
    <row r="71" spans="1:8" x14ac:dyDescent="0.2">
      <c r="A71" s="869" t="s">
        <v>460</v>
      </c>
      <c r="B71" s="869" t="s">
        <v>1893</v>
      </c>
      <c r="C71" s="886">
        <f>'Expenditures 15-22'!B224</f>
        <v>1600</v>
      </c>
      <c r="D71" s="887" t="str">
        <f>'Expenditures 15-22'!A224</f>
        <v>Summer School Programs</v>
      </c>
      <c r="E71" s="868"/>
      <c r="F71" s="1913">
        <f>'Expenditures 15-22'!K224</f>
        <v>0</v>
      </c>
      <c r="G71" s="865"/>
    </row>
    <row r="72" spans="1:8" x14ac:dyDescent="0.2">
      <c r="A72" s="869" t="s">
        <v>460</v>
      </c>
      <c r="B72" s="869" t="s">
        <v>1894</v>
      </c>
      <c r="C72" s="886">
        <f>'Expenditures 15-22'!B280</f>
        <v>3000</v>
      </c>
      <c r="D72" s="876" t="s">
        <v>447</v>
      </c>
      <c r="E72" s="868"/>
      <c r="F72" s="1913">
        <f>'Expenditures 15-22'!K280</f>
        <v>0</v>
      </c>
      <c r="G72" s="865"/>
    </row>
    <row r="73" spans="1:8" x14ac:dyDescent="0.2">
      <c r="A73" s="869" t="s">
        <v>460</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1896</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956</v>
      </c>
      <c r="F76" s="1778">
        <f>SUM(F18:F74)</f>
        <v>205498</v>
      </c>
      <c r="G76" s="865"/>
    </row>
    <row r="77" spans="1:8" s="893" customFormat="1" ht="12" customHeight="1" thickTop="1" thickBot="1" x14ac:dyDescent="0.25">
      <c r="A77" s="1779"/>
      <c r="B77" s="1776"/>
      <c r="C77" s="1772"/>
      <c r="D77" s="1777" t="s">
        <v>1898</v>
      </c>
      <c r="E77" s="1774"/>
      <c r="F77" s="1780">
        <f>(F14-F76)</f>
        <v>1200664</v>
      </c>
      <c r="G77" s="869"/>
    </row>
    <row r="78" spans="1:8" s="893" customFormat="1" ht="12" customHeight="1" thickTop="1" x14ac:dyDescent="0.2">
      <c r="A78" s="1781"/>
      <c r="B78" s="1776"/>
      <c r="C78" s="1772"/>
      <c r="D78" s="1777" t="s">
        <v>2060</v>
      </c>
      <c r="E78" s="1774"/>
      <c r="F78" s="898">
        <v>108.4</v>
      </c>
      <c r="G78" s="899"/>
      <c r="H78" s="869"/>
    </row>
    <row r="79" spans="1:8" s="893" customFormat="1" ht="12" customHeight="1" thickBot="1" x14ac:dyDescent="0.25">
      <c r="A79" s="1782"/>
      <c r="B79" s="1776"/>
      <c r="C79" s="1772"/>
      <c r="D79" s="1777" t="s">
        <v>1899</v>
      </c>
      <c r="E79" s="1774" t="s">
        <v>956</v>
      </c>
      <c r="F79" s="1783">
        <f>IF(F78&gt;0,F77/F78," Complete Line 78")</f>
        <v>11076.236162361623</v>
      </c>
      <c r="G79" s="869"/>
    </row>
    <row r="80" spans="1:8" s="893" customFormat="1" ht="8.25" customHeight="1" thickTop="1" x14ac:dyDescent="0.2">
      <c r="A80" s="900"/>
      <c r="B80" s="869"/>
      <c r="C80" s="871"/>
      <c r="D80" s="901"/>
      <c r="E80" s="868"/>
      <c r="F80" s="902"/>
      <c r="G80" s="869"/>
    </row>
    <row r="81" spans="1:7" s="893" customFormat="1" ht="12" thickBot="1" x14ac:dyDescent="0.25">
      <c r="A81" s="2260" t="s">
        <v>1103</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1316</v>
      </c>
      <c r="G94" s="912"/>
    </row>
    <row r="95" spans="1:7" x14ac:dyDescent="0.2">
      <c r="A95" s="908" t="s">
        <v>140</v>
      </c>
      <c r="B95" s="908" t="s">
        <v>175</v>
      </c>
      <c r="C95" s="910">
        <v>1700</v>
      </c>
      <c r="D95" s="918" t="str">
        <f>'Revenues 9-14'!A82</f>
        <v>Total District/School Activity Income</v>
      </c>
      <c r="E95" s="906"/>
      <c r="F95" s="1789">
        <f>SUM('Revenues 9-14'!C82,'Revenues 9-14'!D82)</f>
        <v>1164</v>
      </c>
      <c r="G95" s="912"/>
    </row>
    <row r="96" spans="1:7" x14ac:dyDescent="0.2">
      <c r="A96" s="908" t="s">
        <v>457</v>
      </c>
      <c r="B96" s="908" t="s">
        <v>176</v>
      </c>
      <c r="C96" s="910">
        <f>'Revenues 9-14'!B84</f>
        <v>1811</v>
      </c>
      <c r="D96" s="911" t="str">
        <f>'Revenues 9-14'!A84</f>
        <v>Rentals - Regular Textbooks</v>
      </c>
      <c r="E96" s="906"/>
      <c r="F96" s="1789">
        <f>'Revenues 9-14'!C84</f>
        <v>0</v>
      </c>
      <c r="G96" s="912"/>
    </row>
    <row r="97" spans="1:7" x14ac:dyDescent="0.2">
      <c r="A97" s="908" t="s">
        <v>457</v>
      </c>
      <c r="B97" s="908" t="s">
        <v>177</v>
      </c>
      <c r="C97" s="910">
        <f>'Revenues 9-14'!B87</f>
        <v>1819</v>
      </c>
      <c r="D97" s="911" t="str">
        <f>'Revenues 9-14'!A87</f>
        <v>Rentals - Other (Describe &amp; Itemize)</v>
      </c>
      <c r="E97" s="906"/>
      <c r="F97" s="1789">
        <f>'Revenues 9-14'!C87</f>
        <v>0</v>
      </c>
      <c r="G97" s="912"/>
    </row>
    <row r="98" spans="1:7" x14ac:dyDescent="0.2">
      <c r="A98" s="908" t="s">
        <v>457</v>
      </c>
      <c r="B98" s="908" t="s">
        <v>178</v>
      </c>
      <c r="C98" s="910">
        <f>'Revenues 9-14'!B88</f>
        <v>1821</v>
      </c>
      <c r="D98" s="911" t="str">
        <f>'Revenues 9-14'!A88</f>
        <v>Sales - Regular Textbooks</v>
      </c>
      <c r="E98" s="906"/>
      <c r="F98" s="1789">
        <f>'Revenues 9-14'!C88</f>
        <v>0</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2001</v>
      </c>
      <c r="C105" s="913">
        <v>3100</v>
      </c>
      <c r="D105" s="919" t="str">
        <f>'Revenues 9-14'!A132</f>
        <v>Total Special Education</v>
      </c>
      <c r="E105" s="906"/>
      <c r="F105" s="1789">
        <f>SUM('Revenues 9-14'!C132:D132,'Revenues 9-14'!F132)</f>
        <v>0</v>
      </c>
      <c r="G105" s="912"/>
    </row>
    <row r="106" spans="1:7" x14ac:dyDescent="0.2">
      <c r="A106" s="908" t="s">
        <v>671</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662</v>
      </c>
      <c r="B107" s="908" t="s">
        <v>2003</v>
      </c>
      <c r="C107" s="920">
        <v>3300</v>
      </c>
      <c r="D107" s="911" t="str">
        <f>'Revenues 9-14'!A145</f>
        <v>Total Bilingual Ed</v>
      </c>
      <c r="E107" s="906"/>
      <c r="F107" s="1789">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9">
        <f>'Revenues 9-14'!C146</f>
        <v>1818</v>
      </c>
      <c r="G108" s="912"/>
    </row>
    <row r="109" spans="1:7" x14ac:dyDescent="0.2">
      <c r="A109" s="908" t="s">
        <v>671</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666</v>
      </c>
      <c r="B111" s="908" t="s">
        <v>2007</v>
      </c>
      <c r="C111" s="922">
        <v>3500</v>
      </c>
      <c r="D111" s="911" t="str">
        <f>'Revenues 9-14'!A155</f>
        <v>Total Transportation</v>
      </c>
      <c r="E111" s="906"/>
      <c r="F111" s="1789">
        <f>SUM('Revenues 9-14'!C155,'Revenues 9-14'!D155,'Revenues 9-14'!F155,'Revenues 9-14'!G155)</f>
        <v>12849</v>
      </c>
      <c r="G111" s="912"/>
    </row>
    <row r="112" spans="1:7" x14ac:dyDescent="0.2">
      <c r="A112" s="908" t="s">
        <v>457</v>
      </c>
      <c r="B112" s="908" t="s">
        <v>2008</v>
      </c>
      <c r="C112" s="920">
        <f>'Revenues 9-14'!B156</f>
        <v>3610</v>
      </c>
      <c r="D112" s="911" t="str">
        <f>'Revenues 9-14'!A156</f>
        <v>Learning Improvement - Change Grants</v>
      </c>
      <c r="E112" s="906"/>
      <c r="F112" s="1789">
        <f>'Revenues 9-14'!C156</f>
        <v>0</v>
      </c>
      <c r="G112" s="912"/>
    </row>
    <row r="113" spans="1:7" x14ac:dyDescent="0.2">
      <c r="A113" s="908" t="s">
        <v>666</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7">
        <f>SUM('Revenues 9-14'!C163:G163)</f>
        <v>0</v>
      </c>
      <c r="G118" s="912"/>
    </row>
    <row r="119" spans="1:7" x14ac:dyDescent="0.2">
      <c r="A119" s="923" t="s">
        <v>502</v>
      </c>
      <c r="B119" s="923" t="s">
        <v>2015</v>
      </c>
      <c r="C119" s="924">
        <f>'Revenues 9-14'!B164</f>
        <v>3815</v>
      </c>
      <c r="D119" s="925" t="str">
        <f>'Revenues 9-14'!A164</f>
        <v>State Charter Schools</v>
      </c>
      <c r="E119" s="906"/>
      <c r="F119" s="1907">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9">
        <f>'Revenues 9-14'!D167</f>
        <v>0</v>
      </c>
      <c r="G120" s="930"/>
    </row>
    <row r="121" spans="1:7" x14ac:dyDescent="0.2">
      <c r="A121" s="927" t="s">
        <v>498</v>
      </c>
      <c r="B121" s="927" t="s">
        <v>2017</v>
      </c>
      <c r="C121" s="928">
        <f>'Revenues 9-14'!B168</f>
        <v>3999</v>
      </c>
      <c r="D121" s="929" t="s">
        <v>541</v>
      </c>
      <c r="E121" s="931"/>
      <c r="F121" s="1789">
        <f>SUM('Revenues 9-14'!C168:G168,'Revenues 9-14'!J168)</f>
        <v>19190</v>
      </c>
      <c r="G121" s="930"/>
    </row>
    <row r="122" spans="1:7" x14ac:dyDescent="0.2">
      <c r="A122" s="927" t="s">
        <v>457</v>
      </c>
      <c r="B122" s="927" t="s">
        <v>2018</v>
      </c>
      <c r="C122" s="932">
        <f>'Revenues 9-14'!B177</f>
        <v>4045</v>
      </c>
      <c r="D122" s="929" t="str">
        <f>'Revenues 9-14'!A177 &amp; " (Subtract)"</f>
        <v>Head Start (Subtract)</v>
      </c>
      <c r="E122" s="906"/>
      <c r="F122" s="1789">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666</v>
      </c>
      <c r="B124" s="927" t="s">
        <v>2020</v>
      </c>
      <c r="C124" s="932">
        <v>4100</v>
      </c>
      <c r="D124" s="933" t="str">
        <f>'Revenues 9-14'!A188</f>
        <v>Total Title V</v>
      </c>
      <c r="E124" s="906"/>
      <c r="F124" s="1789">
        <f>SUM('Revenues 9-14'!C188,'Revenues 9-14'!D188,'Revenues 9-14'!F188,'Revenues 9-14'!G188)</f>
        <v>4903</v>
      </c>
      <c r="G124" s="930"/>
    </row>
    <row r="125" spans="1:7" x14ac:dyDescent="0.2">
      <c r="A125" s="927" t="s">
        <v>662</v>
      </c>
      <c r="B125" s="927" t="s">
        <v>2021</v>
      </c>
      <c r="C125" s="932">
        <v>4200</v>
      </c>
      <c r="D125" s="929" t="str">
        <f>'Revenues 9-14'!A198</f>
        <v>Total Food Service</v>
      </c>
      <c r="E125" s="906"/>
      <c r="F125" s="1789">
        <f>SUM('Revenues 9-14'!C198,'Revenues 9-14'!G198)</f>
        <v>90649</v>
      </c>
      <c r="G125" s="930"/>
    </row>
    <row r="126" spans="1:7" x14ac:dyDescent="0.2">
      <c r="A126" s="927" t="s">
        <v>666</v>
      </c>
      <c r="B126" s="927" t="s">
        <v>2022</v>
      </c>
      <c r="C126" s="932">
        <v>4300</v>
      </c>
      <c r="D126" s="933" t="str">
        <f>'Revenues 9-14'!A204</f>
        <v>Total Title I</v>
      </c>
      <c r="E126" s="906"/>
      <c r="F126" s="1789">
        <f>SUM('Revenues 9-14'!C204,'Revenues 9-14'!D204,'Revenues 9-14'!F204,'Revenues 9-14'!G204)</f>
        <v>84697</v>
      </c>
      <c r="G126" s="930"/>
    </row>
    <row r="127" spans="1:7" x14ac:dyDescent="0.2">
      <c r="A127" s="927" t="s">
        <v>666</v>
      </c>
      <c r="B127" s="927" t="s">
        <v>2023</v>
      </c>
      <c r="C127" s="932">
        <v>4400</v>
      </c>
      <c r="D127" s="933" t="str">
        <f>'Revenues 9-14'!A209</f>
        <v>Total Title IV</v>
      </c>
      <c r="E127" s="906"/>
      <c r="F127" s="1789">
        <f>SUM('Revenues 9-14'!C209,'Revenues 9-14'!D209,'Revenues 9-14'!F209,'Revenues 9-14'!G209)</f>
        <v>15439</v>
      </c>
      <c r="G127" s="930"/>
    </row>
    <row r="128" spans="1:7" x14ac:dyDescent="0.2">
      <c r="A128" s="927" t="s">
        <v>666</v>
      </c>
      <c r="B128" s="927" t="s">
        <v>2024</v>
      </c>
      <c r="C128" s="932">
        <f>'Revenues 9-14'!B213</f>
        <v>4620</v>
      </c>
      <c r="D128" s="933" t="str">
        <f>'Revenues 9-14'!A213</f>
        <v>Fed - Spec Education - IDEA - Flow Through</v>
      </c>
      <c r="E128" s="906"/>
      <c r="F128" s="1789">
        <f>SUM('Revenues 9-14'!C213:D213,'Revenues 9-14'!F213:G213)</f>
        <v>7876</v>
      </c>
      <c r="G128" s="930"/>
    </row>
    <row r="129" spans="1:7" x14ac:dyDescent="0.2">
      <c r="A129" s="927" t="s">
        <v>666</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666</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2042</v>
      </c>
      <c r="C157" s="940" t="s">
        <v>839</v>
      </c>
      <c r="D157" s="941" t="s">
        <v>775</v>
      </c>
      <c r="E157" s="942"/>
      <c r="F157" s="1789">
        <f>SUM(F133:F156)</f>
        <v>0</v>
      </c>
      <c r="G157" s="905"/>
    </row>
    <row r="158" spans="1:7" s="867" customFormat="1" x14ac:dyDescent="0.2">
      <c r="A158" s="938" t="s">
        <v>457</v>
      </c>
      <c r="B158" s="939" t="s">
        <v>2043</v>
      </c>
      <c r="C158" s="940" t="s">
        <v>1425</v>
      </c>
      <c r="D158" s="941" t="s">
        <v>1426</v>
      </c>
      <c r="E158" s="942"/>
      <c r="F158" s="1789">
        <f>SUM('Revenues 9-14'!C253)</f>
        <v>0</v>
      </c>
      <c r="G158" s="905"/>
    </row>
    <row r="159" spans="1:7" s="867" customFormat="1" x14ac:dyDescent="0.2">
      <c r="A159" s="938" t="s">
        <v>498</v>
      </c>
      <c r="B159" s="939" t="s">
        <v>2044</v>
      </c>
      <c r="C159" s="940" t="s">
        <v>1464</v>
      </c>
      <c r="D159" s="941" t="s">
        <v>1465</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7">
        <f>SUM('Revenues 9-14'!C258:D258,'Revenues 9-14'!F258,'Revenues 9-14'!G258)</f>
        <v>1846</v>
      </c>
      <c r="G163" s="930"/>
    </row>
    <row r="164" spans="1:7" x14ac:dyDescent="0.2">
      <c r="A164" s="927" t="s">
        <v>666</v>
      </c>
      <c r="B164" s="927" t="s">
        <v>2049</v>
      </c>
      <c r="C164" s="932">
        <f>'Revenues 9-14'!B259</f>
        <v>4932</v>
      </c>
      <c r="D164" s="933" t="str">
        <f>'Revenues 9-14'!A259</f>
        <v>Title II - Teacher Quality</v>
      </c>
      <c r="E164" s="906"/>
      <c r="F164" s="1907">
        <f>SUM('Revenues 9-14'!C259,'Revenues 9-14'!D259,'Revenues 9-14'!F259,'Revenues 9-14'!G259)</f>
        <v>1161</v>
      </c>
      <c r="G164" s="930"/>
    </row>
    <row r="165" spans="1:7" x14ac:dyDescent="0.2">
      <c r="A165" s="927" t="s">
        <v>666</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9">
        <f>SUM('Revenues 9-14'!C263:D263,'Revenues 9-14'!F263:G263)</f>
        <v>471</v>
      </c>
      <c r="G168" s="947">
        <v>6320</v>
      </c>
    </row>
    <row r="169" spans="1:7" x14ac:dyDescent="0.2">
      <c r="A169" s="927" t="s">
        <v>666</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666</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662</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956</v>
      </c>
      <c r="F174" s="1788">
        <f>SUM(F84:F132,F157:F172)</f>
        <v>243379</v>
      </c>
    </row>
    <row r="175" spans="1:7" ht="12" customHeight="1" x14ac:dyDescent="0.2">
      <c r="A175" s="1770"/>
      <c r="B175" s="1784"/>
      <c r="C175" s="1785"/>
      <c r="D175" s="1786" t="s">
        <v>2055</v>
      </c>
      <c r="E175" s="1787"/>
      <c r="F175" s="1789">
        <f>'PCTC-OEPP 27-28'!F77-F174</f>
        <v>957285</v>
      </c>
    </row>
    <row r="176" spans="1:7" ht="12" customHeight="1" x14ac:dyDescent="0.2">
      <c r="A176" s="1770"/>
      <c r="B176" s="1784"/>
      <c r="C176" s="1785"/>
      <c r="D176" s="1786" t="s">
        <v>1815</v>
      </c>
      <c r="E176" s="1787"/>
      <c r="F176" s="1789">
        <f>'Cap Outlay Deprec 26'!I18</f>
        <v>62809</v>
      </c>
    </row>
    <row r="177" spans="1:7" ht="12" customHeight="1" x14ac:dyDescent="0.2">
      <c r="A177" s="1770"/>
      <c r="B177" s="1784"/>
      <c r="C177" s="1785"/>
      <c r="D177" s="1786" t="s">
        <v>2056</v>
      </c>
      <c r="E177" s="1787"/>
      <c r="F177" s="1789">
        <f>F175+F176</f>
        <v>1020094</v>
      </c>
    </row>
    <row r="178" spans="1:7" ht="12" customHeight="1" x14ac:dyDescent="0.2">
      <c r="A178" s="1770"/>
      <c r="B178" s="1790"/>
      <c r="C178" s="1785"/>
      <c r="D178" s="1786" t="str">
        <f>D78</f>
        <v>9 Month ADA from District Average Daily Attendance/Prior General State Aid Inquiry 2018-2019</v>
      </c>
      <c r="E178" s="1787"/>
      <c r="F178" s="1791">
        <f>'PCTC-OEPP 27-28'!F78</f>
        <v>108.4</v>
      </c>
      <c r="G178" s="930"/>
    </row>
    <row r="179" spans="1:7" ht="12" customHeight="1" thickBot="1" x14ac:dyDescent="0.25">
      <c r="A179" s="1770"/>
      <c r="B179" s="1790"/>
      <c r="C179" s="1785"/>
      <c r="D179" s="1786" t="s">
        <v>2057</v>
      </c>
      <c r="E179" s="1787" t="s">
        <v>1543</v>
      </c>
      <c r="F179" s="1792">
        <f>F177/F178</f>
        <v>9410.4612546125463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zoomScaleNormal="100" workbookViewId="0">
      <selection activeCell="D43" sqref="D4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4" t="s">
        <v>1816</v>
      </c>
      <c r="B4" s="2275"/>
      <c r="C4" s="2275"/>
      <c r="D4" s="2275"/>
      <c r="E4" s="2275"/>
      <c r="F4" s="2275"/>
      <c r="G4" s="2276"/>
    </row>
    <row r="5" spans="1:7" x14ac:dyDescent="0.25">
      <c r="A5" s="2277"/>
      <c r="B5" s="2278"/>
      <c r="C5" s="2278"/>
      <c r="D5" s="2278"/>
      <c r="E5" s="2278"/>
      <c r="F5" s="2278"/>
      <c r="G5" s="2279"/>
    </row>
    <row r="6" spans="1:7" ht="18.75" x14ac:dyDescent="0.25">
      <c r="A6" s="1534" t="s">
        <v>1817</v>
      </c>
      <c r="B6" s="1535"/>
      <c r="C6" s="1535"/>
      <c r="D6" s="1535"/>
      <c r="E6" s="1535"/>
      <c r="F6" s="1535"/>
      <c r="G6" s="1536"/>
    </row>
    <row r="7" spans="1:7" ht="30.75" customHeight="1" x14ac:dyDescent="0.25">
      <c r="A7" s="2280" t="s">
        <v>1930</v>
      </c>
      <c r="B7" s="2281"/>
      <c r="C7" s="2281"/>
      <c r="D7" s="2281"/>
      <c r="E7" s="2281"/>
      <c r="F7" s="2281"/>
      <c r="G7" s="2282"/>
    </row>
    <row r="8" spans="1:7" ht="15.75" customHeight="1" x14ac:dyDescent="0.25">
      <c r="A8" s="2283" t="s">
        <v>1905</v>
      </c>
      <c r="B8" s="2284"/>
      <c r="C8" s="2284"/>
      <c r="D8" s="2284"/>
      <c r="E8" s="2284"/>
      <c r="F8" s="2284"/>
      <c r="G8" s="2285"/>
    </row>
    <row r="9" spans="1:7" ht="35.25" customHeight="1" x14ac:dyDescent="0.25">
      <c r="A9" s="2280" t="s">
        <v>1933</v>
      </c>
      <c r="B9" s="2281"/>
      <c r="C9" s="2281"/>
      <c r="D9" s="2281"/>
      <c r="E9" s="2281"/>
      <c r="F9" s="2281"/>
      <c r="G9" s="2282"/>
    </row>
    <row r="10" spans="1:7" ht="15" customHeight="1" x14ac:dyDescent="0.25">
      <c r="A10" s="1537" t="s">
        <v>1818</v>
      </c>
      <c r="B10" s="1538"/>
      <c r="C10" s="1538"/>
      <c r="D10" s="1538"/>
      <c r="E10" s="1538"/>
      <c r="F10" s="1538"/>
      <c r="G10" s="1539"/>
    </row>
    <row r="11" spans="1:7" ht="17.25" customHeight="1" x14ac:dyDescent="0.25">
      <c r="A11" s="2280" t="s">
        <v>1932</v>
      </c>
      <c r="B11" s="2281"/>
      <c r="C11" s="2281"/>
      <c r="D11" s="2281"/>
      <c r="E11" s="2281"/>
      <c r="F11" s="2281"/>
      <c r="G11" s="2282"/>
    </row>
    <row r="12" spans="1:7" ht="15" customHeight="1" x14ac:dyDescent="0.25">
      <c r="A12" s="1537" t="s">
        <v>1823</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2083</v>
      </c>
      <c r="B17" s="1939" t="s">
        <v>2084</v>
      </c>
      <c r="C17" s="1940" t="s">
        <v>2085</v>
      </c>
      <c r="D17" s="1844">
        <v>2253</v>
      </c>
      <c r="E17" s="1540">
        <f t="shared" ref="E17:E141" si="0">IF(D17&lt;=25000,D17,IF(D17&gt;25000,25000,0))</f>
        <v>2253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2253</v>
      </c>
      <c r="G17" s="1793">
        <f>IF(F17=0,0,D17-F17)</f>
        <v>0</v>
      </c>
      <c r="H17" s="1647"/>
    </row>
    <row r="18" spans="1:8" x14ac:dyDescent="0.25">
      <c r="A18" s="1938" t="s">
        <v>2086</v>
      </c>
      <c r="B18" s="1939" t="s">
        <v>2087</v>
      </c>
      <c r="C18" s="1940" t="s">
        <v>2088</v>
      </c>
      <c r="D18" s="1844">
        <v>4750</v>
      </c>
      <c r="E18" s="1540">
        <f t="shared" ref="E18:E140" si="2">IF(D18&lt;=25000,D18,IF(D18&gt;25000,25000,0))</f>
        <v>4750</v>
      </c>
      <c r="F18" s="1932">
        <f t="shared" si="1"/>
        <v>4750</v>
      </c>
      <c r="G18" s="1793">
        <f t="shared" ref="G18:G140" si="3">IF(F18=0,0,D18-F18)</f>
        <v>0</v>
      </c>
    </row>
    <row r="19" spans="1:8" x14ac:dyDescent="0.25">
      <c r="A19" s="1938" t="s">
        <v>2083</v>
      </c>
      <c r="B19" s="1939" t="s">
        <v>2084</v>
      </c>
      <c r="C19" s="1940" t="s">
        <v>2089</v>
      </c>
      <c r="D19" s="1844">
        <v>8491</v>
      </c>
      <c r="E19" s="1540">
        <f t="shared" si="2"/>
        <v>8491</v>
      </c>
      <c r="F19" s="1932">
        <f t="shared" si="1"/>
        <v>8491</v>
      </c>
      <c r="G19" s="1793">
        <f t="shared" si="3"/>
        <v>0</v>
      </c>
    </row>
    <row r="20" spans="1:8" ht="30" x14ac:dyDescent="0.25">
      <c r="A20" s="1938" t="s">
        <v>2090</v>
      </c>
      <c r="B20" s="1939" t="s">
        <v>2091</v>
      </c>
      <c r="C20" s="1940" t="s">
        <v>2092</v>
      </c>
      <c r="D20" s="1844">
        <v>3306</v>
      </c>
      <c r="E20" s="1540">
        <f t="shared" si="2"/>
        <v>3306</v>
      </c>
      <c r="F20" s="1932">
        <f t="shared" si="1"/>
        <v>3306</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18800</v>
      </c>
      <c r="E141" s="1541">
        <f t="shared" si="0"/>
        <v>18800</v>
      </c>
      <c r="F141" s="1933">
        <f>SUM(F17:F140)</f>
        <v>18800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6" t="s">
        <v>1677</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47584</v>
      </c>
      <c r="F10" s="974"/>
      <c r="G10" s="975"/>
      <c r="H10" s="162"/>
      <c r="I10" s="162"/>
    </row>
    <row r="11" spans="1:9" s="668" customFormat="1" ht="22.5" customHeight="1" x14ac:dyDescent="0.2">
      <c r="A11" s="2291" t="s">
        <v>1975</v>
      </c>
      <c r="B11" s="2292"/>
      <c r="C11" s="2292"/>
      <c r="D11" s="2293"/>
      <c r="E11" s="977">
        <v>7794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684180</v>
      </c>
      <c r="F19" s="1799"/>
      <c r="G19" s="1801">
        <f>'Expenditures 15-22'!K33-SUM('Expenditures 15-22'!G33,'Expenditures 15-22'!I33)+'Expenditures 15-22'!D229</f>
        <v>684180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1530</v>
      </c>
      <c r="F21" s="1802"/>
      <c r="G21" s="1805">
        <f>'Expenditures 15-22'!K42-SUM('Expenditures 15-22'!G42,'Expenditures 15-22'!I42)+'Expenditures 15-22'!K120-SUM('Expenditures 15-22'!G120,'Expenditures 15-22'!I120)+'Expenditures 15-22'!K180-SUM('Expenditures 15-22'!G180,'Expenditures 15-22'!I180)+'Expenditures 15-22'!D238</f>
        <v>1530</v>
      </c>
      <c r="H21" s="987"/>
      <c r="I21" s="162"/>
    </row>
    <row r="22" spans="1:9" s="668" customFormat="1" ht="12" customHeight="1" x14ac:dyDescent="0.2">
      <c r="A22" s="994" t="s">
        <v>562</v>
      </c>
      <c r="B22" s="995"/>
      <c r="C22" s="993">
        <v>2200</v>
      </c>
      <c r="D22" s="1802"/>
      <c r="E22" s="1804">
        <f>'Expenditures 15-22'!K47-SUM('Expenditures 15-22'!G47,'Expenditures 15-22'!I47)+'Expenditures 15-22'!D243</f>
        <v>2796</v>
      </c>
      <c r="F22" s="1802"/>
      <c r="G22" s="1805">
        <f>'Expenditures 15-22'!K47-SUM('Expenditures 15-22'!G47,'Expenditures 15-22'!I47)+'Expenditures 15-22'!D243</f>
        <v>2796</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172072</v>
      </c>
      <c r="F23" s="1802"/>
      <c r="G23" s="1804">
        <f>'Expenditures 15-22'!K53-SUM('Expenditures 15-22'!G53,'Expenditures 15-22'!I53)+'Expenditures 15-22'!D257+'Expenditures 15-22'!K330-SUM('Expenditures 15-22'!G330,'Expenditures 15-22'!I330)</f>
        <v>172072</v>
      </c>
      <c r="H23" s="987"/>
      <c r="I23" s="162"/>
    </row>
    <row r="24" spans="1:9" s="668" customFormat="1" ht="12" customHeight="1" x14ac:dyDescent="0.2">
      <c r="A24" s="994" t="s">
        <v>564</v>
      </c>
      <c r="B24" s="995"/>
      <c r="C24" s="993">
        <v>2400</v>
      </c>
      <c r="D24" s="1802"/>
      <c r="E24" s="1804">
        <f>'Expenditures 15-22'!K57-SUM('Expenditures 15-22'!G57,'Expenditures 15-22'!I57)+'Expenditures 15-22'!D261</f>
        <v>33944</v>
      </c>
      <c r="F24" s="1802"/>
      <c r="G24" s="1805">
        <f>'Expenditures 15-22'!K57-SUM('Expenditures 15-22'!G57,'Expenditures 15-22'!I57)+'Expenditures 15-22'!D261</f>
        <v>33944</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41281</v>
      </c>
      <c r="E27" s="1804">
        <f>E8</f>
        <v>0</v>
      </c>
      <c r="F27" s="1804">
        <f>'Expenditures 15-22'!K60-SUM('Expenditures 15-22'!G60,'Expenditures 15-22'!I60)+'Expenditures 15-22'!D264-E8</f>
        <v>41281</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146377</v>
      </c>
      <c r="F28" s="1806">
        <f>'Expenditures 15-22'!K61-SUM('Expenditures 15-22'!G61,'Expenditures 15-22'!I61)+'Expenditures 15-22'!K124-SUM('Expenditures 15-22'!G124,'Expenditures 15-22'!I124)+'Expenditures 15-22'!D266-E9</f>
        <v>146377</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24923</v>
      </c>
      <c r="F29" s="1802"/>
      <c r="G29" s="1805">
        <f>'Expenditures 15-22'!K62-SUM('Expenditures 15-22'!G62,'Expenditures 15-22'!I62)+'Expenditures 15-22'!K125-SUM('Expenditures 15-22'!G125,'Expenditures 15-22'!I125)+'Expenditures 15-22'!K182-SUM('Expenditures 15-22'!G182,'Expenditures 15-22'!I182)+'Expenditures 15-22'!D267</f>
        <v>24923</v>
      </c>
      <c r="H29" s="985"/>
    </row>
    <row r="30" spans="1:9" ht="12" customHeight="1" x14ac:dyDescent="0.2">
      <c r="A30" s="994" t="s">
        <v>100</v>
      </c>
      <c r="B30" s="997"/>
      <c r="C30" s="993">
        <v>2560</v>
      </c>
      <c r="D30" s="1802"/>
      <c r="E30" s="1804">
        <f>'Expenditures 15-22'!K63-SUM('Expenditures 15-22'!G63,'Expenditures 15-22'!I63)+'Expenditures 15-22'!D268-E10</f>
        <v>34690</v>
      </c>
      <c r="F30" s="1802"/>
      <c r="G30" s="1804">
        <f>'Expenditures 15-22'!K63-SUM('Expenditures 15-22'!G63,'Expenditures 15-22'!I63)+'Expenditures 15-22'!D268-E10</f>
        <v>34690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1059</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41281</v>
      </c>
      <c r="E41" s="1806">
        <f>SUM(E19:E40)</f>
        <v>1100512</v>
      </c>
      <c r="F41" s="1806">
        <f>SUM(F19:F39)</f>
        <v>187658</v>
      </c>
      <c r="G41" s="1806">
        <f>SUM(G19:G40)</f>
        <v>954135</v>
      </c>
    </row>
    <row r="42" spans="1:7" x14ac:dyDescent="0.2">
      <c r="A42" s="987"/>
      <c r="B42" s="162"/>
      <c r="C42" s="1001"/>
      <c r="D42" s="2289" t="s">
        <v>520</v>
      </c>
      <c r="E42" s="2290"/>
      <c r="F42" s="1002" t="s">
        <v>521</v>
      </c>
      <c r="G42" s="1003"/>
    </row>
    <row r="43" spans="1:7" ht="12" customHeight="1" x14ac:dyDescent="0.2">
      <c r="A43" s="987"/>
      <c r="B43" s="162"/>
      <c r="C43" s="1001"/>
      <c r="D43" s="1807" t="s">
        <v>471</v>
      </c>
      <c r="E43" s="1808">
        <f>D41</f>
        <v>41281</v>
      </c>
      <c r="F43" s="1807" t="s">
        <v>471</v>
      </c>
      <c r="G43" s="1808">
        <f>F41</f>
        <v>187658</v>
      </c>
    </row>
    <row r="44" spans="1:7" ht="12" customHeight="1" x14ac:dyDescent="0.2">
      <c r="A44" s="987"/>
      <c r="B44" s="162"/>
      <c r="C44" s="1001"/>
      <c r="D44" s="1807" t="s">
        <v>472</v>
      </c>
      <c r="E44" s="1808">
        <f>E41</f>
        <v>1100512</v>
      </c>
      <c r="F44" s="1807" t="s">
        <v>472</v>
      </c>
      <c r="G44" s="1808">
        <f>G41</f>
        <v>954135</v>
      </c>
    </row>
    <row r="45" spans="1:7" ht="12" customHeight="1" x14ac:dyDescent="0.2">
      <c r="A45" s="987"/>
      <c r="B45" s="162"/>
      <c r="C45" s="162"/>
      <c r="D45" s="1809" t="s">
        <v>1004</v>
      </c>
      <c r="E45" s="1810">
        <f>(E43/E44)</f>
        <v>3.7510722281992384E-2</v>
      </c>
      <c r="F45" s="1809" t="s">
        <v>1004</v>
      </c>
      <c r="G45" s="1810">
        <f>(G43/G44)</f>
        <v>0.19667866706493317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4" activePane="bottomLeft" state="frozen"/>
      <selection activeCell="D43" sqref="D43"/>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1377</v>
      </c>
      <c r="B1" s="2308"/>
      <c r="C1" s="2308"/>
      <c r="D1" s="2308"/>
      <c r="E1" s="2308"/>
      <c r="F1" s="2308"/>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9" t="s">
        <v>1544</v>
      </c>
      <c r="B5" s="2310"/>
      <c r="C5" s="2311"/>
      <c r="D5" s="2311"/>
      <c r="E5" s="2311"/>
      <c r="F5" s="2311"/>
    </row>
    <row r="6" spans="1:10" ht="12" customHeight="1" x14ac:dyDescent="0.25">
      <c r="A6" s="1850"/>
      <c r="B6" s="1851"/>
      <c r="C6" s="2312" t="str">
        <f>COVER!A17</f>
        <v>North Wamac SD 186</v>
      </c>
      <c r="D6" s="2312"/>
      <c r="E6" s="2312"/>
      <c r="F6" s="1852"/>
    </row>
    <row r="7" spans="1:10" ht="11.25" customHeight="1" thickBot="1" x14ac:dyDescent="0.3">
      <c r="A7" s="1850"/>
      <c r="B7" s="1851"/>
      <c r="C7" s="2313">
        <f>COVER!A13</f>
        <v>13014186002</v>
      </c>
      <c r="D7" s="2313"/>
      <c r="E7" s="2313"/>
      <c r="F7" s="1852"/>
    </row>
    <row r="8" spans="1:10" ht="25.5" customHeight="1" thickBot="1" x14ac:dyDescent="0.25">
      <c r="A8" s="1893" t="s">
        <v>1906</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c r="D13" s="1865"/>
      <c r="E13" s="1868"/>
      <c r="F13" s="1867"/>
      <c r="H13" s="1878">
        <f t="shared" si="0"/>
        <v>0</v>
      </c>
      <c r="I13" s="1878">
        <f t="shared" si="1"/>
        <v>0</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2070</v>
      </c>
      <c r="D26" s="1865" t="s">
        <v>2070</v>
      </c>
      <c r="E26" s="1868"/>
      <c r="F26" s="1867" t="s">
        <v>2073</v>
      </c>
      <c r="H26" s="1878">
        <f t="shared" si="0"/>
        <v>5</v>
      </c>
      <c r="I26" s="1878">
        <f t="shared" si="1"/>
        <v>5</v>
      </c>
      <c r="J26" s="1878">
        <f t="shared" si="2"/>
        <v>0</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c r="D30" s="1865"/>
      <c r="E30" s="1868"/>
      <c r="F30" s="1867"/>
      <c r="H30" s="1878">
        <f t="shared" si="0"/>
        <v>0</v>
      </c>
      <c r="I30" s="1878">
        <f t="shared" si="1"/>
        <v>0</v>
      </c>
      <c r="J30" s="1878">
        <f t="shared" si="2"/>
        <v>0</v>
      </c>
    </row>
    <row r="31" spans="1:12" ht="12" customHeight="1" x14ac:dyDescent="0.2">
      <c r="A31" s="1863" t="s">
        <v>1537</v>
      </c>
      <c r="B31" s="1864"/>
      <c r="C31" s="1865"/>
      <c r="D31" s="1865"/>
      <c r="E31" s="1868"/>
      <c r="F31" s="1867"/>
      <c r="H31" s="1878">
        <f t="shared" si="0"/>
        <v>0</v>
      </c>
      <c r="I31" s="1878">
        <f t="shared" si="1"/>
        <v>0</v>
      </c>
      <c r="J31" s="1878">
        <f t="shared" si="2"/>
        <v>0</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1390</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1389</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7" colorId="8" zoomScaleNormal="110" workbookViewId="0">
      <selection activeCell="D43" sqref="D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21" t="str">
        <f>COVER!A17</f>
        <v>North Wamac SD 186</v>
      </c>
      <c r="J6" s="2322"/>
      <c r="Q6" s="1664"/>
    </row>
    <row r="7" spans="1:17" x14ac:dyDescent="0.2">
      <c r="A7" s="2323" t="s">
        <v>867</v>
      </c>
      <c r="B7" s="2324"/>
      <c r="C7" s="2324"/>
      <c r="D7" s="2324"/>
      <c r="E7" s="2325"/>
      <c r="F7" s="1017"/>
      <c r="G7" s="1009"/>
      <c r="H7" s="1016" t="s">
        <v>370</v>
      </c>
      <c r="I7" s="2326">
        <f>COVER!A13</f>
        <v>13014186002</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7" t="s">
        <v>479</v>
      </c>
      <c r="B11" s="2328"/>
      <c r="C11" s="2329"/>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66443</v>
      </c>
      <c r="F12" s="1039"/>
      <c r="G12" s="1811">
        <f t="shared" ref="G12:G18" si="0">SUM(E12:F12)</f>
        <v>66443</v>
      </c>
      <c r="H12" s="1040">
        <v>66822</v>
      </c>
      <c r="I12" s="1039"/>
      <c r="J12" s="1811">
        <f t="shared" ref="J12:J18" si="1">SUM(H12:I12)</f>
        <v>66822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66443</v>
      </c>
      <c r="F19" s="1813">
        <f t="shared" si="2"/>
        <v>0</v>
      </c>
      <c r="G19" s="1813">
        <f t="shared" si="2"/>
        <v>66443</v>
      </c>
      <c r="H19" s="1813">
        <f t="shared" si="2"/>
        <v>66822</v>
      </c>
      <c r="I19" s="1813">
        <f t="shared" si="2"/>
        <v>0</v>
      </c>
      <c r="J19" s="1813">
        <f t="shared" si="2"/>
        <v>66822</v>
      </c>
    </row>
    <row r="20" spans="1:10" ht="13.5" thickTop="1" x14ac:dyDescent="0.2">
      <c r="A20" s="1035">
        <v>9</v>
      </c>
      <c r="B20" s="2333" t="s">
        <v>1979</v>
      </c>
      <c r="C20" s="2333"/>
      <c r="D20" s="2334"/>
      <c r="E20" s="1046"/>
      <c r="F20" s="1046"/>
      <c r="G20" s="1046"/>
      <c r="H20" s="1046"/>
      <c r="I20" s="1046"/>
      <c r="J20" s="1814">
        <f>IF(AND(G19&gt;0,J19&gt;0),(((J19-G19)/G19)),"Enter Budget Data")</f>
        <v>5.7041373809129632E-3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1031</v>
      </c>
      <c r="D27" s="1052"/>
      <c r="E27" s="1053"/>
      <c r="F27" s="2335" t="s">
        <v>1507</v>
      </c>
      <c r="G27" s="2335"/>
    </row>
    <row r="28" spans="1:10" ht="28.5" customHeight="1" x14ac:dyDescent="0.2">
      <c r="B28" s="1047"/>
      <c r="C28" s="2337"/>
      <c r="D28" s="2337"/>
      <c r="E28" s="1054"/>
      <c r="F28" s="2337"/>
      <c r="G28" s="2337"/>
    </row>
    <row r="29" spans="1:10" x14ac:dyDescent="0.2">
      <c r="B29" s="1047"/>
      <c r="C29" s="1055" t="s">
        <v>1559</v>
      </c>
      <c r="E29" s="1056"/>
      <c r="F29" s="2336" t="s">
        <v>1508</v>
      </c>
      <c r="G29" s="2336"/>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880</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52"/>
  <sheetViews>
    <sheetView showGridLines="0" zoomScale="110" zoomScaleNormal="110" workbookViewId="0">
      <selection activeCell="A22" sqref="A22:XFD22"/>
    </sheetView>
  </sheetViews>
  <sheetFormatPr defaultColWidth="9.140625" defaultRowHeight="12.75" x14ac:dyDescent="0.2"/>
  <cols>
    <col min="1" max="2" width="3" style="329" customWidth="1"/>
    <col min="3" max="3" width="3.140625" style="329" customWidth="1"/>
    <col min="4" max="6" width="9.140625" style="329"/>
    <col min="7" max="7" width="10" style="1937" bestFit="1" customWidth="1"/>
    <col min="8" max="8" width="10" style="1941" bestFit="1" customWidth="1"/>
    <col min="9" max="16384" width="9.140625" style="329"/>
  </cols>
  <sheetData>
    <row r="1" spans="1:8" x14ac:dyDescent="0.2">
      <c r="A1" s="329" t="s">
        <v>2074</v>
      </c>
    </row>
    <row r="2" spans="1:8" x14ac:dyDescent="0.2">
      <c r="A2" s="389"/>
    </row>
    <row r="3" spans="1:8" x14ac:dyDescent="0.2">
      <c r="A3" s="329" t="s">
        <v>2106</v>
      </c>
    </row>
    <row r="4" spans="1:8" x14ac:dyDescent="0.2">
      <c r="A4" s="389"/>
      <c r="B4" s="329" t="s">
        <v>2107</v>
      </c>
    </row>
    <row r="5" spans="1:8" ht="13.5" thickBot="1" x14ac:dyDescent="0.25">
      <c r="A5" s="389"/>
      <c r="C5" s="329" t="s">
        <v>2108</v>
      </c>
      <c r="H5" s="1943">
        <v>47900</v>
      </c>
    </row>
    <row r="6" spans="1:8" ht="13.5" thickTop="1" x14ac:dyDescent="0.2">
      <c r="A6" s="389"/>
    </row>
    <row r="7" spans="1:8" x14ac:dyDescent="0.2">
      <c r="A7" s="329" t="s">
        <v>367</v>
      </c>
    </row>
    <row r="8" spans="1:8" x14ac:dyDescent="0.2">
      <c r="B8" s="329" t="s">
        <v>2093</v>
      </c>
    </row>
    <row r="9" spans="1:8" ht="13.5" thickBot="1" x14ac:dyDescent="0.25">
      <c r="A9" s="1068"/>
      <c r="C9" s="329" t="s">
        <v>2094</v>
      </c>
      <c r="H9" s="1943">
        <v>1148</v>
      </c>
    </row>
    <row r="10" spans="1:8" ht="13.5" thickTop="1" x14ac:dyDescent="0.2">
      <c r="A10" s="1068"/>
    </row>
    <row r="11" spans="1:8" x14ac:dyDescent="0.2">
      <c r="A11" s="1068"/>
      <c r="B11" s="329" t="s">
        <v>2095</v>
      </c>
    </row>
    <row r="12" spans="1:8" x14ac:dyDescent="0.2">
      <c r="A12" s="1068"/>
      <c r="C12" s="329" t="s">
        <v>2096</v>
      </c>
      <c r="H12" s="1941">
        <v>1738</v>
      </c>
    </row>
    <row r="13" spans="1:8" x14ac:dyDescent="0.2">
      <c r="A13" s="1069"/>
      <c r="C13" s="329" t="s">
        <v>2097</v>
      </c>
      <c r="H13" s="1942">
        <v>500</v>
      </c>
    </row>
    <row r="14" spans="1:8" ht="13.5" thickBot="1" x14ac:dyDescent="0.25">
      <c r="A14" s="1069"/>
      <c r="H14" s="1944">
        <f>SUM(H12:H13)</f>
        <v>2238</v>
      </c>
    </row>
    <row r="15" spans="1:8" ht="13.5" thickTop="1" x14ac:dyDescent="0.2">
      <c r="A15" s="1069"/>
    </row>
    <row r="16" spans="1:8" x14ac:dyDescent="0.2">
      <c r="A16" s="1069"/>
      <c r="B16" s="329" t="s">
        <v>2098</v>
      </c>
    </row>
    <row r="17" spans="1:8" ht="13.5" thickBot="1" x14ac:dyDescent="0.25">
      <c r="A17" s="1069"/>
      <c r="C17" s="329" t="s">
        <v>2099</v>
      </c>
      <c r="H17" s="1943">
        <v>10699</v>
      </c>
    </row>
    <row r="18" spans="1:8" ht="13.5" thickTop="1" x14ac:dyDescent="0.2">
      <c r="A18" s="1069"/>
    </row>
    <row r="19" spans="1:8" x14ac:dyDescent="0.2">
      <c r="A19" s="1069"/>
      <c r="B19" s="329" t="s">
        <v>2100</v>
      </c>
    </row>
    <row r="20" spans="1:8" ht="13.5" thickBot="1" x14ac:dyDescent="0.25">
      <c r="A20" s="1069"/>
      <c r="C20" s="329" t="s">
        <v>2099</v>
      </c>
      <c r="H20" s="1943">
        <v>8491</v>
      </c>
    </row>
    <row r="21" spans="1:8" ht="13.5" thickTop="1" x14ac:dyDescent="0.2">
      <c r="A21" s="1069"/>
    </row>
    <row r="22" spans="1:8" x14ac:dyDescent="0.2">
      <c r="A22" s="1069" t="s">
        <v>500</v>
      </c>
    </row>
    <row r="23" spans="1:8" x14ac:dyDescent="0.2">
      <c r="A23" s="1069"/>
      <c r="B23" s="329" t="s">
        <v>2101</v>
      </c>
    </row>
    <row r="24" spans="1:8" ht="13.5" thickBot="1" x14ac:dyDescent="0.25">
      <c r="A24" s="1069"/>
      <c r="C24" s="329" t="s">
        <v>2102</v>
      </c>
      <c r="H24" s="1943">
        <v>681</v>
      </c>
    </row>
    <row r="25" spans="1:8" ht="13.5" thickTop="1" x14ac:dyDescent="0.2">
      <c r="A25" s="1069"/>
    </row>
    <row r="26" spans="1:8" x14ac:dyDescent="0.2">
      <c r="A26" s="1069"/>
      <c r="B26" s="329" t="s">
        <v>2103</v>
      </c>
    </row>
    <row r="27" spans="1:8" ht="13.5" thickBot="1" x14ac:dyDescent="0.25">
      <c r="A27" s="1069"/>
      <c r="C27" s="329" t="s">
        <v>2104</v>
      </c>
      <c r="H27" s="1943">
        <v>500</v>
      </c>
    </row>
    <row r="28" spans="1:8" ht="13.5" thickTop="1" x14ac:dyDescent="0.2">
      <c r="A28" s="1069"/>
    </row>
    <row r="29" spans="1:8" x14ac:dyDescent="0.2">
      <c r="A29" s="1069"/>
    </row>
    <row r="30" spans="1:8" x14ac:dyDescent="0.2">
      <c r="A30" s="1069"/>
    </row>
    <row r="31" spans="1:8" x14ac:dyDescent="0.2">
      <c r="A31" s="1069"/>
    </row>
    <row r="32" spans="1:8"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c r="B51" s="258" t="str">
        <f>COVER!A17</f>
        <v>North Wamac SD 186</v>
      </c>
    </row>
    <row r="52" spans="1:2" x14ac:dyDescent="0.2">
      <c r="B52" s="1070">
        <f>COVER!A13</f>
        <v>13014186002</v>
      </c>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6" t="s">
        <v>1609</v>
      </c>
    </row>
    <row r="23" spans="1:5" x14ac:dyDescent="0.2">
      <c r="A23" s="168"/>
      <c r="B23" s="162" t="s">
        <v>1855</v>
      </c>
      <c r="D23" s="167" t="s">
        <v>635</v>
      </c>
      <c r="E23" s="1836"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7" t="s">
        <v>1063</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689</v>
      </c>
      <c r="B40" s="2054"/>
      <c r="C40" s="2054"/>
      <c r="D40" s="2054"/>
      <c r="E40" s="2054"/>
    </row>
    <row r="41" spans="1:5" x14ac:dyDescent="0.2">
      <c r="A41" s="2055" t="s">
        <v>1606</v>
      </c>
      <c r="B41" s="2055"/>
      <c r="C41" s="2055"/>
      <c r="D41" s="2055"/>
      <c r="E41" s="2055"/>
    </row>
    <row r="42" spans="1:5" ht="12.75" customHeight="1" x14ac:dyDescent="0.2">
      <c r="A42" s="2056" t="s">
        <v>1020</v>
      </c>
      <c r="B42" s="2056"/>
      <c r="C42" s="2056"/>
      <c r="D42" s="2056"/>
      <c r="E42" s="2056"/>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40" t="s">
        <v>1683</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152400</xdr:rowOff>
              </from>
              <to>
                <xdr:col>1</xdr:col>
                <xdr:colOff>914400</xdr:colOff>
                <xdr:row>11</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1688</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1684</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1689</v>
      </c>
      <c r="B6" s="2358"/>
      <c r="C6" s="2358"/>
      <c r="D6" s="2358"/>
      <c r="E6" s="2358"/>
      <c r="F6" s="2359"/>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1321207</v>
      </c>
      <c r="C8" s="1815">
        <f>'Acct Summary 7-8'!D8</f>
        <v>155194</v>
      </c>
      <c r="D8" s="1815">
        <f>'Acct Summary 7-8'!F8</f>
        <v>44955</v>
      </c>
      <c r="E8" s="1815">
        <f>'Acct Summary 7-8'!I8</f>
        <v>8239</v>
      </c>
      <c r="F8" s="1815">
        <f>SUM(B8:E8)</f>
        <v>1529595</v>
      </c>
    </row>
    <row r="9" spans="1:8" s="1079" customFormat="1" ht="14.25" customHeight="1" thickBot="1" x14ac:dyDescent="0.25">
      <c r="A9" s="1078" t="s">
        <v>1367</v>
      </c>
      <c r="B9" s="1816">
        <f>'Acct Summary 7-8'!C17</f>
        <v>1023744</v>
      </c>
      <c r="C9" s="1816">
        <f>'Acct Summary 7-8'!D17</f>
        <v>136461</v>
      </c>
      <c r="D9" s="1816">
        <f>'Acct Summary 7-8'!F17</f>
        <v>82695</v>
      </c>
      <c r="E9" s="1815"/>
      <c r="F9" s="1815">
        <f>SUM(B9:E9)</f>
        <v>1242900</v>
      </c>
    </row>
    <row r="10" spans="1:8" s="1079" customFormat="1" ht="14.25" thickTop="1" thickBot="1" x14ac:dyDescent="0.25">
      <c r="A10" s="1080" t="s">
        <v>1368</v>
      </c>
      <c r="B10" s="1817">
        <f>(B8-B9)</f>
        <v>297463</v>
      </c>
      <c r="C10" s="1817">
        <f>(C8-C9)</f>
        <v>18733</v>
      </c>
      <c r="D10" s="1817">
        <f>(D8-D9)</f>
        <v>-37740</v>
      </c>
      <c r="E10" s="1816">
        <f>(E8-E9)</f>
        <v>8239</v>
      </c>
      <c r="F10" s="1818">
        <f>SUM(F8-F9)</f>
        <v>286695</v>
      </c>
    </row>
    <row r="11" spans="1:8" s="1079" customFormat="1" ht="14.25" thickTop="1" thickBot="1" x14ac:dyDescent="0.25">
      <c r="A11" s="1081" t="s">
        <v>1983</v>
      </c>
      <c r="B11" s="1819">
        <f>'Acct Summary 7-8'!C81</f>
        <v>2274637</v>
      </c>
      <c r="C11" s="1819">
        <f>'Acct Summary 7-8'!D81</f>
        <v>61309</v>
      </c>
      <c r="D11" s="1819">
        <f>'Acct Summary 7-8'!F81</f>
        <v>66987</v>
      </c>
      <c r="E11" s="1819">
        <f>'Acct Summary 7-8'!I81</f>
        <v>163656</v>
      </c>
      <c r="F11" s="1820">
        <f>SUM(B11:E11)</f>
        <v>2566589</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1685</v>
      </c>
      <c r="B16" s="2344"/>
      <c r="C16" s="2344"/>
      <c r="D16" s="2344"/>
      <c r="E16" s="2344"/>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663</v>
      </c>
      <c r="B3" s="2367"/>
      <c r="C3" s="2367"/>
      <c r="D3" s="2368"/>
    </row>
    <row r="4" spans="1:4" x14ac:dyDescent="0.2">
      <c r="A4" s="1152" t="s">
        <v>1690</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7" t="s">
        <v>1502</v>
      </c>
      <c r="D7" s="2378"/>
    </row>
    <row r="8" spans="1:4" s="668" customFormat="1" ht="12.75" x14ac:dyDescent="0.2">
      <c r="A8" s="1138"/>
      <c r="B8" s="1093"/>
      <c r="C8" s="1096" t="s">
        <v>1501</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69" t="s">
        <v>1006</v>
      </c>
      <c r="B15" s="2370"/>
      <c r="C15" s="2370"/>
      <c r="D15" s="2371"/>
    </row>
    <row r="16" spans="1:4" s="668" customFormat="1" ht="24" customHeight="1" x14ac:dyDescent="0.2">
      <c r="A16" s="2372" t="s">
        <v>661</v>
      </c>
      <c r="B16" s="2373"/>
      <c r="C16" s="2373"/>
      <c r="D16" s="2374"/>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81" t="s">
        <v>312</v>
      </c>
      <c r="D21" s="2382"/>
    </row>
    <row r="22" spans="1:10" ht="12.75" x14ac:dyDescent="0.2">
      <c r="A22" s="1139"/>
      <c r="B22" s="1140">
        <v>2</v>
      </c>
      <c r="C22" s="2379" t="s">
        <v>1522</v>
      </c>
      <c r="D22" s="2380"/>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3" t="s">
        <v>534</v>
      </c>
      <c r="D43" s="2384"/>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5" t="s">
        <v>782</v>
      </c>
      <c r="D56" s="2376"/>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1019</v>
      </c>
      <c r="D67" s="1125"/>
    </row>
    <row r="68" spans="1:4" x14ac:dyDescent="0.2">
      <c r="A68" s="1100"/>
      <c r="B68" s="1110"/>
      <c r="C68" s="1102" t="s">
        <v>1913</v>
      </c>
      <c r="D68" s="1124" t="str">
        <f>IF('Short-Term Long-Term Debt 24'!F49=SUM(,'Acct Summary 7-8'!C33:K33),"OK","ERROR!")</f>
        <v>ERROR!</v>
      </c>
    </row>
    <row r="69" spans="1:4" x14ac:dyDescent="0.2">
      <c r="A69" s="1100"/>
      <c r="B69" s="1110"/>
      <c r="C69" s="1102" t="s">
        <v>1914</v>
      </c>
      <c r="D69" s="1124" t="str">
        <f>IF('Expenditures 15-22'!H170&lt;&gt;'Short-Term Long-Term Debt 24'!H49,"ERROR!","OK")</f>
        <v>ERROR!</v>
      </c>
    </row>
    <row r="70" spans="1:4" x14ac:dyDescent="0.2">
      <c r="A70" s="1098"/>
      <c r="B70" s="1120">
        <f>B66+1</f>
        <v>9</v>
      </c>
      <c r="C70" s="2375" t="s">
        <v>1694</v>
      </c>
      <c r="D70" s="2376"/>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13014186002</v>
      </c>
    </row>
    <row r="3" spans="1:2" x14ac:dyDescent="0.2">
      <c r="A3" t="s">
        <v>954</v>
      </c>
      <c r="B3" s="138" t="str">
        <f>COVER!A15</f>
        <v>Clinton</v>
      </c>
    </row>
    <row r="4" spans="1:2" x14ac:dyDescent="0.2">
      <c r="A4" t="s">
        <v>1005</v>
      </c>
      <c r="B4" s="138" t="str">
        <f>COVER!A17</f>
        <v>North Wamac SD 186</v>
      </c>
    </row>
    <row r="5" spans="1:2" x14ac:dyDescent="0.2">
      <c r="A5" t="s">
        <v>702</v>
      </c>
      <c r="B5" s="138" t="str">
        <f>COVER!A38</f>
        <v>Brad Morris</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t="str">
        <f>COVER!U34</f>
        <v>X</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2274637</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2273630</v>
      </c>
      <c r="D92" s="2" t="str">
        <f t="shared" si="0"/>
        <v>Error?</v>
      </c>
    </row>
    <row r="93" spans="1:4" x14ac:dyDescent="0.2">
      <c r="A93" s="5">
        <v>32</v>
      </c>
      <c r="B93" s="138">
        <f>'Assets-Liab 5-6'!C41</f>
        <v>2274637</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61309</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61309</v>
      </c>
      <c r="D123" s="2" t="str">
        <f t="shared" si="0"/>
        <v>Error?</v>
      </c>
    </row>
    <row r="124" spans="1:4" x14ac:dyDescent="0.2">
      <c r="A124" s="5">
        <v>63</v>
      </c>
      <c r="B124" s="138">
        <f>'Assets-Liab 5-6'!D41</f>
        <v>61309</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3027</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3027</v>
      </c>
      <c r="D140" s="2" t="str">
        <f t="shared" si="1"/>
        <v>Error?</v>
      </c>
    </row>
    <row r="141" spans="1:4" x14ac:dyDescent="0.2">
      <c r="A141" s="5">
        <v>80</v>
      </c>
      <c r="B141" s="138">
        <f>'Assets-Liab 5-6'!E41</f>
        <v>3027</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66987</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66987</v>
      </c>
      <c r="D170" s="2" t="str">
        <f t="shared" si="1"/>
        <v>Error?</v>
      </c>
    </row>
    <row r="171" spans="1:4" x14ac:dyDescent="0.2">
      <c r="A171" s="5">
        <v>110</v>
      </c>
      <c r="B171" s="138">
        <f>'Assets-Liab 5-6'!F41</f>
        <v>66987</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57591</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14140</v>
      </c>
      <c r="D189" s="2" t="str">
        <f t="shared" si="1"/>
        <v>Error?</v>
      </c>
    </row>
    <row r="190" spans="1:4" x14ac:dyDescent="0.2">
      <c r="A190" s="5">
        <v>129</v>
      </c>
      <c r="B190" s="138">
        <f>'Assets-Liab 5-6'!G41</f>
        <v>57591</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8325</v>
      </c>
      <c r="D273" s="2" t="str">
        <f t="shared" si="3"/>
        <v>Error?</v>
      </c>
    </row>
    <row r="274" spans="1:4" x14ac:dyDescent="0.2">
      <c r="A274" s="5">
        <v>213</v>
      </c>
      <c r="B274" s="138">
        <f>'Assets-Liab 5-6'!M17</f>
        <v>1103283</v>
      </c>
      <c r="D274" s="2" t="str">
        <f t="shared" si="3"/>
        <v>Error?</v>
      </c>
    </row>
    <row r="275" spans="1:4" x14ac:dyDescent="0.2">
      <c r="A275" s="5">
        <v>214</v>
      </c>
      <c r="B275" s="138">
        <f>'Assets-Liab 5-6'!M18</f>
        <v>128157</v>
      </c>
      <c r="D275" s="2" t="str">
        <f t="shared" si="3"/>
        <v>Error?</v>
      </c>
    </row>
    <row r="276" spans="1:4" x14ac:dyDescent="0.2">
      <c r="A276" s="5">
        <v>215</v>
      </c>
      <c r="B276" s="138">
        <f>'Assets-Liab 5-6'!M19</f>
        <v>724123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1963888</v>
      </c>
      <c r="C279" s="2" t="s">
        <v>571</v>
      </c>
      <c r="D279" s="2" t="str">
        <f t="shared" si="3"/>
        <v>Error?</v>
      </c>
    </row>
    <row r="280" spans="1:4" x14ac:dyDescent="0.2">
      <c r="A280" s="5">
        <v>219</v>
      </c>
      <c r="B280" s="138">
        <f>'Assets-Liab 5-6'!M40</f>
        <v>1963888</v>
      </c>
      <c r="D280" s="2" t="str">
        <f t="shared" si="3"/>
        <v>Error?</v>
      </c>
    </row>
    <row r="281" spans="1:4" x14ac:dyDescent="0.2">
      <c r="A281" s="5">
        <v>220</v>
      </c>
      <c r="B281" s="138">
        <f>'Assets-Liab 5-6'!M41</f>
        <v>1963888</v>
      </c>
      <c r="C281" s="2" t="s">
        <v>571</v>
      </c>
      <c r="D281" s="2" t="str">
        <f t="shared" si="3"/>
        <v>Error?</v>
      </c>
    </row>
    <row r="282" spans="1:4" x14ac:dyDescent="0.2">
      <c r="A282" s="5">
        <v>221</v>
      </c>
      <c r="B282" s="138">
        <f>'Assets-Liab 5-6'!N21</f>
        <v>3027</v>
      </c>
      <c r="D282" s="2" t="str">
        <f t="shared" si="3"/>
        <v>Error?</v>
      </c>
    </row>
    <row r="283" spans="1:4" x14ac:dyDescent="0.2">
      <c r="A283" s="5">
        <v>222</v>
      </c>
      <c r="B283" s="138">
        <f>'Assets-Liab 5-6'!N22</f>
        <v>245271</v>
      </c>
      <c r="D283" s="2" t="str">
        <f t="shared" si="3"/>
        <v>Error?</v>
      </c>
    </row>
    <row r="284" spans="1:4" x14ac:dyDescent="0.2">
      <c r="A284" s="5">
        <v>223</v>
      </c>
      <c r="B284" s="138">
        <f>'Assets-Liab 5-6'!N23</f>
        <v>248298</v>
      </c>
      <c r="C284" s="2" t="s">
        <v>571</v>
      </c>
      <c r="D284" s="2" t="str">
        <f t="shared" si="3"/>
        <v>Error?</v>
      </c>
    </row>
    <row r="285" spans="1:4" x14ac:dyDescent="0.2">
      <c r="A285" s="5">
        <v>224</v>
      </c>
      <c r="B285" s="138">
        <f>'Assets-Liab 5-6'!N36</f>
        <v>248298</v>
      </c>
      <c r="D285" s="2" t="str">
        <f t="shared" si="3"/>
        <v>Error?</v>
      </c>
    </row>
    <row r="286" spans="1:4" x14ac:dyDescent="0.2">
      <c r="A286" s="10">
        <v>225</v>
      </c>
      <c r="D286" s="2" t="str">
        <f t="shared" si="3"/>
        <v>OK</v>
      </c>
    </row>
    <row r="287" spans="1:4" x14ac:dyDescent="0.2">
      <c r="A287" s="5">
        <v>226</v>
      </c>
      <c r="B287" s="138">
        <f>'Assets-Liab 5-6'!N37</f>
        <v>248298</v>
      </c>
      <c r="C287" s="2" t="s">
        <v>571</v>
      </c>
      <c r="D287" s="2" t="str">
        <f t="shared" si="3"/>
        <v>Error?</v>
      </c>
    </row>
    <row r="288" spans="1:4" x14ac:dyDescent="0.2">
      <c r="A288" s="5">
        <v>227</v>
      </c>
      <c r="B288" s="138">
        <f>'Assets-Liab 5-6'!N41</f>
        <v>248298</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339719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533647</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571</v>
      </c>
      <c r="D727" s="2" t="str">
        <f t="shared" si="10"/>
        <v>Error?</v>
      </c>
    </row>
    <row r="728" spans="1:4" x14ac:dyDescent="0.2">
      <c r="A728" s="5">
        <v>667</v>
      </c>
      <c r="B728" s="138">
        <f>'Expenditures 15-22'!C44</f>
        <v>1111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1111</v>
      </c>
      <c r="C731" s="2" t="s">
        <v>571</v>
      </c>
      <c r="D731" s="2" t="str">
        <f t="shared" si="10"/>
        <v>Error?</v>
      </c>
    </row>
    <row r="732" spans="1:4" x14ac:dyDescent="0.2">
      <c r="A732" s="5">
        <v>671</v>
      </c>
      <c r="B732" s="138">
        <f>'Expenditures 15-22'!C49</f>
        <v>2863</v>
      </c>
      <c r="D732" s="2" t="str">
        <f t="shared" si="10"/>
        <v>Error?</v>
      </c>
    </row>
    <row r="733" spans="1:4" x14ac:dyDescent="0.2">
      <c r="A733" s="5">
        <v>672</v>
      </c>
      <c r="B733" s="138">
        <f>'Expenditures 15-22'!C50</f>
        <v>54692</v>
      </c>
      <c r="D733" s="2" t="str">
        <f t="shared" si="10"/>
        <v>Error?</v>
      </c>
    </row>
    <row r="734" spans="1:4" x14ac:dyDescent="0.2">
      <c r="A734" s="5">
        <v>673</v>
      </c>
      <c r="B734" s="138">
        <f>'Expenditures 15-22'!C53</f>
        <v>57555</v>
      </c>
      <c r="C734" s="2" t="s">
        <v>571</v>
      </c>
      <c r="D734" s="2" t="str">
        <f t="shared" si="10"/>
        <v>Error?</v>
      </c>
    </row>
    <row r="735" spans="1:4" x14ac:dyDescent="0.2">
      <c r="A735" s="5">
        <v>674</v>
      </c>
      <c r="B735" s="138">
        <f>'Expenditures 15-22'!C55</f>
        <v>21033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21033</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32768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29110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61878</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141577</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675224</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42400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67134</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571</v>
      </c>
      <c r="D785" s="2" t="str">
        <f t="shared" si="11"/>
        <v>Error?</v>
      </c>
    </row>
    <row r="786" spans="1:4" x14ac:dyDescent="0.2">
      <c r="A786" s="5">
        <v>725</v>
      </c>
      <c r="B786" s="138">
        <f>'Expenditures 15-22'!D44</f>
        <v>243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243</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7056</v>
      </c>
      <c r="D791" s="2" t="str">
        <f t="shared" si="11"/>
        <v>Error?</v>
      </c>
    </row>
    <row r="792" spans="1:4" x14ac:dyDescent="0.2">
      <c r="A792" s="5">
        <v>731</v>
      </c>
      <c r="B792" s="138">
        <f>'Expenditures 15-22'!D53</f>
        <v>7056</v>
      </c>
      <c r="C792" s="2" t="s">
        <v>571</v>
      </c>
      <c r="D792" s="2" t="str">
        <f t="shared" si="11"/>
        <v>Error?</v>
      </c>
    </row>
    <row r="793" spans="1:4" x14ac:dyDescent="0.2">
      <c r="A793" s="5">
        <v>732</v>
      </c>
      <c r="B793" s="138">
        <f>'Expenditures 15-22'!D55</f>
        <v>12620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12620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19919</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87053</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8362</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548</v>
      </c>
      <c r="C843" s="2" t="s">
        <v>571</v>
      </c>
      <c r="D843" s="2" t="str">
        <f t="shared" si="12"/>
        <v>Error?</v>
      </c>
    </row>
    <row r="844" spans="1:4" x14ac:dyDescent="0.2">
      <c r="A844" s="5">
        <v>783</v>
      </c>
      <c r="B844" s="138">
        <f>'Expenditures 15-22'!E44</f>
        <v>1290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1290</v>
      </c>
      <c r="C847" s="2" t="s">
        <v>571</v>
      </c>
      <c r="D847" s="2" t="str">
        <f t="shared" si="12"/>
        <v>Error?</v>
      </c>
    </row>
    <row r="848" spans="1:4" x14ac:dyDescent="0.2">
      <c r="A848" s="5">
        <v>787</v>
      </c>
      <c r="B848" s="138">
        <f>'Expenditures 15-22'!E49</f>
        <v>8493</v>
      </c>
      <c r="D848" s="2" t="str">
        <f t="shared" si="12"/>
        <v>Error?</v>
      </c>
    </row>
    <row r="849" spans="1:4" x14ac:dyDescent="0.2">
      <c r="A849" s="5">
        <v>788</v>
      </c>
      <c r="B849" s="138">
        <f>'Expenditures 15-22'!E50</f>
        <v>702</v>
      </c>
      <c r="D849" s="2" t="str">
        <f t="shared" si="12"/>
        <v>Error?</v>
      </c>
    </row>
    <row r="850" spans="1:4" x14ac:dyDescent="0.2">
      <c r="A850" s="5">
        <v>789</v>
      </c>
      <c r="B850" s="138">
        <f>'Expenditures 15-22'!E53</f>
        <v>9195</v>
      </c>
      <c r="C850" s="2" t="s">
        <v>571</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774</v>
      </c>
      <c r="D855" s="2" t="str">
        <f t="shared" si="12"/>
        <v>Error?</v>
      </c>
    </row>
    <row r="856" spans="1:4" x14ac:dyDescent="0.2">
      <c r="A856" s="5">
        <v>795</v>
      </c>
      <c r="B856" s="138">
        <f>'Expenditures 15-22'!E61</f>
        <v>7322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11487</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22520</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30882</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31751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57976</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681</v>
      </c>
      <c r="D900" s="2" t="str">
        <f t="shared" si="13"/>
        <v>Error?</v>
      </c>
    </row>
    <row r="901" spans="1:4" x14ac:dyDescent="0.2">
      <c r="A901" s="5">
        <v>840</v>
      </c>
      <c r="B901" s="138">
        <f>'Expenditures 15-22'!F42</f>
        <v>982</v>
      </c>
      <c r="C901" s="2" t="s">
        <v>571</v>
      </c>
      <c r="D901" s="2" t="str">
        <f t="shared" si="13"/>
        <v>Error?</v>
      </c>
    </row>
    <row r="902" spans="1:4" x14ac:dyDescent="0.2">
      <c r="A902" s="5">
        <v>841</v>
      </c>
      <c r="B902" s="138">
        <f>'Expenditures 15-22'!F44</f>
        <v>133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133</v>
      </c>
      <c r="C905" s="2" t="s">
        <v>571</v>
      </c>
      <c r="D905" s="2" t="str">
        <f t="shared" si="13"/>
        <v>Error?</v>
      </c>
    </row>
    <row r="906" spans="1:4" x14ac:dyDescent="0.2">
      <c r="A906" s="5">
        <v>845</v>
      </c>
      <c r="B906" s="138">
        <f>'Expenditures 15-22'!F49</f>
        <v>3929</v>
      </c>
      <c r="D906" s="2" t="str">
        <f t="shared" si="13"/>
        <v>Error?</v>
      </c>
    </row>
    <row r="907" spans="1:4" x14ac:dyDescent="0.2">
      <c r="A907" s="5">
        <v>846</v>
      </c>
      <c r="B907" s="138">
        <f>'Expenditures 15-22'!F50</f>
        <v>662</v>
      </c>
      <c r="D907" s="2" t="str">
        <f t="shared" si="13"/>
        <v>Error?</v>
      </c>
    </row>
    <row r="908" spans="1:4" x14ac:dyDescent="0.2">
      <c r="A908" s="5">
        <v>847</v>
      </c>
      <c r="B908" s="138">
        <f>'Expenditures 15-22'!F53</f>
        <v>4591</v>
      </c>
      <c r="C908" s="2" t="s">
        <v>571</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44193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46207</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51913</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109889</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29678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34781</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1899</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1899</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36680</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672</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3331</v>
      </c>
      <c r="D1023" s="2" t="str">
        <f t="shared" ref="D1023:D1086" si="15">IF(ISBLANK(B1023),"OK",IF(A1023-B1023=0,"OK","Error?"))</f>
        <v>Error?</v>
      </c>
    </row>
    <row r="1024" spans="1:4" x14ac:dyDescent="0.2">
      <c r="A1024" s="5">
        <v>963</v>
      </c>
      <c r="B1024" s="138">
        <f>'Expenditures 15-22'!H53</f>
        <v>3331</v>
      </c>
      <c r="C1024" s="2" t="s">
        <v>571</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242</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3573</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79771</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84016</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450940</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0</v>
      </c>
      <c r="C1105" s="2" t="s">
        <v>571</v>
      </c>
      <c r="D1105" s="2" t="str">
        <f t="shared" si="16"/>
        <v>Error?</v>
      </c>
    </row>
    <row r="1106" spans="1:4" x14ac:dyDescent="0.2">
      <c r="A1106" s="5">
        <v>1045</v>
      </c>
      <c r="B1106" s="138">
        <f>'Expenditures 15-22'!K14</f>
        <v>10677</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702572</v>
      </c>
      <c r="C1108" s="2" t="s">
        <v>571</v>
      </c>
      <c r="D1108" s="2" t="str">
        <f t="shared" si="16"/>
        <v>Error?</v>
      </c>
    </row>
    <row r="1109" spans="1:4" x14ac:dyDescent="0.2">
      <c r="A1109" s="5">
        <v>1048</v>
      </c>
      <c r="B1109" s="138">
        <f>'Expenditures 15-22'!K36</f>
        <v>0</v>
      </c>
      <c r="C1109" s="2" t="s">
        <v>571</v>
      </c>
      <c r="D1109" s="2" t="str">
        <f t="shared" si="16"/>
        <v>Error?</v>
      </c>
    </row>
    <row r="1110" spans="1:4" x14ac:dyDescent="0.2">
      <c r="A1110" s="5">
        <v>1049</v>
      </c>
      <c r="B1110" s="138">
        <f>'Expenditures 15-22'!K37</f>
        <v>0</v>
      </c>
      <c r="C1110" s="2" t="s">
        <v>571</v>
      </c>
      <c r="D1110" s="2" t="str">
        <f t="shared" si="16"/>
        <v>Error?</v>
      </c>
    </row>
    <row r="1111" spans="1:4" x14ac:dyDescent="0.2">
      <c r="A1111" s="5">
        <v>1050</v>
      </c>
      <c r="B1111" s="138">
        <f>'Expenditures 15-22'!K38</f>
        <v>849</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0</v>
      </c>
      <c r="C1113" s="2" t="s">
        <v>571</v>
      </c>
      <c r="D1113" s="2" t="str">
        <f t="shared" si="16"/>
        <v>Error?</v>
      </c>
    </row>
    <row r="1114" spans="1:4" x14ac:dyDescent="0.2">
      <c r="A1114" s="5">
        <v>1053</v>
      </c>
      <c r="B1114" s="138">
        <f>'Expenditures 15-22'!K41</f>
        <v>681</v>
      </c>
      <c r="C1114" s="2" t="s">
        <v>571</v>
      </c>
      <c r="D1114" s="2" t="str">
        <f t="shared" si="16"/>
        <v>Error?</v>
      </c>
    </row>
    <row r="1115" spans="1:4" x14ac:dyDescent="0.2">
      <c r="A1115" s="5">
        <v>1054</v>
      </c>
      <c r="B1115" s="138">
        <f>'Expenditures 15-22'!K42</f>
        <v>1530</v>
      </c>
      <c r="C1115" s="2" t="s">
        <v>571</v>
      </c>
      <c r="D1115" s="2" t="str">
        <f t="shared" si="16"/>
        <v>Error?</v>
      </c>
    </row>
    <row r="1116" spans="1:4" x14ac:dyDescent="0.2">
      <c r="A1116" s="5">
        <v>1055</v>
      </c>
      <c r="B1116" s="138">
        <f>'Expenditures 15-22'!K44</f>
        <v>2777</v>
      </c>
      <c r="C1116" s="2" t="s">
        <v>571</v>
      </c>
      <c r="D1116" s="2" t="str">
        <f t="shared" si="16"/>
        <v>Error?</v>
      </c>
    </row>
    <row r="1117" spans="1:4" x14ac:dyDescent="0.2">
      <c r="A1117" s="5">
        <v>1056</v>
      </c>
      <c r="B1117" s="138">
        <f>'Expenditures 15-22'!K45</f>
        <v>0</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2777</v>
      </c>
      <c r="C1119" s="2" t="s">
        <v>571</v>
      </c>
      <c r="D1119" s="2" t="str">
        <f t="shared" si="16"/>
        <v>Error?</v>
      </c>
    </row>
    <row r="1120" spans="1:4" x14ac:dyDescent="0.2">
      <c r="A1120" s="5">
        <v>1059</v>
      </c>
      <c r="B1120" s="138">
        <f>'Expenditures 15-22'!K49</f>
        <v>15285</v>
      </c>
      <c r="C1120" s="2" t="s">
        <v>571</v>
      </c>
      <c r="D1120" s="2" t="str">
        <f t="shared" si="16"/>
        <v>Error?</v>
      </c>
    </row>
    <row r="1121" spans="1:4" x14ac:dyDescent="0.2">
      <c r="A1121" s="5">
        <v>1060</v>
      </c>
      <c r="B1121" s="138">
        <f>'Expenditures 15-22'!K50</f>
        <v>66443</v>
      </c>
      <c r="C1121" s="2" t="s">
        <v>571</v>
      </c>
      <c r="D1121" s="2" t="str">
        <f t="shared" si="16"/>
        <v>Error?</v>
      </c>
    </row>
    <row r="1122" spans="1:4" x14ac:dyDescent="0.2">
      <c r="A1122" s="5">
        <v>1061</v>
      </c>
      <c r="B1122" s="138">
        <f>'Expenditures 15-22'!K53</f>
        <v>81728</v>
      </c>
      <c r="C1122" s="2" t="s">
        <v>571</v>
      </c>
      <c r="D1122" s="2" t="str">
        <f t="shared" si="16"/>
        <v>Error?</v>
      </c>
    </row>
    <row r="1123" spans="1:4" x14ac:dyDescent="0.2">
      <c r="A1123" s="5">
        <v>1062</v>
      </c>
      <c r="B1123" s="138">
        <f>'Expenditures 15-22'!K55</f>
        <v>33653</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33653</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35569</v>
      </c>
      <c r="C1127" s="2" t="s">
        <v>571</v>
      </c>
      <c r="D1127" s="2" t="str">
        <f t="shared" si="16"/>
        <v>Error?</v>
      </c>
    </row>
    <row r="1128" spans="1:4" x14ac:dyDescent="0.2">
      <c r="A1128" s="5">
        <v>1067</v>
      </c>
      <c r="B1128" s="138">
        <f>'Expenditures 15-22'!K61</f>
        <v>7322</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78822</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121713</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0</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241401</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79771</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1023744</v>
      </c>
      <c r="C1152" s="2" t="s">
        <v>571</v>
      </c>
      <c r="D1152" s="2" t="str">
        <f t="shared" si="17"/>
        <v>Error?</v>
      </c>
    </row>
    <row r="1153" spans="1:4" x14ac:dyDescent="0.2">
      <c r="A1153" s="5">
        <v>1092</v>
      </c>
      <c r="B1153" s="138">
        <f>'Expenditures 15-22'!K115</f>
        <v>297463</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48732</v>
      </c>
      <c r="D1221" s="2" t="str">
        <f t="shared" si="18"/>
        <v>Error?</v>
      </c>
    </row>
    <row r="1222" spans="1:4" x14ac:dyDescent="0.2">
      <c r="A1222" s="10">
        <v>1161</v>
      </c>
      <c r="D1222" s="2" t="str">
        <f t="shared" si="18"/>
        <v>OK</v>
      </c>
    </row>
    <row r="1223" spans="1:4" x14ac:dyDescent="0.2">
      <c r="A1223" s="5">
        <v>1162</v>
      </c>
      <c r="B1223" s="138">
        <f>'Expenditures 15-22'!C127</f>
        <v>48732</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48732</v>
      </c>
      <c r="C1225" s="2" t="s">
        <v>571</v>
      </c>
      <c r="D1225" s="2" t="str">
        <f t="shared" si="18"/>
        <v>Error?</v>
      </c>
    </row>
    <row r="1226" spans="1:4" x14ac:dyDescent="0.2">
      <c r="A1226" s="5">
        <v>1165</v>
      </c>
      <c r="B1226" s="138">
        <f>'Expenditures 15-22'!C151</f>
        <v>48732</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2375</v>
      </c>
      <c r="D1229" s="2" t="str">
        <f t="shared" si="18"/>
        <v>Error?</v>
      </c>
    </row>
    <row r="1230" spans="1:4" x14ac:dyDescent="0.2">
      <c r="A1230" s="10">
        <v>1169</v>
      </c>
      <c r="D1230" s="2" t="str">
        <f t="shared" si="18"/>
        <v>OK</v>
      </c>
    </row>
    <row r="1231" spans="1:4" x14ac:dyDescent="0.2">
      <c r="A1231" s="5">
        <v>1170</v>
      </c>
      <c r="B1231" s="138">
        <f>'Expenditures 15-22'!D127</f>
        <v>2375</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2375</v>
      </c>
      <c r="C1233" s="2" t="s">
        <v>571</v>
      </c>
      <c r="D1233" s="2" t="str">
        <f t="shared" si="18"/>
        <v>Error?</v>
      </c>
    </row>
    <row r="1234" spans="1:4" x14ac:dyDescent="0.2">
      <c r="A1234" s="5">
        <v>1173</v>
      </c>
      <c r="B1234" s="138">
        <f>'Expenditures 15-22'!D151</f>
        <v>2375</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29340</v>
      </c>
      <c r="D1237" s="2" t="str">
        <f t="shared" si="18"/>
        <v>Error?</v>
      </c>
    </row>
    <row r="1238" spans="1:4" x14ac:dyDescent="0.2">
      <c r="A1238" s="10">
        <v>1177</v>
      </c>
      <c r="D1238" s="2" t="str">
        <f t="shared" si="18"/>
        <v>OK</v>
      </c>
    </row>
    <row r="1239" spans="1:4" x14ac:dyDescent="0.2">
      <c r="A1239" s="5">
        <v>1178</v>
      </c>
      <c r="B1239" s="138">
        <f>'Expenditures 15-22'!E127</f>
        <v>29340</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29340</v>
      </c>
      <c r="C1241" s="2" t="s">
        <v>571</v>
      </c>
      <c r="D1241" s="2" t="str">
        <f t="shared" si="18"/>
        <v>Error?</v>
      </c>
    </row>
    <row r="1242" spans="1:4" x14ac:dyDescent="0.2">
      <c r="A1242" s="5">
        <v>1181</v>
      </c>
      <c r="B1242" s="138">
        <f>'Expenditures 15-22'!E151</f>
        <v>29340</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50469</v>
      </c>
      <c r="D1245" s="2" t="str">
        <f t="shared" si="18"/>
        <v>Error?</v>
      </c>
    </row>
    <row r="1246" spans="1:4" x14ac:dyDescent="0.2">
      <c r="A1246" s="10">
        <v>1185</v>
      </c>
      <c r="D1246" s="2" t="str">
        <f t="shared" si="18"/>
        <v>OK</v>
      </c>
    </row>
    <row r="1247" spans="1:4" x14ac:dyDescent="0.2">
      <c r="A1247" s="5">
        <v>1186</v>
      </c>
      <c r="B1247" s="138">
        <f>'Expenditures 15-22'!F127</f>
        <v>50469</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50469</v>
      </c>
      <c r="C1249" s="2" t="s">
        <v>571</v>
      </c>
      <c r="D1249" s="2" t="str">
        <f t="shared" si="18"/>
        <v>Error?</v>
      </c>
    </row>
    <row r="1250" spans="1:4" x14ac:dyDescent="0.2">
      <c r="A1250" s="5">
        <v>1189</v>
      </c>
      <c r="B1250" s="138">
        <f>'Expenditures 15-22'!F151</f>
        <v>50469</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5545</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5545</v>
      </c>
      <c r="C1258" s="2" t="s">
        <v>571</v>
      </c>
      <c r="D1258" s="2" t="str">
        <f t="shared" si="18"/>
        <v>Error?</v>
      </c>
    </row>
    <row r="1259" spans="1:4" x14ac:dyDescent="0.2">
      <c r="A1259" s="5">
        <v>1198</v>
      </c>
      <c r="B1259" s="138">
        <f>'Expenditures 15-22'!G151</f>
        <v>5545</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136461</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136461</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136461</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136461</v>
      </c>
      <c r="C1288" s="2" t="s">
        <v>571</v>
      </c>
      <c r="D1288" s="2" t="str">
        <f t="shared" si="19"/>
        <v>Error?</v>
      </c>
    </row>
    <row r="1289" spans="1:4" x14ac:dyDescent="0.2">
      <c r="A1289" s="5">
        <v>1228</v>
      </c>
      <c r="B1289" s="138">
        <f>'Expenditures 15-22'!K152</f>
        <v>18733</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571</v>
      </c>
      <c r="D1308" s="2" t="str">
        <f t="shared" si="19"/>
        <v>Error?</v>
      </c>
    </row>
    <row r="1309" spans="1:4" x14ac:dyDescent="0.2">
      <c r="A1309" s="5">
        <v>1248</v>
      </c>
      <c r="B1309" s="138">
        <f>'Expenditures 15-22'!E174</f>
        <v>500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10787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35787</v>
      </c>
      <c r="C1317" s="2" t="s">
        <v>571</v>
      </c>
      <c r="D1317" s="2" t="str">
        <f t="shared" si="19"/>
        <v>Error?</v>
      </c>
    </row>
    <row r="1318" spans="1:4" x14ac:dyDescent="0.2">
      <c r="A1318" s="5">
        <v>1257</v>
      </c>
      <c r="B1318" s="138">
        <f>'Expenditures 15-22'!H174</f>
        <v>35787</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10787</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25000</v>
      </c>
      <c r="C1329" s="2" t="s">
        <v>571</v>
      </c>
      <c r="D1329" s="2" t="str">
        <f t="shared" si="19"/>
        <v>Error?</v>
      </c>
    </row>
    <row r="1330" spans="1:4" x14ac:dyDescent="0.2">
      <c r="A1330" s="5">
        <v>1269</v>
      </c>
      <c r="B1330" s="138">
        <f>'Expenditures 15-22'!K171</f>
        <v>500</v>
      </c>
      <c r="C1330" s="2" t="s">
        <v>571</v>
      </c>
      <c r="D1330" s="2" t="str">
        <f t="shared" si="19"/>
        <v>Error?</v>
      </c>
    </row>
    <row r="1331" spans="1:4" x14ac:dyDescent="0.2">
      <c r="A1331" s="5">
        <v>1270</v>
      </c>
      <c r="B1331" s="138">
        <f>'Expenditures 15-22'!K172</f>
        <v>36287</v>
      </c>
      <c r="C1331" s="2" t="s">
        <v>571</v>
      </c>
      <c r="D1331" s="2" t="str">
        <f t="shared" si="19"/>
        <v>Error?</v>
      </c>
    </row>
    <row r="1332" spans="1:4" x14ac:dyDescent="0.2">
      <c r="A1332" s="5">
        <v>1271</v>
      </c>
      <c r="B1332" s="138">
        <f>'Expenditures 15-22'!K174</f>
        <v>36287</v>
      </c>
      <c r="C1332" s="2" t="s">
        <v>571</v>
      </c>
      <c r="D1332" s="2" t="str">
        <f t="shared" si="19"/>
        <v>Error?</v>
      </c>
    </row>
    <row r="1333" spans="1:4" x14ac:dyDescent="0.2">
      <c r="A1333" s="5">
        <v>1272</v>
      </c>
      <c r="B1333" s="138">
        <f>'Expenditures 15-22'!K175</f>
        <v>-1270</v>
      </c>
      <c r="C1333" s="2" t="s">
        <v>571</v>
      </c>
      <c r="D1333" s="2" t="str">
        <f t="shared" si="19"/>
        <v>Error?</v>
      </c>
    </row>
    <row r="1334" spans="1:4" x14ac:dyDescent="0.2">
      <c r="A1334" s="10">
        <v>1273</v>
      </c>
      <c r="D1334" s="2" t="str">
        <f t="shared" si="19"/>
        <v>OK</v>
      </c>
    </row>
    <row r="1335" spans="1:4" x14ac:dyDescent="0.2">
      <c r="A1335" s="5">
        <v>1274</v>
      </c>
      <c r="B1335" s="138">
        <f>'Expenditures 15-22'!C182</f>
        <v>14065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14065</v>
      </c>
      <c r="C1339" s="2" t="s">
        <v>571</v>
      </c>
      <c r="D1339" s="2" t="str">
        <f t="shared" si="19"/>
        <v>Error?</v>
      </c>
    </row>
    <row r="1340" spans="1:4" x14ac:dyDescent="0.2">
      <c r="A1340" s="5">
        <v>1279</v>
      </c>
      <c r="B1340" s="138">
        <f>'Expenditures 15-22'!C210</f>
        <v>14065</v>
      </c>
      <c r="C1340" s="2" t="s">
        <v>571</v>
      </c>
      <c r="D1340" s="2" t="str">
        <f t="shared" si="19"/>
        <v>Error?</v>
      </c>
    </row>
    <row r="1341" spans="1:4" x14ac:dyDescent="0.2">
      <c r="A1341" s="5">
        <v>1280</v>
      </c>
      <c r="B1341" s="138">
        <f>'Expenditures 15-22'!D182</f>
        <v>721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721</v>
      </c>
      <c r="C1345" s="2" t="s">
        <v>571</v>
      </c>
      <c r="D1345" s="2" t="str">
        <f t="shared" si="20"/>
        <v>Error?</v>
      </c>
    </row>
    <row r="1346" spans="1:4" x14ac:dyDescent="0.2">
      <c r="A1346" s="5">
        <v>1285</v>
      </c>
      <c r="B1346" s="138">
        <f>'Expenditures 15-22'!D210</f>
        <v>721</v>
      </c>
      <c r="C1346" s="2" t="s">
        <v>571</v>
      </c>
      <c r="D1346" s="2" t="str">
        <f t="shared" si="20"/>
        <v>Error?</v>
      </c>
    </row>
    <row r="1347" spans="1:4" x14ac:dyDescent="0.2">
      <c r="A1347" s="5">
        <v>1286</v>
      </c>
      <c r="B1347" s="138">
        <f>'Expenditures 15-22'!E182</f>
        <v>6710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6710</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6710</v>
      </c>
      <c r="C1353" s="2" t="s">
        <v>571</v>
      </c>
      <c r="D1353" s="2" t="str">
        <f t="shared" si="20"/>
        <v>Error?</v>
      </c>
    </row>
    <row r="1354" spans="1:4" x14ac:dyDescent="0.2">
      <c r="A1354" s="5">
        <v>1293</v>
      </c>
      <c r="B1354" s="138">
        <f>'Expenditures 15-22'!F182</f>
        <v>2465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2465</v>
      </c>
      <c r="C1358" s="2" t="s">
        <v>571</v>
      </c>
      <c r="D1358" s="2" t="str">
        <f t="shared" si="20"/>
        <v>Error?</v>
      </c>
    </row>
    <row r="1359" spans="1:4" x14ac:dyDescent="0.2">
      <c r="A1359" s="5">
        <v>1298</v>
      </c>
      <c r="B1359" s="138">
        <f>'Expenditures 15-22'!F210</f>
        <v>2465</v>
      </c>
      <c r="C1359" s="2" t="s">
        <v>571</v>
      </c>
      <c r="D1359" s="2" t="str">
        <f t="shared" si="20"/>
        <v>Error?</v>
      </c>
    </row>
    <row r="1360" spans="1:4" x14ac:dyDescent="0.2">
      <c r="A1360" s="5">
        <v>1299</v>
      </c>
      <c r="B1360" s="138">
        <f>'Expenditures 15-22'!G182</f>
        <v>47900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47900</v>
      </c>
      <c r="C1364" s="2" t="s">
        <v>571</v>
      </c>
      <c r="D1364" s="2" t="str">
        <f t="shared" si="20"/>
        <v>Error?</v>
      </c>
    </row>
    <row r="1365" spans="1:4" x14ac:dyDescent="0.2">
      <c r="A1365" s="5">
        <v>1304</v>
      </c>
      <c r="B1365" s="138">
        <f>'Expenditures 15-22'!G210</f>
        <v>47900</v>
      </c>
      <c r="C1365" s="2" t="s">
        <v>571</v>
      </c>
      <c r="D1365" s="2" t="str">
        <f t="shared" si="20"/>
        <v>Error?</v>
      </c>
    </row>
    <row r="1366" spans="1:4" x14ac:dyDescent="0.2">
      <c r="A1366" s="5">
        <v>1305</v>
      </c>
      <c r="B1366" s="138">
        <f>'Expenditures 15-22'!H182</f>
        <v>232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232</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10602</v>
      </c>
      <c r="C1375" s="2" t="s">
        <v>571</v>
      </c>
      <c r="D1375" s="2" t="str">
        <f t="shared" si="20"/>
        <v>Error?</v>
      </c>
    </row>
    <row r="1376" spans="1:4" x14ac:dyDescent="0.2">
      <c r="A1376" s="5">
        <v>1315</v>
      </c>
      <c r="B1376" s="138">
        <f>'Expenditures 15-22'!H210</f>
        <v>10834</v>
      </c>
      <c r="C1376" s="2" t="s">
        <v>571</v>
      </c>
      <c r="D1376" s="2" t="str">
        <f t="shared" si="20"/>
        <v>Error?</v>
      </c>
    </row>
    <row r="1377" spans="1:4" x14ac:dyDescent="0.2">
      <c r="A1377" s="5">
        <v>1316</v>
      </c>
      <c r="B1377" s="138">
        <f>'Expenditures 15-22'!K182</f>
        <v>72093</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72093</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10602</v>
      </c>
      <c r="C1387" s="2" t="s">
        <v>571</v>
      </c>
      <c r="D1387" s="2" t="str">
        <f t="shared" si="20"/>
        <v>Error?</v>
      </c>
    </row>
    <row r="1388" spans="1:4" x14ac:dyDescent="0.2">
      <c r="A1388" s="5">
        <v>1327</v>
      </c>
      <c r="B1388" s="138">
        <f>'Expenditures 15-22'!K210</f>
        <v>82695</v>
      </c>
      <c r="C1388" s="2" t="s">
        <v>571</v>
      </c>
      <c r="D1388" s="2" t="str">
        <f t="shared" si="20"/>
        <v>Error?</v>
      </c>
    </row>
    <row r="1389" spans="1:4" x14ac:dyDescent="0.2">
      <c r="A1389" s="5">
        <v>1328</v>
      </c>
      <c r="B1389" s="138">
        <f>'Expenditures 15-22'!K211</f>
        <v>-37740</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16389</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571</v>
      </c>
      <c r="D1417" s="2" t="str">
        <f t="shared" si="21"/>
        <v>Error?</v>
      </c>
    </row>
    <row r="1418" spans="1:4" x14ac:dyDescent="0.2">
      <c r="A1418" s="5">
        <v>1357</v>
      </c>
      <c r="B1418" s="138">
        <f>'Expenditures 15-22'!D240</f>
        <v>19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v>
      </c>
      <c r="C1421" s="2" t="s">
        <v>571</v>
      </c>
      <c r="D1421" s="2" t="str">
        <f t="shared" si="21"/>
        <v>Error?</v>
      </c>
    </row>
    <row r="1422" spans="1:4" x14ac:dyDescent="0.2">
      <c r="A1422" s="5">
        <v>1361</v>
      </c>
      <c r="B1422" s="138">
        <f>'Expenditures 15-22'!D245</f>
        <v>219</v>
      </c>
      <c r="D1422" s="2" t="str">
        <f t="shared" si="21"/>
        <v>Error?</v>
      </c>
    </row>
    <row r="1423" spans="1:4" x14ac:dyDescent="0.2">
      <c r="A1423" s="5">
        <v>1362</v>
      </c>
      <c r="B1423" s="138">
        <f>'Expenditures 15-22'!D246</f>
        <v>515</v>
      </c>
      <c r="D1423" s="2" t="str">
        <f t="shared" si="21"/>
        <v>Error?</v>
      </c>
    </row>
    <row r="1424" spans="1:4" x14ac:dyDescent="0.2">
      <c r="A1424" s="5">
        <v>1363</v>
      </c>
      <c r="B1424" s="138">
        <f>'Expenditures 15-22'!D257</f>
        <v>2200</v>
      </c>
      <c r="C1424" s="2" t="s">
        <v>571</v>
      </c>
      <c r="D1424" s="2" t="str">
        <f t="shared" si="21"/>
        <v>Error?</v>
      </c>
    </row>
    <row r="1425" spans="1:4" x14ac:dyDescent="0.2">
      <c r="A1425" s="5">
        <v>1364</v>
      </c>
      <c r="B1425" s="138">
        <f>'Expenditures 15-22'!D259</f>
        <v>291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291</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5712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8139</v>
      </c>
      <c r="D1431" s="2" t="str">
        <f t="shared" si="21"/>
        <v>Error?</v>
      </c>
    </row>
    <row r="1432" spans="1:4" x14ac:dyDescent="0.2">
      <c r="A1432" s="5">
        <v>1371</v>
      </c>
      <c r="B1432" s="138">
        <f>'Expenditures 15-22'!D267</f>
        <v>730</v>
      </c>
      <c r="D1432" s="2" t="str">
        <f t="shared" si="21"/>
        <v>Error?</v>
      </c>
    </row>
    <row r="1433" spans="1:4" x14ac:dyDescent="0.2">
      <c r="A1433" s="5">
        <v>1372</v>
      </c>
      <c r="B1433" s="138">
        <f>'Expenditures 15-22'!D268</f>
        <v>5351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19932</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22442</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38831</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0</v>
      </c>
      <c r="C1471" s="2" t="s">
        <v>571</v>
      </c>
      <c r="D1471" s="2" t="str">
        <f t="shared" ref="D1471:D1534" si="22">IF(ISBLANK(B1471),"OK",IF(A1471-B1471=0,"OK","Error?"))</f>
        <v>Error?</v>
      </c>
    </row>
    <row r="1472" spans="1:4" x14ac:dyDescent="0.2">
      <c r="A1472" s="5">
        <v>1411</v>
      </c>
      <c r="B1472" s="138">
        <f>'Expenditures 15-22'!K223</f>
        <v>66</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16389</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0</v>
      </c>
      <c r="C1476" s="2" t="s">
        <v>571</v>
      </c>
      <c r="D1476" s="2" t="str">
        <f t="shared" si="22"/>
        <v>Error?</v>
      </c>
    </row>
    <row r="1477" spans="1:4" x14ac:dyDescent="0.2">
      <c r="A1477" s="5">
        <v>1416</v>
      </c>
      <c r="B1477" s="138">
        <f>'Expenditures 15-22'!K234</f>
        <v>0</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0</v>
      </c>
      <c r="C1481" s="2" t="s">
        <v>571</v>
      </c>
      <c r="D1481" s="2" t="str">
        <f t="shared" si="22"/>
        <v>Error?</v>
      </c>
    </row>
    <row r="1482" spans="1:4" x14ac:dyDescent="0.2">
      <c r="A1482" s="5">
        <v>1421</v>
      </c>
      <c r="B1482" s="138">
        <f>'Expenditures 15-22'!K240</f>
        <v>19</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19</v>
      </c>
      <c r="C1485" s="2" t="s">
        <v>571</v>
      </c>
      <c r="D1485" s="2" t="str">
        <f t="shared" si="22"/>
        <v>Error?</v>
      </c>
    </row>
    <row r="1486" spans="1:4" x14ac:dyDescent="0.2">
      <c r="A1486" s="5">
        <v>1425</v>
      </c>
      <c r="B1486" s="138">
        <f>'Expenditures 15-22'!K245</f>
        <v>219</v>
      </c>
      <c r="C1486" s="2" t="s">
        <v>571</v>
      </c>
      <c r="D1486" s="2" t="str">
        <f t="shared" si="22"/>
        <v>Error?</v>
      </c>
    </row>
    <row r="1487" spans="1:4" x14ac:dyDescent="0.2">
      <c r="A1487" s="5">
        <v>1426</v>
      </c>
      <c r="B1487" s="138">
        <f>'Expenditures 15-22'!K246</f>
        <v>515</v>
      </c>
      <c r="C1487" s="2" t="s">
        <v>571</v>
      </c>
      <c r="D1487" s="2" t="str">
        <f t="shared" si="22"/>
        <v>Error?</v>
      </c>
    </row>
    <row r="1488" spans="1:4" x14ac:dyDescent="0.2">
      <c r="A1488" s="5">
        <v>1427</v>
      </c>
      <c r="B1488" s="138">
        <f>'Expenditures 15-22'!K257</f>
        <v>2200</v>
      </c>
      <c r="C1488" s="2" t="s">
        <v>571</v>
      </c>
      <c r="D1488" s="2" t="str">
        <f t="shared" si="22"/>
        <v>Error?</v>
      </c>
    </row>
    <row r="1489" spans="1:4" x14ac:dyDescent="0.2">
      <c r="A1489" s="5">
        <v>1428</v>
      </c>
      <c r="B1489" s="138">
        <f>'Expenditures 15-22'!K259</f>
        <v>291</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291</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5712</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8139</v>
      </c>
      <c r="C1495" s="2" t="s">
        <v>571</v>
      </c>
      <c r="D1495" s="2" t="str">
        <f t="shared" si="22"/>
        <v>Error?</v>
      </c>
    </row>
    <row r="1496" spans="1:4" x14ac:dyDescent="0.2">
      <c r="A1496" s="5">
        <v>1435</v>
      </c>
      <c r="B1496" s="138">
        <f>'Expenditures 15-22'!K267</f>
        <v>730</v>
      </c>
      <c r="C1496" s="2" t="s">
        <v>571</v>
      </c>
      <c r="D1496" s="2" t="str">
        <f t="shared" si="22"/>
        <v>Error?</v>
      </c>
    </row>
    <row r="1497" spans="1:4" x14ac:dyDescent="0.2">
      <c r="A1497" s="5">
        <v>1436</v>
      </c>
      <c r="B1497" s="138">
        <f>'Expenditures 15-22'!K268</f>
        <v>5351</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19932</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22442</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38831</v>
      </c>
      <c r="C1517" s="2" t="s">
        <v>571</v>
      </c>
      <c r="D1517" s="2" t="str">
        <f t="shared" si="22"/>
        <v>Error?</v>
      </c>
    </row>
    <row r="1518" spans="1:4" x14ac:dyDescent="0.2">
      <c r="A1518" s="5">
        <v>1457</v>
      </c>
      <c r="B1518" s="138">
        <f>'Expenditures 15-22'!K296</f>
        <v>3448</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1977174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2274637</v>
      </c>
      <c r="C1630" s="2" t="s">
        <v>571</v>
      </c>
      <c r="D1630" s="2" t="str">
        <f t="shared" si="24"/>
        <v>Error?</v>
      </c>
    </row>
    <row r="1631" spans="1:4" x14ac:dyDescent="0.2">
      <c r="A1631" s="5">
        <v>1570</v>
      </c>
      <c r="B1631" s="138">
        <f>'Acct Summary 7-8'!D79</f>
        <v>42576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61309</v>
      </c>
      <c r="C1644" s="2" t="s">
        <v>571</v>
      </c>
      <c r="D1644" s="2" t="str">
        <f t="shared" si="24"/>
        <v>Error?</v>
      </c>
    </row>
    <row r="1645" spans="1:4" x14ac:dyDescent="0.2">
      <c r="A1645" s="5">
        <v>1584</v>
      </c>
      <c r="B1645" s="138">
        <f>'Acct Summary 7-8'!E79</f>
        <v>4297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3027</v>
      </c>
      <c r="C1658" s="2" t="s">
        <v>571</v>
      </c>
      <c r="D1658" s="2" t="str">
        <f t="shared" si="24"/>
        <v>Error?</v>
      </c>
    </row>
    <row r="1659" spans="1:4" x14ac:dyDescent="0.2">
      <c r="A1659" s="5">
        <v>1598</v>
      </c>
      <c r="B1659" s="138">
        <f>'Acct Summary 7-8'!F79</f>
        <v>56827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66987</v>
      </c>
      <c r="C1672" s="2" t="s">
        <v>571</v>
      </c>
      <c r="D1672" s="2" t="str">
        <f t="shared" si="25"/>
        <v>Error?</v>
      </c>
    </row>
    <row r="1673" spans="1:4" x14ac:dyDescent="0.2">
      <c r="A1673" s="5">
        <v>1612</v>
      </c>
      <c r="B1673" s="138">
        <f>'Acct Summary 7-8'!G79</f>
        <v>54143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57591</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131055</v>
      </c>
      <c r="C1744" s="2" t="s">
        <v>571</v>
      </c>
      <c r="D1744" s="2" t="str">
        <f t="shared" si="26"/>
        <v>Error?</v>
      </c>
    </row>
    <row r="1745" spans="1:5" x14ac:dyDescent="0.2">
      <c r="A1745" s="5">
        <v>1684</v>
      </c>
      <c r="B1745" s="138">
        <f>'Tax Sched 23'!B5</f>
        <v>21841</v>
      </c>
      <c r="C1745" s="2" t="s">
        <v>571</v>
      </c>
      <c r="D1745" s="2" t="str">
        <f t="shared" si="26"/>
        <v>Error?</v>
      </c>
    </row>
    <row r="1746" spans="1:5" x14ac:dyDescent="0.2">
      <c r="A1746" s="5">
        <v>1685</v>
      </c>
      <c r="B1746" s="138">
        <f>'Tax Sched 23'!B6</f>
        <v>34887</v>
      </c>
      <c r="C1746" s="2" t="s">
        <v>571</v>
      </c>
      <c r="D1746" s="2" t="str">
        <f t="shared" si="26"/>
        <v>Error?</v>
      </c>
    </row>
    <row r="1747" spans="1:5" x14ac:dyDescent="0.2">
      <c r="A1747" s="5">
        <v>1686</v>
      </c>
      <c r="B1747" s="138">
        <f>'Tax Sched 23'!B7</f>
        <v>10484</v>
      </c>
      <c r="C1747" s="2" t="s">
        <v>571</v>
      </c>
      <c r="D1747" s="2" t="str">
        <f t="shared" si="26"/>
        <v>Error?</v>
      </c>
    </row>
    <row r="1748" spans="1:5" x14ac:dyDescent="0.2">
      <c r="A1748" s="5">
        <v>1687</v>
      </c>
      <c r="B1748" s="138">
        <f>'Tax Sched 23'!B8</f>
        <v>11131</v>
      </c>
      <c r="C1748" s="2" t="s">
        <v>571</v>
      </c>
      <c r="D1748" s="2" t="str">
        <f t="shared" si="26"/>
        <v>Error?</v>
      </c>
    </row>
    <row r="1749" spans="1:5" x14ac:dyDescent="0.2">
      <c r="A1749" s="5">
        <v>1688</v>
      </c>
      <c r="B1749" s="138">
        <f>'Tax Sched 23'!B10</f>
        <v>4369</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94927</v>
      </c>
      <c r="C1752" s="2" t="s">
        <v>571</v>
      </c>
      <c r="D1752" s="2" t="str">
        <f t="shared" si="26"/>
        <v>Error?</v>
      </c>
    </row>
    <row r="1753" spans="1:5" x14ac:dyDescent="0.2">
      <c r="A1753" s="5">
        <v>1692</v>
      </c>
      <c r="B1753" s="138">
        <f>'Tax Sched 23'!B12</f>
        <v>4368</v>
      </c>
      <c r="C1753" s="2" t="s">
        <v>571</v>
      </c>
      <c r="D1753" s="2" t="str">
        <f t="shared" si="26"/>
        <v>Error?</v>
      </c>
    </row>
    <row r="1754" spans="1:5" x14ac:dyDescent="0.2">
      <c r="A1754" s="5">
        <v>1693</v>
      </c>
      <c r="B1754" s="138">
        <f>'Tax Sched 23'!B14</f>
        <v>1753</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346790</v>
      </c>
      <c r="C1759" s="2" t="s">
        <v>571</v>
      </c>
      <c r="D1759" s="2" t="str">
        <f t="shared" si="26"/>
        <v>Error?</v>
      </c>
    </row>
    <row r="1760" spans="1:5" x14ac:dyDescent="0.2">
      <c r="A1760" s="5">
        <v>1699</v>
      </c>
      <c r="B1760" s="138">
        <f>'Tax Sched 23'!D4</f>
        <v>131055</v>
      </c>
      <c r="C1760" s="2" t="s">
        <v>571</v>
      </c>
      <c r="D1760" s="2" t="str">
        <f t="shared" si="26"/>
        <v>Error?</v>
      </c>
    </row>
    <row r="1761" spans="1:5" x14ac:dyDescent="0.2">
      <c r="A1761" s="5">
        <v>1700</v>
      </c>
      <c r="B1761" s="138">
        <f>'Tax Sched 23'!D5</f>
        <v>21841</v>
      </c>
      <c r="C1761" s="2" t="s">
        <v>571</v>
      </c>
      <c r="D1761" s="2" t="str">
        <f t="shared" si="26"/>
        <v>Error?</v>
      </c>
    </row>
    <row r="1762" spans="1:5" s="8" customFormat="1" x14ac:dyDescent="0.2">
      <c r="A1762" s="5">
        <v>1701</v>
      </c>
      <c r="B1762" s="138">
        <f>'Tax Sched 23'!D6</f>
        <v>34887</v>
      </c>
      <c r="C1762" s="2" t="s">
        <v>571</v>
      </c>
      <c r="D1762" s="2" t="str">
        <f t="shared" si="26"/>
        <v>Error?</v>
      </c>
      <c r="E1762" s="9"/>
    </row>
    <row r="1763" spans="1:5" x14ac:dyDescent="0.2">
      <c r="A1763" s="5">
        <v>1702</v>
      </c>
      <c r="B1763" s="138">
        <f>'Tax Sched 23'!D7</f>
        <v>10484</v>
      </c>
      <c r="C1763" s="2" t="s">
        <v>571</v>
      </c>
      <c r="D1763" s="2" t="str">
        <f t="shared" si="26"/>
        <v>Error?</v>
      </c>
    </row>
    <row r="1764" spans="1:5" x14ac:dyDescent="0.2">
      <c r="A1764" s="5">
        <v>1703</v>
      </c>
      <c r="B1764" s="138">
        <f>'Tax Sched 23'!D8</f>
        <v>11131</v>
      </c>
      <c r="C1764" s="2" t="s">
        <v>571</v>
      </c>
      <c r="D1764" s="2" t="str">
        <f t="shared" si="26"/>
        <v>Error?</v>
      </c>
    </row>
    <row r="1765" spans="1:5" x14ac:dyDescent="0.2">
      <c r="A1765" s="5">
        <v>1704</v>
      </c>
      <c r="B1765" s="138">
        <f>'Tax Sched 23'!D10</f>
        <v>4369</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94927</v>
      </c>
      <c r="C1768" s="2" t="s">
        <v>571</v>
      </c>
      <c r="D1768" s="2" t="str">
        <f t="shared" si="26"/>
        <v>Error?</v>
      </c>
    </row>
    <row r="1769" spans="1:5" x14ac:dyDescent="0.2">
      <c r="A1769" s="5">
        <v>1708</v>
      </c>
      <c r="B1769" s="138">
        <f>'Tax Sched 23'!D12</f>
        <v>4368</v>
      </c>
      <c r="C1769" s="2" t="s">
        <v>571</v>
      </c>
      <c r="D1769" s="2" t="str">
        <f t="shared" si="26"/>
        <v>Error?</v>
      </c>
    </row>
    <row r="1770" spans="1:5" x14ac:dyDescent="0.2">
      <c r="A1770" s="5">
        <v>1709</v>
      </c>
      <c r="B1770" s="138">
        <f>'Tax Sched 23'!D14</f>
        <v>1753</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346790</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138743</v>
      </c>
      <c r="C1792" s="2" t="s">
        <v>571</v>
      </c>
      <c r="D1792" s="2" t="str">
        <f t="shared" si="27"/>
        <v>Error?</v>
      </c>
    </row>
    <row r="1793" spans="1:4" x14ac:dyDescent="0.2">
      <c r="A1793" s="5">
        <v>1732</v>
      </c>
      <c r="B1793" s="138">
        <f>'Tax Sched 23'!F5</f>
        <v>23124</v>
      </c>
      <c r="C1793" s="2" t="s">
        <v>571</v>
      </c>
      <c r="D1793" s="2" t="str">
        <f t="shared" si="27"/>
        <v>Error?</v>
      </c>
    </row>
    <row r="1794" spans="1:4" x14ac:dyDescent="0.2">
      <c r="A1794" s="5">
        <v>1733</v>
      </c>
      <c r="B1794" s="138">
        <f>'Tax Sched 23'!F6</f>
        <v>35973</v>
      </c>
      <c r="C1794" s="2" t="s">
        <v>571</v>
      </c>
      <c r="D1794" s="2" t="str">
        <f t="shared" si="27"/>
        <v>Error?</v>
      </c>
    </row>
    <row r="1795" spans="1:4" x14ac:dyDescent="0.2">
      <c r="A1795" s="5">
        <v>1734</v>
      </c>
      <c r="B1795" s="138">
        <f>'Tax Sched 23'!F7</f>
        <v>11100</v>
      </c>
      <c r="C1795" s="2" t="s">
        <v>571</v>
      </c>
      <c r="D1795" s="2" t="str">
        <f t="shared" si="27"/>
        <v>Error?</v>
      </c>
    </row>
    <row r="1796" spans="1:4" x14ac:dyDescent="0.2">
      <c r="A1796" s="5">
        <v>1735</v>
      </c>
      <c r="B1796" s="138">
        <f>'Tax Sched 23'!F8</f>
        <v>11782</v>
      </c>
      <c r="C1796" s="2" t="s">
        <v>571</v>
      </c>
      <c r="D1796" s="2" t="str">
        <f t="shared" si="27"/>
        <v>Error?</v>
      </c>
    </row>
    <row r="1797" spans="1:4" x14ac:dyDescent="0.2">
      <c r="A1797" s="5">
        <v>1736</v>
      </c>
      <c r="B1797" s="138">
        <f>'Tax Sched 23'!F10</f>
        <v>4625</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100487</v>
      </c>
      <c r="C1800" s="2" t="s">
        <v>571</v>
      </c>
      <c r="D1800" s="2" t="str">
        <f t="shared" si="27"/>
        <v>Error?</v>
      </c>
    </row>
    <row r="1801" spans="1:4" x14ac:dyDescent="0.2">
      <c r="A1801" s="5">
        <v>1740</v>
      </c>
      <c r="B1801" s="138">
        <f>'Tax Sched 23'!F12</f>
        <v>4625</v>
      </c>
      <c r="C1801" s="2" t="s">
        <v>571</v>
      </c>
      <c r="D1801" s="2" t="str">
        <f t="shared" si="27"/>
        <v>Error?</v>
      </c>
    </row>
    <row r="1802" spans="1:4" x14ac:dyDescent="0.2">
      <c r="A1802" s="5">
        <v>1741</v>
      </c>
      <c r="B1802" s="138">
        <f>'Tax Sched 23'!F14</f>
        <v>1857</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366165</v>
      </c>
      <c r="C1807" s="2" t="s">
        <v>571</v>
      </c>
      <c r="D1807" s="2" t="str">
        <f t="shared" si="27"/>
        <v>Error?</v>
      </c>
    </row>
    <row r="1808" spans="1:4" x14ac:dyDescent="0.2">
      <c r="A1808" s="5">
        <v>1747</v>
      </c>
      <c r="B1808" s="138">
        <f>'Tax Sched 23'!E4</f>
        <v>138743</v>
      </c>
      <c r="D1808" s="2" t="str">
        <f t="shared" si="27"/>
        <v>Error?</v>
      </c>
    </row>
    <row r="1809" spans="1:4" x14ac:dyDescent="0.2">
      <c r="A1809" s="5">
        <v>1748</v>
      </c>
      <c r="B1809" s="138">
        <f>'Tax Sched 23'!E5</f>
        <v>23124</v>
      </c>
      <c r="D1809" s="2" t="str">
        <f t="shared" si="27"/>
        <v>Error?</v>
      </c>
    </row>
    <row r="1810" spans="1:4" x14ac:dyDescent="0.2">
      <c r="A1810" s="5">
        <v>1749</v>
      </c>
      <c r="B1810" s="138">
        <f>'Tax Sched 23'!E6</f>
        <v>35973</v>
      </c>
      <c r="D1810" s="2" t="str">
        <f t="shared" si="27"/>
        <v>Error?</v>
      </c>
    </row>
    <row r="1811" spans="1:4" x14ac:dyDescent="0.2">
      <c r="A1811" s="5">
        <v>1750</v>
      </c>
      <c r="B1811" s="138">
        <f>'Tax Sched 23'!E7</f>
        <v>11100</v>
      </c>
      <c r="D1811" s="2" t="str">
        <f t="shared" si="27"/>
        <v>Error?</v>
      </c>
    </row>
    <row r="1812" spans="1:4" x14ac:dyDescent="0.2">
      <c r="A1812" s="5">
        <v>1751</v>
      </c>
      <c r="B1812" s="138">
        <f>'Tax Sched 23'!E8</f>
        <v>11782</v>
      </c>
      <c r="D1812" s="2" t="str">
        <f t="shared" si="27"/>
        <v>Error?</v>
      </c>
    </row>
    <row r="1813" spans="1:4" x14ac:dyDescent="0.2">
      <c r="A1813" s="5">
        <v>1752</v>
      </c>
      <c r="B1813" s="138">
        <f>'Tax Sched 23'!E10</f>
        <v>4625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100487</v>
      </c>
      <c r="D1816" s="2" t="str">
        <f t="shared" si="27"/>
        <v>Error?</v>
      </c>
    </row>
    <row r="1817" spans="1:4" x14ac:dyDescent="0.2">
      <c r="A1817" s="5">
        <v>1756</v>
      </c>
      <c r="B1817" s="138">
        <f>'Tax Sched 23'!E12</f>
        <v>4625</v>
      </c>
      <c r="D1817" s="2" t="str">
        <f t="shared" si="27"/>
        <v>Error?</v>
      </c>
    </row>
    <row r="1818" spans="1:4" x14ac:dyDescent="0.2">
      <c r="A1818" s="5">
        <v>1757</v>
      </c>
      <c r="B1818" s="138">
        <f>'Tax Sched 23'!E14</f>
        <v>1857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366165</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236000</v>
      </c>
      <c r="C1939" s="2" t="s">
        <v>571</v>
      </c>
      <c r="D1939" s="2" t="str">
        <f t="shared" si="29"/>
        <v>Error?</v>
      </c>
    </row>
    <row r="1940" spans="1:5" x14ac:dyDescent="0.2">
      <c r="A1940" s="5">
        <v>1879</v>
      </c>
      <c r="B1940" s="138">
        <f>'Short-Term Long-Term Debt 24'!F49</f>
        <v>47900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1753</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1753</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8325</v>
      </c>
      <c r="D2008" s="2" t="str">
        <f t="shared" si="30"/>
        <v>Error?</v>
      </c>
    </row>
    <row r="2009" spans="1:4" x14ac:dyDescent="0.2">
      <c r="A2009" s="5">
        <v>1948</v>
      </c>
      <c r="B2009" s="138">
        <f>'Cap Outlay Deprec 26'!C8</f>
        <v>1074558</v>
      </c>
      <c r="D2009" s="2" t="str">
        <f t="shared" si="30"/>
        <v>Error?</v>
      </c>
    </row>
    <row r="2010" spans="1:4" x14ac:dyDescent="0.2">
      <c r="A2010" s="5">
        <v>1949</v>
      </c>
      <c r="B2010" s="138">
        <f>'Cap Outlay Deprec 26'!C10</f>
        <v>128157</v>
      </c>
      <c r="D2010" s="2" t="str">
        <f t="shared" si="30"/>
        <v>Error?</v>
      </c>
    </row>
    <row r="2011" spans="1:4" x14ac:dyDescent="0.2">
      <c r="A2011" s="5">
        <v>1950</v>
      </c>
      <c r="B2011" s="138">
        <f>'Cap Outlay Deprec 26'!C12</f>
        <v>565404</v>
      </c>
      <c r="D2011" s="2" t="str">
        <f t="shared" si="30"/>
        <v>Error?</v>
      </c>
    </row>
    <row r="2012" spans="1:4" x14ac:dyDescent="0.2">
      <c r="A2012" s="5">
        <v>1951</v>
      </c>
      <c r="B2012" s="138">
        <f>'Cap Outlay Deprec 26'!C13</f>
        <v>68593</v>
      </c>
      <c r="D2012" s="2" t="str">
        <f t="shared" si="30"/>
        <v>Error?</v>
      </c>
    </row>
    <row r="2013" spans="1:4" x14ac:dyDescent="0.2">
      <c r="A2013" s="5">
        <v>1952</v>
      </c>
      <c r="B2013" s="138">
        <f>'Cap Outlay Deprec 26'!C16</f>
        <v>1845037</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28725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42226</v>
      </c>
      <c r="D2017" s="2" t="str">
        <f t="shared" si="30"/>
        <v>Error?</v>
      </c>
    </row>
    <row r="2018" spans="1:4" x14ac:dyDescent="0.2">
      <c r="A2018" s="5">
        <v>1957</v>
      </c>
      <c r="B2018" s="138">
        <f>'Cap Outlay Deprec 26'!D13</f>
        <v>47900</v>
      </c>
      <c r="D2018" s="2" t="str">
        <f t="shared" si="30"/>
        <v>Error?</v>
      </c>
    </row>
    <row r="2019" spans="1:4" x14ac:dyDescent="0.2">
      <c r="A2019" s="5">
        <v>1958</v>
      </c>
      <c r="B2019" s="138">
        <f>'Cap Outlay Deprec 26'!D16</f>
        <v>118851</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8325</v>
      </c>
      <c r="C2026" s="2" t="s">
        <v>571</v>
      </c>
      <c r="D2026" s="2" t="str">
        <f t="shared" si="30"/>
        <v>Error?</v>
      </c>
    </row>
    <row r="2027" spans="1:4" x14ac:dyDescent="0.2">
      <c r="A2027" s="5">
        <v>1966</v>
      </c>
      <c r="B2027" s="138">
        <f>'Cap Outlay Deprec 26'!F8</f>
        <v>1103283</v>
      </c>
      <c r="C2027" s="2" t="s">
        <v>571</v>
      </c>
      <c r="D2027" s="2" t="str">
        <f t="shared" si="30"/>
        <v>Error?</v>
      </c>
    </row>
    <row r="2028" spans="1:4" x14ac:dyDescent="0.2">
      <c r="A2028" s="5">
        <v>1967</v>
      </c>
      <c r="B2028" s="138">
        <f>'Cap Outlay Deprec 26'!F10</f>
        <v>128157</v>
      </c>
      <c r="C2028" s="2" t="s">
        <v>571</v>
      </c>
      <c r="D2028" s="2" t="str">
        <f t="shared" si="30"/>
        <v>Error?</v>
      </c>
    </row>
    <row r="2029" spans="1:4" x14ac:dyDescent="0.2">
      <c r="A2029" s="5">
        <v>1968</v>
      </c>
      <c r="B2029" s="138">
        <f>'Cap Outlay Deprec 26'!F12</f>
        <v>607630</v>
      </c>
      <c r="C2029" s="2" t="s">
        <v>571</v>
      </c>
      <c r="D2029" s="2" t="str">
        <f t="shared" si="30"/>
        <v>Error?</v>
      </c>
    </row>
    <row r="2030" spans="1:4" x14ac:dyDescent="0.2">
      <c r="A2030" s="5">
        <v>1969</v>
      </c>
      <c r="B2030" s="138">
        <f>'Cap Outlay Deprec 26'!F13</f>
        <v>116493</v>
      </c>
      <c r="C2030" s="2" t="s">
        <v>571</v>
      </c>
      <c r="D2030" s="2" t="str">
        <f t="shared" si="30"/>
        <v>Error?</v>
      </c>
    </row>
    <row r="2031" spans="1:4" x14ac:dyDescent="0.2">
      <c r="A2031" s="5">
        <v>1970</v>
      </c>
      <c r="B2031" s="138">
        <f>'Cap Outlay Deprec 26'!F16</f>
        <v>1963888</v>
      </c>
      <c r="C2031" s="2" t="s">
        <v>571</v>
      </c>
      <c r="D2031" s="2" t="str">
        <f t="shared" si="30"/>
        <v>Error?</v>
      </c>
    </row>
    <row r="2032" spans="1:4" x14ac:dyDescent="0.2">
      <c r="A2032" s="10">
        <v>1971</v>
      </c>
      <c r="D2032" s="2" t="str">
        <f t="shared" si="30"/>
        <v>OK</v>
      </c>
    </row>
    <row r="2033" spans="1:4" x14ac:dyDescent="0.2">
      <c r="A2033" s="5">
        <v>1972</v>
      </c>
      <c r="B2033" s="138">
        <f>'Cap Outlay Deprec 26'!H8</f>
        <v>464256</v>
      </c>
      <c r="D2033" s="2" t="str">
        <f t="shared" si="30"/>
        <v>Error?</v>
      </c>
    </row>
    <row r="2034" spans="1:4" x14ac:dyDescent="0.2">
      <c r="A2034" s="5">
        <v>1973</v>
      </c>
      <c r="B2034" s="138">
        <f>'Cap Outlay Deprec 26'!H10</f>
        <v>74965</v>
      </c>
      <c r="D2034" s="2" t="str">
        <f t="shared" si="30"/>
        <v>Error?</v>
      </c>
    </row>
    <row r="2035" spans="1:4" x14ac:dyDescent="0.2">
      <c r="A2035" s="5">
        <v>1974</v>
      </c>
      <c r="B2035" s="138">
        <f>'Cap Outlay Deprec 26'!H12</f>
        <v>437025</v>
      </c>
      <c r="D2035" s="2" t="str">
        <f t="shared" si="30"/>
        <v>Error?</v>
      </c>
    </row>
    <row r="2036" spans="1:4" x14ac:dyDescent="0.2">
      <c r="A2036" s="5">
        <v>1975</v>
      </c>
      <c r="B2036" s="138">
        <f>'Cap Outlay Deprec 26'!H13</f>
        <v>68593</v>
      </c>
      <c r="D2036" s="2" t="str">
        <f t="shared" si="30"/>
        <v>Error?</v>
      </c>
    </row>
    <row r="2037" spans="1:4" x14ac:dyDescent="0.2">
      <c r="A2037" s="5">
        <v>1976</v>
      </c>
      <c r="B2037" s="138">
        <f>'Cap Outlay Deprec 26'!H16</f>
        <v>1044839</v>
      </c>
      <c r="C2037" s="2" t="s">
        <v>571</v>
      </c>
      <c r="D2037" s="2" t="str">
        <f t="shared" si="30"/>
        <v>Error?</v>
      </c>
    </row>
    <row r="2038" spans="1:4" x14ac:dyDescent="0.2">
      <c r="A2038" s="10">
        <v>1977</v>
      </c>
      <c r="D2038" s="2" t="str">
        <f t="shared" si="30"/>
        <v>OK</v>
      </c>
    </row>
    <row r="2039" spans="1:4" x14ac:dyDescent="0.2">
      <c r="A2039" s="5">
        <v>1978</v>
      </c>
      <c r="B2039" s="138">
        <f>'Cap Outlay Deprec 26'!I8</f>
        <v>21851</v>
      </c>
      <c r="D2039" s="2" t="str">
        <f t="shared" si="30"/>
        <v>Error?</v>
      </c>
    </row>
    <row r="2040" spans="1:4" x14ac:dyDescent="0.2">
      <c r="A2040" s="5">
        <v>1979</v>
      </c>
      <c r="B2040" s="138">
        <f>'Cap Outlay Deprec 26'!I10</f>
        <v>5248</v>
      </c>
      <c r="D2040" s="2" t="str">
        <f t="shared" si="30"/>
        <v>Error?</v>
      </c>
    </row>
    <row r="2041" spans="1:4" x14ac:dyDescent="0.2">
      <c r="A2041" s="5">
        <v>1980</v>
      </c>
      <c r="B2041" s="138">
        <f>'Cap Outlay Deprec 26'!I12</f>
        <v>26928</v>
      </c>
      <c r="D2041" s="2" t="str">
        <f t="shared" si="30"/>
        <v>Error?</v>
      </c>
    </row>
    <row r="2042" spans="1:4" x14ac:dyDescent="0.2">
      <c r="A2042" s="5">
        <v>1981</v>
      </c>
      <c r="B2042" s="138">
        <f>'Cap Outlay Deprec 26'!I13</f>
        <v>8782</v>
      </c>
      <c r="D2042" s="2" t="str">
        <f t="shared" si="30"/>
        <v>Error?</v>
      </c>
    </row>
    <row r="2043" spans="1:4" x14ac:dyDescent="0.2">
      <c r="A2043" s="5">
        <v>1982</v>
      </c>
      <c r="B2043" s="138">
        <f>'Cap Outlay Deprec 26'!I16</f>
        <v>62809</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486107</v>
      </c>
      <c r="C2051" s="2" t="s">
        <v>571</v>
      </c>
      <c r="D2051" s="2" t="str">
        <f t="shared" si="31"/>
        <v>Error?</v>
      </c>
    </row>
    <row r="2052" spans="1:4" x14ac:dyDescent="0.2">
      <c r="A2052" s="5">
        <v>1991</v>
      </c>
      <c r="B2052" s="138">
        <f>'Cap Outlay Deprec 26'!K10</f>
        <v>80213</v>
      </c>
      <c r="C2052" s="2" t="s">
        <v>571</v>
      </c>
      <c r="D2052" s="2" t="str">
        <f t="shared" si="31"/>
        <v>Error?</v>
      </c>
    </row>
    <row r="2053" spans="1:4" x14ac:dyDescent="0.2">
      <c r="A2053" s="5">
        <v>1992</v>
      </c>
      <c r="B2053" s="138">
        <f>'Cap Outlay Deprec 26'!K12</f>
        <v>463953</v>
      </c>
      <c r="C2053" s="2" t="s">
        <v>571</v>
      </c>
      <c r="D2053" s="2" t="str">
        <f t="shared" si="31"/>
        <v>Error?</v>
      </c>
    </row>
    <row r="2054" spans="1:4" x14ac:dyDescent="0.2">
      <c r="A2054" s="5">
        <v>1993</v>
      </c>
      <c r="B2054" s="138">
        <f>'Cap Outlay Deprec 26'!K13</f>
        <v>77375</v>
      </c>
      <c r="C2054" s="2" t="s">
        <v>571</v>
      </c>
      <c r="D2054" s="2" t="str">
        <f t="shared" si="31"/>
        <v>Error?</v>
      </c>
    </row>
    <row r="2055" spans="1:4" x14ac:dyDescent="0.2">
      <c r="A2055" s="5">
        <v>1994</v>
      </c>
      <c r="B2055" s="138">
        <f>'Cap Outlay Deprec 26'!K16</f>
        <v>1107648</v>
      </c>
      <c r="C2055" s="2" t="s">
        <v>571</v>
      </c>
      <c r="D2055" s="2" t="str">
        <f t="shared" si="31"/>
        <v>Error?</v>
      </c>
    </row>
    <row r="2056" spans="1:4" x14ac:dyDescent="0.2">
      <c r="A2056" s="5">
        <v>1995</v>
      </c>
      <c r="B2056" s="138">
        <f>'Cap Outlay Deprec 26'!L5</f>
        <v>8325</v>
      </c>
      <c r="C2056" s="2" t="s">
        <v>571</v>
      </c>
      <c r="D2056" s="2" t="str">
        <f t="shared" si="31"/>
        <v>Error?</v>
      </c>
    </row>
    <row r="2057" spans="1:4" x14ac:dyDescent="0.2">
      <c r="A2057" s="5">
        <v>1996</v>
      </c>
      <c r="B2057" s="138">
        <f>'Cap Outlay Deprec 26'!L8</f>
        <v>617176</v>
      </c>
      <c r="C2057" s="2" t="s">
        <v>571</v>
      </c>
      <c r="D2057" s="2" t="str">
        <f t="shared" si="31"/>
        <v>Error?</v>
      </c>
    </row>
    <row r="2058" spans="1:4" x14ac:dyDescent="0.2">
      <c r="A2058" s="5">
        <v>1997</v>
      </c>
      <c r="B2058" s="138">
        <f>'Cap Outlay Deprec 26'!L10</f>
        <v>47944</v>
      </c>
      <c r="C2058" s="2" t="s">
        <v>571</v>
      </c>
      <c r="D2058" s="2" t="str">
        <f t="shared" si="31"/>
        <v>Error?</v>
      </c>
    </row>
    <row r="2059" spans="1:4" x14ac:dyDescent="0.2">
      <c r="A2059" s="5">
        <v>1998</v>
      </c>
      <c r="B2059" s="138">
        <f>'Cap Outlay Deprec 26'!L12</f>
        <v>143677</v>
      </c>
      <c r="C2059" s="2" t="s">
        <v>571</v>
      </c>
      <c r="D2059" s="2" t="str">
        <f t="shared" si="31"/>
        <v>Error?</v>
      </c>
    </row>
    <row r="2060" spans="1:4" x14ac:dyDescent="0.2">
      <c r="A2060" s="5">
        <v>1999</v>
      </c>
      <c r="B2060" s="138">
        <f>'Cap Outlay Deprec 26'!L13</f>
        <v>39118</v>
      </c>
      <c r="C2060" s="2" t="s">
        <v>571</v>
      </c>
      <c r="D2060" s="2" t="str">
        <f t="shared" si="31"/>
        <v>Error?</v>
      </c>
    </row>
    <row r="2061" spans="1:4" x14ac:dyDescent="0.2">
      <c r="A2061" s="5">
        <v>2000</v>
      </c>
      <c r="B2061" s="138">
        <f>'Cap Outlay Deprec 26'!L16</f>
        <v>856240</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79771</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79771</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1007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43451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228618</v>
      </c>
      <c r="C2551" s="2" t="s">
        <v>571</v>
      </c>
      <c r="D2551" s="2" t="str">
        <f t="shared" si="38"/>
        <v>Error?</v>
      </c>
    </row>
    <row r="2552" spans="1:4" x14ac:dyDescent="0.2">
      <c r="A2552" s="10">
        <v>2491</v>
      </c>
      <c r="D2552" s="2" t="str">
        <f t="shared" si="38"/>
        <v>OK</v>
      </c>
    </row>
    <row r="2553" spans="1:4" x14ac:dyDescent="0.2">
      <c r="A2553" s="5">
        <v>2492</v>
      </c>
      <c r="B2553" s="138">
        <f>'Acct Summary 7-8'!C6</f>
        <v>885547</v>
      </c>
      <c r="C2553" s="2" t="s">
        <v>571</v>
      </c>
      <c r="D2553" s="2" t="str">
        <f t="shared" si="38"/>
        <v>Error?</v>
      </c>
    </row>
    <row r="2554" spans="1:4" x14ac:dyDescent="0.2">
      <c r="A2554" s="5">
        <v>2493</v>
      </c>
      <c r="B2554" s="138">
        <f>'Acct Summary 7-8'!C7</f>
        <v>207042</v>
      </c>
      <c r="C2554" s="2" t="s">
        <v>571</v>
      </c>
      <c r="D2554" s="2" t="str">
        <f t="shared" si="38"/>
        <v>Error?</v>
      </c>
    </row>
    <row r="2555" spans="1:4" x14ac:dyDescent="0.2">
      <c r="A2555" s="5">
        <v>2494</v>
      </c>
      <c r="B2555" s="138">
        <f>'Acct Summary 7-8'!C8</f>
        <v>1321207</v>
      </c>
      <c r="C2555" s="2" t="s">
        <v>571</v>
      </c>
      <c r="D2555" s="2" t="str">
        <f t="shared" si="38"/>
        <v>Error?</v>
      </c>
    </row>
    <row r="2556" spans="1:4" x14ac:dyDescent="0.2">
      <c r="A2556" s="5">
        <v>2495</v>
      </c>
      <c r="B2556" s="138">
        <f>'Acct Summary 7-8'!C12</f>
        <v>702572</v>
      </c>
      <c r="C2556" s="2" t="s">
        <v>571</v>
      </c>
      <c r="D2556" s="2" t="str">
        <f t="shared" si="38"/>
        <v>Error?</v>
      </c>
    </row>
    <row r="2557" spans="1:4" x14ac:dyDescent="0.2">
      <c r="A2557" s="5">
        <v>2496</v>
      </c>
      <c r="B2557" s="138">
        <f>'Acct Summary 7-8'!C13</f>
        <v>241401</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79771</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1023744</v>
      </c>
      <c r="C2561" s="2" t="s">
        <v>571</v>
      </c>
      <c r="D2561" s="2" t="str">
        <f t="shared" si="39"/>
        <v>Error?</v>
      </c>
    </row>
    <row r="2562" spans="1:4" x14ac:dyDescent="0.2">
      <c r="A2562" s="5">
        <v>2501</v>
      </c>
      <c r="B2562" s="138">
        <f>'Acct Summary 7-8'!C20</f>
        <v>297463</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26703</v>
      </c>
      <c r="C2564" s="2" t="s">
        <v>571</v>
      </c>
      <c r="D2564" s="2" t="str">
        <f t="shared" si="39"/>
        <v>Error?</v>
      </c>
    </row>
    <row r="2565" spans="1:4" x14ac:dyDescent="0.2">
      <c r="A2565" s="10">
        <v>2504</v>
      </c>
      <c r="D2565" s="2" t="str">
        <f t="shared" si="39"/>
        <v>OK</v>
      </c>
    </row>
    <row r="2566" spans="1:4" x14ac:dyDescent="0.2">
      <c r="A2566" s="5">
        <v>2505</v>
      </c>
      <c r="B2566" s="138">
        <f>'Acct Summary 7-8'!D6</f>
        <v>128491</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155194</v>
      </c>
      <c r="C2568" s="2" t="s">
        <v>571</v>
      </c>
      <c r="D2568" s="2" t="str">
        <f t="shared" si="39"/>
        <v>Error?</v>
      </c>
    </row>
    <row r="2569" spans="1:4" x14ac:dyDescent="0.2">
      <c r="A2569" s="5">
        <v>2508</v>
      </c>
      <c r="B2569" s="138">
        <f>'Acct Summary 7-8'!D13</f>
        <v>136461</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136461</v>
      </c>
      <c r="C2573" s="2" t="s">
        <v>571</v>
      </c>
      <c r="D2573" s="2" t="str">
        <f t="shared" si="39"/>
        <v>Error?</v>
      </c>
    </row>
    <row r="2574" spans="1:4" x14ac:dyDescent="0.2">
      <c r="A2574" s="5">
        <v>2513</v>
      </c>
      <c r="B2574" s="138">
        <f>'Acct Summary 7-8'!D20</f>
        <v>18733</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12106</v>
      </c>
      <c r="C2591" s="2" t="s">
        <v>571</v>
      </c>
      <c r="D2591" s="2" t="str">
        <f t="shared" si="39"/>
        <v>Error?</v>
      </c>
    </row>
    <row r="2592" spans="1:4" x14ac:dyDescent="0.2">
      <c r="A2592" s="10">
        <v>2531</v>
      </c>
      <c r="D2592" s="2" t="str">
        <f t="shared" si="39"/>
        <v>OK</v>
      </c>
    </row>
    <row r="2593" spans="1:4" x14ac:dyDescent="0.2">
      <c r="A2593" s="5">
        <v>2532</v>
      </c>
      <c r="B2593" s="138">
        <f>'Acct Summary 7-8'!F6</f>
        <v>32849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44955</v>
      </c>
      <c r="C2595" s="2" t="s">
        <v>571</v>
      </c>
      <c r="D2595" s="2" t="str">
        <f t="shared" si="39"/>
        <v>Error?</v>
      </c>
    </row>
    <row r="2596" spans="1:4" x14ac:dyDescent="0.2">
      <c r="A2596" s="5">
        <v>2535</v>
      </c>
      <c r="B2596" s="138">
        <f>'Acct Summary 7-8'!F13</f>
        <v>72093</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10602</v>
      </c>
      <c r="C2599" s="2" t="s">
        <v>571</v>
      </c>
      <c r="D2599" s="2" t="str">
        <f t="shared" si="39"/>
        <v>Error?</v>
      </c>
    </row>
    <row r="2600" spans="1:4" x14ac:dyDescent="0.2">
      <c r="A2600" s="5">
        <v>2539</v>
      </c>
      <c r="B2600" s="138">
        <f>'Acct Summary 7-8'!F17</f>
        <v>82695</v>
      </c>
      <c r="C2600" s="2" t="s">
        <v>571</v>
      </c>
      <c r="D2600" s="2" t="str">
        <f t="shared" si="39"/>
        <v>Error?</v>
      </c>
    </row>
    <row r="2601" spans="1:4" x14ac:dyDescent="0.2">
      <c r="A2601" s="5">
        <v>2540</v>
      </c>
      <c r="B2601" s="138">
        <f>'Acct Summary 7-8'!F20</f>
        <v>-37740</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42279</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42279</v>
      </c>
      <c r="C2606" s="2" t="s">
        <v>571</v>
      </c>
      <c r="D2606" s="2" t="str">
        <f t="shared" si="39"/>
        <v>Error?</v>
      </c>
    </row>
    <row r="2607" spans="1:4" x14ac:dyDescent="0.2">
      <c r="A2607" s="5">
        <v>2546</v>
      </c>
      <c r="B2607" s="138">
        <f>'Acct Summary 7-8'!G12</f>
        <v>16389</v>
      </c>
      <c r="C2607" s="2" t="s">
        <v>571</v>
      </c>
      <c r="D2607" s="2" t="str">
        <f t="shared" si="39"/>
        <v>Error?</v>
      </c>
    </row>
    <row r="2608" spans="1:4" x14ac:dyDescent="0.2">
      <c r="A2608" s="5">
        <v>2547</v>
      </c>
      <c r="B2608" s="138">
        <f>'Acct Summary 7-8'!G13</f>
        <v>22442</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38831</v>
      </c>
      <c r="C2612" s="2" t="s">
        <v>571</v>
      </c>
      <c r="D2612" s="2" t="str">
        <f t="shared" si="39"/>
        <v>Error?</v>
      </c>
    </row>
    <row r="2613" spans="1:4" x14ac:dyDescent="0.2">
      <c r="A2613" s="5">
        <v>2552</v>
      </c>
      <c r="B2613" s="138">
        <f>'Acct Summary 7-8'!G20</f>
        <v>3448</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35017</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35017</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36287</v>
      </c>
      <c r="C2634" s="2" t="s">
        <v>571</v>
      </c>
      <c r="D2634" s="2" t="str">
        <f t="shared" si="40"/>
        <v>Error?</v>
      </c>
    </row>
    <row r="2635" spans="1:4" x14ac:dyDescent="0.2">
      <c r="A2635" s="5">
        <v>2574</v>
      </c>
      <c r="B2635" s="138">
        <f>'Acct Summary 7-8'!E17</f>
        <v>36287</v>
      </c>
      <c r="C2635" s="2" t="s">
        <v>571</v>
      </c>
      <c r="D2635" s="2" t="str">
        <f t="shared" si="40"/>
        <v>Error?</v>
      </c>
    </row>
    <row r="2636" spans="1:4" x14ac:dyDescent="0.2">
      <c r="A2636" s="5">
        <v>2575</v>
      </c>
      <c r="B2636" s="138">
        <f>'Acct Summary 7-8'!E20</f>
        <v>-1270</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571</v>
      </c>
      <c r="D2789" s="2" t="str">
        <f t="shared" si="42"/>
        <v>Error?</v>
      </c>
    </row>
    <row r="2790" spans="1:4" x14ac:dyDescent="0.2">
      <c r="A2790" s="5">
        <v>2729</v>
      </c>
      <c r="B2790" s="138">
        <f>'Expenditures 15-22'!E102</f>
        <v>0</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163656</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9682</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163656</v>
      </c>
      <c r="D2912" s="2" t="str">
        <f t="shared" si="44"/>
        <v>Error?</v>
      </c>
    </row>
    <row r="2913" spans="1:4" x14ac:dyDescent="0.2">
      <c r="A2913" s="5">
        <v>2852</v>
      </c>
      <c r="B2913" s="138">
        <f>'Assets-Liab 5-6'!I41</f>
        <v>163656</v>
      </c>
      <c r="C2913" s="2" t="s">
        <v>571</v>
      </c>
      <c r="D2913" s="2" t="str">
        <f t="shared" si="44"/>
        <v>Error?</v>
      </c>
    </row>
    <row r="2914" spans="1:4" x14ac:dyDescent="0.2">
      <c r="A2914" s="5">
        <v>2853</v>
      </c>
      <c r="B2914" s="138">
        <f>'Assets-Liab 5-6'!L33</f>
        <v>9682</v>
      </c>
      <c r="D2914" s="2" t="str">
        <f t="shared" si="44"/>
        <v>Error?</v>
      </c>
    </row>
    <row r="2915" spans="1:4" x14ac:dyDescent="0.2">
      <c r="A2915" s="10">
        <v>2854</v>
      </c>
      <c r="D2915" s="2" t="str">
        <f t="shared" si="44"/>
        <v>OK</v>
      </c>
    </row>
    <row r="2916" spans="1:4" x14ac:dyDescent="0.2">
      <c r="A2916" s="5">
        <v>2855</v>
      </c>
      <c r="B2916" s="138">
        <f>'Assets-Liab 5-6'!L34</f>
        <v>9682</v>
      </c>
      <c r="C2916" s="2" t="s">
        <v>571</v>
      </c>
      <c r="D2916" s="2" t="str">
        <f t="shared" si="44"/>
        <v>Error?</v>
      </c>
    </row>
    <row r="2917" spans="1:4" x14ac:dyDescent="0.2">
      <c r="A2917" s="5">
        <v>2856</v>
      </c>
      <c r="B2917" s="138">
        <f>'Assets-Liab 5-6'!L41</f>
        <v>9682</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79771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79771</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42880</v>
      </c>
      <c r="D3055" s="2" t="str">
        <f t="shared" si="46"/>
        <v>Error?</v>
      </c>
    </row>
    <row r="3056" spans="1:4" x14ac:dyDescent="0.2">
      <c r="A3056" s="5">
        <v>2995</v>
      </c>
      <c r="B3056" s="138">
        <f>'Expenditures 15-22'!D10</f>
        <v>7082</v>
      </c>
      <c r="D3056" s="2" t="str">
        <f t="shared" si="46"/>
        <v>Error?</v>
      </c>
    </row>
    <row r="3057" spans="1:4" x14ac:dyDescent="0.2">
      <c r="A3057" s="5">
        <v>2996</v>
      </c>
      <c r="B3057" s="138">
        <f>'Expenditures 15-22'!E10</f>
        <v>70</v>
      </c>
      <c r="D3057" s="2" t="str">
        <f t="shared" si="46"/>
        <v>Error?</v>
      </c>
    </row>
    <row r="3058" spans="1:4" x14ac:dyDescent="0.2">
      <c r="A3058" s="5">
        <v>2997</v>
      </c>
      <c r="B3058" s="138">
        <f>'Expenditures 15-22'!F10</f>
        <v>18658</v>
      </c>
      <c r="D3058" s="2" t="str">
        <f t="shared" si="46"/>
        <v>Error?</v>
      </c>
    </row>
    <row r="3059" spans="1:4" x14ac:dyDescent="0.2">
      <c r="A3059" s="5">
        <v>2998</v>
      </c>
      <c r="B3059" s="138">
        <f>'Expenditures 15-22'!G10</f>
        <v>5103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73793</v>
      </c>
      <c r="C3062" s="2" t="s">
        <v>571</v>
      </c>
      <c r="D3062" s="2" t="str">
        <f t="shared" si="46"/>
        <v>Error?</v>
      </c>
    </row>
    <row r="3063" spans="1:4" x14ac:dyDescent="0.2">
      <c r="A3063" s="10">
        <v>3002</v>
      </c>
      <c r="D3063" s="2" t="str">
        <f t="shared" si="46"/>
        <v>OK</v>
      </c>
    </row>
    <row r="3064" spans="1:4" x14ac:dyDescent="0.2">
      <c r="A3064" s="5">
        <v>3003</v>
      </c>
      <c r="B3064" s="138">
        <f>'Expenditures 15-22'!D219</f>
        <v>622</v>
      </c>
      <c r="D3064" s="2" t="str">
        <f t="shared" si="46"/>
        <v>Error?</v>
      </c>
    </row>
    <row r="3065" spans="1:4" x14ac:dyDescent="0.2">
      <c r="A3065" s="5">
        <v>3004</v>
      </c>
      <c r="B3065" s="138">
        <f>'Expenditures 15-22'!K219</f>
        <v>622</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8239</v>
      </c>
      <c r="C3225" s="2" t="s">
        <v>571</v>
      </c>
      <c r="D3225" s="2" t="str">
        <f t="shared" si="49"/>
        <v>Error?</v>
      </c>
    </row>
    <row r="3226" spans="1:4" x14ac:dyDescent="0.2">
      <c r="A3226" s="5">
        <v>3165</v>
      </c>
      <c r="B3226" s="138">
        <f>'Acct Summary 7-8'!I8</f>
        <v>8239</v>
      </c>
      <c r="C3226" s="2" t="s">
        <v>571</v>
      </c>
      <c r="D3226" s="2" t="str">
        <f t="shared" si="49"/>
        <v>Error?</v>
      </c>
    </row>
    <row r="3227" spans="1:4" x14ac:dyDescent="0.2">
      <c r="A3227" s="5">
        <v>3166</v>
      </c>
      <c r="B3227" s="138">
        <f>'Acct Summary 7-8'!I20</f>
        <v>8239</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297463</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18733</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47900</v>
      </c>
      <c r="D3251" s="2" t="str">
        <f t="shared" si="49"/>
        <v>Error?</v>
      </c>
    </row>
    <row r="3252" spans="1:4" x14ac:dyDescent="0.2">
      <c r="A3252" s="5">
        <v>3191</v>
      </c>
      <c r="B3252" s="138">
        <f>'Acct Summary 7-8'!F44</f>
        <v>47900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47900</v>
      </c>
      <c r="C3255" s="2" t="s">
        <v>571</v>
      </c>
      <c r="D3255" s="2" t="str">
        <f t="shared" si="49"/>
        <v>Error?</v>
      </c>
    </row>
    <row r="3256" spans="1:4" x14ac:dyDescent="0.2">
      <c r="A3256" s="5">
        <v>3195</v>
      </c>
      <c r="B3256" s="138">
        <f>'Acct Summary 7-8'!F78</f>
        <v>10160</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3448</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-1270</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8239</v>
      </c>
      <c r="C3320" s="2" t="s">
        <v>571</v>
      </c>
      <c r="D3320" s="2" t="str">
        <f t="shared" si="50"/>
        <v>Error?</v>
      </c>
    </row>
    <row r="3321" spans="1:4" x14ac:dyDescent="0.2">
      <c r="A3321" s="5">
        <v>3260</v>
      </c>
      <c r="B3321" s="138">
        <f>'Acct Summary 7-8'!I79</f>
        <v>155417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163656</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146143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17072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167162</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8900</v>
      </c>
      <c r="D3387" s="2" t="str">
        <f t="shared" si="51"/>
        <v>Error?</v>
      </c>
    </row>
    <row r="3388" spans="1:4" x14ac:dyDescent="0.2">
      <c r="A3388" s="5">
        <v>3327</v>
      </c>
      <c r="B3388" s="138">
        <f>'Expenditures 15-22'!D217</f>
        <v>6801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8900</v>
      </c>
      <c r="C3390" s="2" t="s">
        <v>571</v>
      </c>
      <c r="D3390" s="2" t="str">
        <f t="shared" si="51"/>
        <v>Error?</v>
      </c>
    </row>
    <row r="3391" spans="1:4" x14ac:dyDescent="0.2">
      <c r="A3391" s="5">
        <v>3330</v>
      </c>
      <c r="B3391" s="138">
        <f>'Expenditures 15-22'!K217</f>
        <v>6801</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2274637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61309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3027</v>
      </c>
      <c r="D3417" s="2" t="str">
        <f t="shared" si="52"/>
        <v>Error?</v>
      </c>
    </row>
    <row r="3418" spans="1:4" x14ac:dyDescent="0.2">
      <c r="A3418" s="10">
        <v>3357</v>
      </c>
      <c r="D3418" s="2" t="str">
        <f t="shared" si="52"/>
        <v>OK</v>
      </c>
    </row>
    <row r="3419" spans="1:4" x14ac:dyDescent="0.2">
      <c r="A3419" s="5">
        <v>3358</v>
      </c>
      <c r="B3419" s="138">
        <f>'Assets-Liab 5-6'!F4</f>
        <v>66987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57591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163656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27606</v>
      </c>
      <c r="C3446" s="2" t="s">
        <v>571</v>
      </c>
      <c r="D3446" s="2" t="str">
        <f t="shared" si="52"/>
        <v>Error?</v>
      </c>
    </row>
    <row r="3447" spans="1:4" x14ac:dyDescent="0.2">
      <c r="A3447" s="5">
        <v>3386</v>
      </c>
      <c r="B3447" s="138">
        <f>'Tax Sched 23'!D16</f>
        <v>27606</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29225</v>
      </c>
      <c r="C3449" s="2" t="s">
        <v>571</v>
      </c>
      <c r="D3449" s="2" t="str">
        <f t="shared" si="52"/>
        <v>Error?</v>
      </c>
    </row>
    <row r="3450" spans="1:4" x14ac:dyDescent="0.2">
      <c r="A3450" s="5">
        <v>3389</v>
      </c>
      <c r="B3450" s="138">
        <f>'Tax Sched 23'!E16</f>
        <v>29225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47769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47769</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47769</v>
      </c>
      <c r="D3567" s="2" t="str">
        <f t="shared" si="54"/>
        <v>Error?</v>
      </c>
    </row>
    <row r="3568" spans="1:4" x14ac:dyDescent="0.2">
      <c r="A3568" s="5">
        <v>3507</v>
      </c>
      <c r="B3568" s="138">
        <f>'Assets-Liab 5-6'!K41</f>
        <v>47769</v>
      </c>
      <c r="C3568" s="2" t="s">
        <v>571</v>
      </c>
      <c r="D3568" s="2" t="str">
        <f t="shared" si="54"/>
        <v>Error?</v>
      </c>
    </row>
    <row r="3569" spans="1:4" x14ac:dyDescent="0.2">
      <c r="A3569" s="5">
        <v>3508</v>
      </c>
      <c r="B3569" s="138">
        <f>'Acct Summary 7-8'!K4</f>
        <v>5635</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5635</v>
      </c>
      <c r="C3571" s="2" t="s">
        <v>571</v>
      </c>
      <c r="D3571" s="2" t="str">
        <f t="shared" si="54"/>
        <v>Error?</v>
      </c>
    </row>
    <row r="3572" spans="1:4" x14ac:dyDescent="0.2">
      <c r="A3572" s="5">
        <v>3511</v>
      </c>
      <c r="B3572" s="138">
        <f>'Acct Summary 7-8'!K13</f>
        <v>30225</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30225</v>
      </c>
      <c r="C3575" s="2" t="s">
        <v>571</v>
      </c>
      <c r="D3575" s="2" t="str">
        <f t="shared" si="54"/>
        <v>Error?</v>
      </c>
    </row>
    <row r="3576" spans="1:4" x14ac:dyDescent="0.2">
      <c r="A3576" s="5">
        <v>3515</v>
      </c>
      <c r="B3576" s="138">
        <f>'Acct Summary 7-8'!K20</f>
        <v>-24590</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-24590</v>
      </c>
      <c r="C3588" s="2" t="s">
        <v>571</v>
      </c>
      <c r="D3588" s="2" t="str">
        <f t="shared" si="55"/>
        <v>Error?</v>
      </c>
    </row>
    <row r="3589" spans="1:4" x14ac:dyDescent="0.2">
      <c r="A3589" s="5">
        <v>3528</v>
      </c>
      <c r="B3589" s="138">
        <f>'Acct Summary 7-8'!K79</f>
        <v>72359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47769</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1500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1500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1500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28725</v>
      </c>
      <c r="D3646" s="2" t="str">
        <f t="shared" si="55"/>
        <v>Error?</v>
      </c>
    </row>
    <row r="3647" spans="1:4" x14ac:dyDescent="0.2">
      <c r="A3647" s="5">
        <v>3586</v>
      </c>
      <c r="B3647" s="138">
        <f>'Expenditures 15-22'!G350</f>
        <v>28725</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28725</v>
      </c>
      <c r="C3649" s="2" t="s">
        <v>571</v>
      </c>
      <c r="D3649" s="2" t="str">
        <f t="shared" si="56"/>
        <v>Error?</v>
      </c>
    </row>
    <row r="3650" spans="1:4" x14ac:dyDescent="0.2">
      <c r="A3650" s="5">
        <v>3589</v>
      </c>
      <c r="B3650" s="138">
        <f>'Expenditures 15-22'!G367</f>
        <v>28725</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1500</v>
      </c>
      <c r="C3668" s="2" t="s">
        <v>571</v>
      </c>
      <c r="D3668" s="2" t="str">
        <f t="shared" si="56"/>
        <v>Error?</v>
      </c>
    </row>
    <row r="3669" spans="1:4" x14ac:dyDescent="0.2">
      <c r="A3669" s="5">
        <v>3608</v>
      </c>
      <c r="B3669" s="138">
        <f>'Expenditures 15-22'!K349</f>
        <v>28725</v>
      </c>
      <c r="C3669" s="2" t="s">
        <v>571</v>
      </c>
      <c r="D3669" s="2" t="str">
        <f t="shared" si="56"/>
        <v>Error?</v>
      </c>
    </row>
    <row r="3670" spans="1:4" x14ac:dyDescent="0.2">
      <c r="A3670" s="5">
        <v>3609</v>
      </c>
      <c r="B3670" s="138">
        <f>'Expenditures 15-22'!K350</f>
        <v>30225</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30225</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30225</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-24590</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4369</v>
      </c>
      <c r="C3725" s="2" t="s">
        <v>571</v>
      </c>
      <c r="D3725" s="2" t="str">
        <f t="shared" si="57"/>
        <v>Error?</v>
      </c>
    </row>
    <row r="3726" spans="1:4" x14ac:dyDescent="0.2">
      <c r="A3726" s="5">
        <v>3665</v>
      </c>
      <c r="B3726" s="138">
        <f>'Tax Sched 23'!D13</f>
        <v>4369</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4624</v>
      </c>
      <c r="C3728" s="2" t="s">
        <v>571</v>
      </c>
      <c r="D3728" s="2" t="str">
        <f t="shared" si="57"/>
        <v>Error?</v>
      </c>
    </row>
    <row r="3729" spans="1:4" x14ac:dyDescent="0.2">
      <c r="A3729" s="5">
        <v>3668</v>
      </c>
      <c r="B3729" s="138">
        <f>'Tax Sched 23'!E13</f>
        <v>4624</v>
      </c>
      <c r="D3729" s="2" t="str">
        <f t="shared" si="57"/>
        <v>Error?</v>
      </c>
    </row>
    <row r="3730" spans="1:4" x14ac:dyDescent="0.2">
      <c r="A3730" s="5">
        <v>3669</v>
      </c>
      <c r="B3730" s="138">
        <f>'ICR Computation 30'!E10</f>
        <v>47584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241724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1562931</v>
      </c>
      <c r="C4122" s="2" t="s">
        <v>571</v>
      </c>
      <c r="D4122" s="2" t="str">
        <f t="shared" si="63"/>
        <v>Error?</v>
      </c>
    </row>
    <row r="4123" spans="1:4" x14ac:dyDescent="0.2">
      <c r="A4123" s="5">
        <v>4062</v>
      </c>
      <c r="B4123" s="138">
        <f>'Acct Summary 7-8'!D10</f>
        <v>155194</v>
      </c>
      <c r="C4123" s="2" t="s">
        <v>571</v>
      </c>
      <c r="D4123" s="2" t="str">
        <f t="shared" si="63"/>
        <v>Error?</v>
      </c>
    </row>
    <row r="4124" spans="1:4" x14ac:dyDescent="0.2">
      <c r="A4124" s="5">
        <v>4063</v>
      </c>
      <c r="B4124" s="138">
        <f>'Acct Summary 7-8'!E10</f>
        <v>35017</v>
      </c>
      <c r="C4124" s="2" t="s">
        <v>571</v>
      </c>
      <c r="D4124" s="2" t="str">
        <f t="shared" si="63"/>
        <v>Error?</v>
      </c>
    </row>
    <row r="4125" spans="1:4" x14ac:dyDescent="0.2">
      <c r="A4125" s="5">
        <v>4064</v>
      </c>
      <c r="B4125" s="138">
        <f>'Acct Summary 7-8'!F10</f>
        <v>44955</v>
      </c>
      <c r="C4125" s="2" t="s">
        <v>571</v>
      </c>
      <c r="D4125" s="2" t="str">
        <f t="shared" si="63"/>
        <v>Error?</v>
      </c>
    </row>
    <row r="4126" spans="1:4" x14ac:dyDescent="0.2">
      <c r="A4126" s="5">
        <v>4065</v>
      </c>
      <c r="B4126" s="138">
        <f>'Acct Summary 7-8'!G10</f>
        <v>42279</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8239</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5635</v>
      </c>
      <c r="C4130" s="2" t="s">
        <v>571</v>
      </c>
      <c r="D4130" s="2" t="str">
        <f t="shared" si="63"/>
        <v>Error?</v>
      </c>
    </row>
    <row r="4131" spans="1:4" x14ac:dyDescent="0.2">
      <c r="A4131" s="5">
        <v>4070</v>
      </c>
      <c r="B4131" s="138">
        <f>'Acct Summary 7-8'!C18</f>
        <v>241724</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1265468</v>
      </c>
      <c r="C4136" s="2" t="s">
        <v>571</v>
      </c>
      <c r="D4136" s="2" t="str">
        <f t="shared" si="63"/>
        <v>Error?</v>
      </c>
    </row>
    <row r="4137" spans="1:4" x14ac:dyDescent="0.2">
      <c r="A4137" s="5">
        <v>4076</v>
      </c>
      <c r="B4137" s="138">
        <f>'Acct Summary 7-8'!D19</f>
        <v>136461</v>
      </c>
      <c r="C4137" s="2" t="s">
        <v>571</v>
      </c>
      <c r="D4137" s="2" t="str">
        <f t="shared" si="63"/>
        <v>Error?</v>
      </c>
    </row>
    <row r="4138" spans="1:4" x14ac:dyDescent="0.2">
      <c r="A4138" s="5">
        <v>4077</v>
      </c>
      <c r="B4138" s="138">
        <f>'Acct Summary 7-8'!E19</f>
        <v>36287</v>
      </c>
      <c r="C4138" s="2" t="s">
        <v>571</v>
      </c>
      <c r="D4138" s="2" t="str">
        <f t="shared" si="63"/>
        <v>Error?</v>
      </c>
    </row>
    <row r="4139" spans="1:4" x14ac:dyDescent="0.2">
      <c r="A4139" s="5">
        <v>4078</v>
      </c>
      <c r="B4139" s="138">
        <f>'Acct Summary 7-8'!F19</f>
        <v>82695</v>
      </c>
      <c r="C4139" s="2" t="s">
        <v>571</v>
      </c>
      <c r="D4139" s="2" t="str">
        <f t="shared" si="63"/>
        <v>Error?</v>
      </c>
    </row>
    <row r="4140" spans="1:4" x14ac:dyDescent="0.2">
      <c r="A4140" s="5">
        <v>4079</v>
      </c>
      <c r="B4140" s="138">
        <f>'Acct Summary 7-8'!G19</f>
        <v>38831</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30225</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248298</v>
      </c>
      <c r="C4171" s="2" t="s">
        <v>571</v>
      </c>
      <c r="D4171" s="2" t="str">
        <f t="shared" si="64"/>
        <v>Error?</v>
      </c>
    </row>
    <row r="4172" spans="1:4" x14ac:dyDescent="0.2">
      <c r="A4172" s="5">
        <v>4111</v>
      </c>
      <c r="B4172" s="138">
        <f>'Short-Term Long-Term Debt 24'!J49</f>
        <v>245271</v>
      </c>
      <c r="C4172" s="2" t="s">
        <v>571</v>
      </c>
      <c r="D4172" s="2" t="str">
        <f t="shared" si="64"/>
        <v>Error?</v>
      </c>
    </row>
    <row r="4173" spans="1:4" x14ac:dyDescent="0.2">
      <c r="A4173" s="5">
        <v>4112</v>
      </c>
      <c r="B4173" s="138">
        <f>'Short-Term Long-Term Debt 24'!H49</f>
        <v>35602</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10602</v>
      </c>
      <c r="D4210" s="2" t="str">
        <f t="shared" si="64"/>
        <v>Error?</v>
      </c>
    </row>
    <row r="4211" spans="1:4" x14ac:dyDescent="0.2">
      <c r="A4211" s="5">
        <v>4150</v>
      </c>
      <c r="B4211" s="138">
        <f>'Expenditures 15-22'!K206</f>
        <v>10602</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1428.37</v>
      </c>
      <c r="C4265" s="2" t="s">
        <v>571</v>
      </c>
      <c r="D4265" s="2" t="str">
        <f t="shared" si="65"/>
        <v>Error?</v>
      </c>
      <c r="E4265" s="128"/>
    </row>
    <row r="4266" spans="1:5" x14ac:dyDescent="0.2">
      <c r="A4266" s="12">
        <v>4205</v>
      </c>
      <c r="B4266" s="138">
        <f>('FP Info 3'!F10)*100000</f>
        <v>238.06</v>
      </c>
      <c r="C4266" s="2" t="s">
        <v>571</v>
      </c>
      <c r="D4266" s="2" t="str">
        <f t="shared" si="65"/>
        <v>Error?</v>
      </c>
      <c r="E4266" s="128"/>
    </row>
    <row r="4267" spans="1:5" x14ac:dyDescent="0.2">
      <c r="A4267" s="12">
        <v>4206</v>
      </c>
      <c r="B4267" s="138">
        <f>('FP Info 3'!H10)*100000</f>
        <v>114.27</v>
      </c>
      <c r="C4267" s="2" t="s">
        <v>571</v>
      </c>
      <c r="D4267" s="2" t="str">
        <f t="shared" si="65"/>
        <v>Error?</v>
      </c>
      <c r="E4267" s="128"/>
    </row>
    <row r="4268" spans="1:5" x14ac:dyDescent="0.2">
      <c r="A4268" s="12">
        <v>4207</v>
      </c>
      <c r="B4268" s="138">
        <f>('FP Info 3'!J10)*100000</f>
        <v>1781</v>
      </c>
      <c r="C4268" s="2" t="s">
        <v>571</v>
      </c>
      <c r="D4268" s="2" t="str">
        <f t="shared" si="65"/>
        <v>Error?</v>
      </c>
    </row>
    <row r="4269" spans="1:5" x14ac:dyDescent="0.2">
      <c r="A4269" s="12">
        <v>4208</v>
      </c>
      <c r="B4269" s="138">
        <f>'FP Info 3'!J16</f>
        <v>2566589</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471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4903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4903</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15439</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47.61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10699</v>
      </c>
      <c r="D4792" s="2" t="str">
        <f t="shared" si="73"/>
        <v>Error?</v>
      </c>
    </row>
    <row r="4793" spans="1:4" x14ac:dyDescent="0.2">
      <c r="A4793" s="5">
        <v>4732</v>
      </c>
      <c r="B4793" s="138">
        <f>'Revenues 9-14'!D168</f>
        <v>8491</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9713424</v>
      </c>
      <c r="D4995" s="2" t="str">
        <f t="shared" si="77"/>
        <v>Error?</v>
      </c>
    </row>
    <row r="4996" spans="1:4" x14ac:dyDescent="0.2">
      <c r="A4996" s="12">
        <v>4935</v>
      </c>
      <c r="B4996" s="138">
        <f>'FP Info 3'!H31</f>
        <v>670226.25600000005</v>
      </c>
      <c r="D4996" s="2" t="str">
        <f t="shared" si="77"/>
        <v>Error?</v>
      </c>
    </row>
    <row r="4997" spans="1:4" x14ac:dyDescent="0.2">
      <c r="A4997" s="12">
        <v>4936</v>
      </c>
      <c r="B4997" s="138">
        <f>'FP Info 3'!H37</f>
        <v>248298</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4369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131055</v>
      </c>
      <c r="D5061" s="2" t="str">
        <f t="shared" si="78"/>
        <v>Error?</v>
      </c>
    </row>
    <row r="5062" spans="1:4" x14ac:dyDescent="0.2">
      <c r="A5062" s="10">
        <v>5001</v>
      </c>
      <c r="D5062" s="2" t="str">
        <f t="shared" si="78"/>
        <v>OK</v>
      </c>
    </row>
    <row r="5063" spans="1:4" x14ac:dyDescent="0.2">
      <c r="A5063" s="5">
        <v>5002</v>
      </c>
      <c r="B5063" s="138">
        <f>'Revenues 9-14'!C7</f>
        <v>1753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137177</v>
      </c>
      <c r="C5066" s="2" t="s">
        <v>571</v>
      </c>
      <c r="D5066" s="2" t="str">
        <f t="shared" si="78"/>
        <v>Error?</v>
      </c>
    </row>
    <row r="5067" spans="1:4" x14ac:dyDescent="0.2">
      <c r="A5067" s="5">
        <v>5006</v>
      </c>
      <c r="B5067" s="138">
        <f>'Revenues 9-14'!C14</f>
        <v>3401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35359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38760</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571</v>
      </c>
      <c r="D5087" s="2" t="str">
        <f t="shared" si="78"/>
        <v>Error?</v>
      </c>
    </row>
    <row r="5088" spans="1:4" x14ac:dyDescent="0.2">
      <c r="A5088" s="5">
        <v>5027</v>
      </c>
      <c r="B5088" s="138">
        <f>'Revenues 9-14'!C65</f>
        <v>47663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47663</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168</v>
      </c>
      <c r="D5094" s="2" t="str">
        <f t="shared" si="78"/>
        <v>Error?</v>
      </c>
    </row>
    <row r="5095" spans="1:4" x14ac:dyDescent="0.2">
      <c r="A5095" s="5">
        <v>5034</v>
      </c>
      <c r="B5095" s="138">
        <f>'Revenues 9-14'!C74</f>
        <v>1148</v>
      </c>
      <c r="D5095" s="2" t="str">
        <f t="shared" si="78"/>
        <v>Error?</v>
      </c>
    </row>
    <row r="5096" spans="1:4" x14ac:dyDescent="0.2">
      <c r="A5096" s="5">
        <v>5035</v>
      </c>
      <c r="B5096" s="138">
        <f>'Revenues 9-14'!C75</f>
        <v>1316</v>
      </c>
      <c r="C5096" s="2" t="s">
        <v>571</v>
      </c>
      <c r="D5096" s="2" t="str">
        <f t="shared" si="78"/>
        <v>Error?</v>
      </c>
    </row>
    <row r="5097" spans="1:4" x14ac:dyDescent="0.2">
      <c r="A5097" s="5">
        <v>5036</v>
      </c>
      <c r="B5097" s="138">
        <f>'Revenues 9-14'!C77</f>
        <v>1164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1164</v>
      </c>
      <c r="C5102" s="2" t="s">
        <v>571</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2238</v>
      </c>
      <c r="D5119" s="2" t="str">
        <f t="shared" ref="D5119:D5182" si="79">IF(ISBLANK(B5119),"OK",IF(A5119-B5119=0,"OK","Error?"))</f>
        <v>Error?</v>
      </c>
    </row>
    <row r="5120" spans="1:4" x14ac:dyDescent="0.2">
      <c r="A5120" s="5">
        <v>5059</v>
      </c>
      <c r="B5120" s="138">
        <f>'Revenues 9-14'!C108</f>
        <v>2538</v>
      </c>
      <c r="C5120" s="2" t="s">
        <v>571</v>
      </c>
      <c r="D5120" s="2" t="str">
        <f t="shared" si="79"/>
        <v>Error?</v>
      </c>
    </row>
    <row r="5121" spans="1:4" x14ac:dyDescent="0.2">
      <c r="A5121" s="5">
        <v>5060</v>
      </c>
      <c r="B5121" s="138">
        <f>'Revenues 9-14'!C109</f>
        <v>228618</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873030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873030</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1818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12517</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885547</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60545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25564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90649</v>
      </c>
      <c r="C5246" s="2" t="s">
        <v>571</v>
      </c>
      <c r="D5246" s="2" t="str">
        <f t="shared" si="80"/>
        <v>Error?</v>
      </c>
    </row>
    <row r="5247" spans="1:4" x14ac:dyDescent="0.2">
      <c r="A5247" s="5">
        <v>5186</v>
      </c>
      <c r="B5247" s="138">
        <f>'Revenues 9-14'!C200</f>
        <v>84697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15439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84697</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7876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7876</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1846</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207042</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207042</v>
      </c>
      <c r="C5326" s="2" t="s">
        <v>571</v>
      </c>
      <c r="D5326" s="2" t="str">
        <f t="shared" si="82"/>
        <v>Error?</v>
      </c>
    </row>
    <row r="5327" spans="1:5" x14ac:dyDescent="0.2">
      <c r="A5327" s="5">
        <v>5266</v>
      </c>
      <c r="B5327" s="138">
        <f>'Revenues 9-14'!C268</f>
        <v>1321207</v>
      </c>
      <c r="C5327" s="2" t="s">
        <v>571</v>
      </c>
      <c r="D5327" s="2" t="str">
        <f t="shared" si="82"/>
        <v>Error?</v>
      </c>
    </row>
    <row r="5328" spans="1:5" x14ac:dyDescent="0.2">
      <c r="A5328" s="5">
        <v>5267</v>
      </c>
      <c r="B5328" s="138">
        <f>'Revenues 9-14'!D5</f>
        <v>21841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21841</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571</v>
      </c>
      <c r="D5339" s="2" t="str">
        <f t="shared" si="82"/>
        <v>Error?</v>
      </c>
    </row>
    <row r="5340" spans="1:4" x14ac:dyDescent="0.2">
      <c r="A5340" s="5">
        <v>5279</v>
      </c>
      <c r="B5340" s="138">
        <f>'Revenues 9-14'!D65</f>
        <v>2127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2127</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2735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2735</v>
      </c>
      <c r="C5355" s="2" t="s">
        <v>571</v>
      </c>
      <c r="D5355" s="2" t="str">
        <f t="shared" si="82"/>
        <v>Error?</v>
      </c>
    </row>
    <row r="5356" spans="1:4" x14ac:dyDescent="0.2">
      <c r="A5356" s="5">
        <v>5295</v>
      </c>
      <c r="B5356" s="138">
        <f>'Revenues 9-14'!D109</f>
        <v>26703</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120000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120000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8491</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128491</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155194</v>
      </c>
      <c r="C5508" s="2" t="s">
        <v>571</v>
      </c>
      <c r="D5508" s="2" t="str">
        <f t="shared" si="85"/>
        <v>Error?</v>
      </c>
    </row>
    <row r="5509" spans="1:4" x14ac:dyDescent="0.2">
      <c r="A5509" s="5">
        <v>5448</v>
      </c>
      <c r="B5509" s="138">
        <f>'Revenues 9-14'!E5</f>
        <v>34887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34887</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130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35017</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35017</v>
      </c>
      <c r="C5552" s="2" t="s">
        <v>571</v>
      </c>
      <c r="D5552" s="2" t="str">
        <f t="shared" si="85"/>
        <v>Error?</v>
      </c>
    </row>
    <row r="5553" spans="1:4" x14ac:dyDescent="0.2">
      <c r="A5553" s="5">
        <v>5492</v>
      </c>
      <c r="B5553" s="138">
        <f>'Revenues 9-14'!F5</f>
        <v>10484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10484</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1622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1622</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571</v>
      </c>
      <c r="D5587" s="2" t="str">
        <f t="shared" si="86"/>
        <v>Error?</v>
      </c>
    </row>
    <row r="5588" spans="1:4" x14ac:dyDescent="0.2">
      <c r="A5588" s="5">
        <v>5527</v>
      </c>
      <c r="B5588" s="138">
        <f>'Revenues 9-14'!F109</f>
        <v>12106</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20000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20000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10364</v>
      </c>
      <c r="D5615" s="2" t="str">
        <f t="shared" si="86"/>
        <v>Error?</v>
      </c>
    </row>
    <row r="5616" spans="1:4" x14ac:dyDescent="0.2">
      <c r="A5616" s="10">
        <v>5555</v>
      </c>
      <c r="D5616" s="2" t="str">
        <f t="shared" si="86"/>
        <v>OK</v>
      </c>
    </row>
    <row r="5617" spans="1:5" x14ac:dyDescent="0.2">
      <c r="A5617" s="5">
        <v>5556</v>
      </c>
      <c r="B5617" s="138">
        <f>'Revenues 9-14'!F153</f>
        <v>2485</v>
      </c>
      <c r="D5617" s="2" t="str">
        <f t="shared" si="86"/>
        <v>Error?</v>
      </c>
    </row>
    <row r="5618" spans="1:5" x14ac:dyDescent="0.2">
      <c r="A5618" s="5">
        <v>5557</v>
      </c>
      <c r="B5618" s="138">
        <f>'Revenues 9-14'!F155</f>
        <v>12849</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12849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32849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44955</v>
      </c>
      <c r="C5720" s="2" t="s">
        <v>571</v>
      </c>
      <c r="D5720" s="2" t="str">
        <f t="shared" si="88"/>
        <v>Error?</v>
      </c>
    </row>
    <row r="5721" spans="1:4" x14ac:dyDescent="0.2">
      <c r="A5721" s="5">
        <v>5660</v>
      </c>
      <c r="B5721" s="138">
        <f>'Revenues 9-14'!G5</f>
        <v>11131</v>
      </c>
      <c r="D5721" s="2" t="str">
        <f t="shared" si="88"/>
        <v>Error?</v>
      </c>
    </row>
    <row r="5722" spans="1:4" x14ac:dyDescent="0.2">
      <c r="A5722" s="5">
        <v>5661</v>
      </c>
      <c r="B5722" s="138">
        <f>'Revenues 9-14'!G7</f>
        <v>0</v>
      </c>
      <c r="D5722" s="2" t="str">
        <f t="shared" si="88"/>
        <v>Error?</v>
      </c>
    </row>
    <row r="5723" spans="1:4" x14ac:dyDescent="0.2">
      <c r="A5723" s="5">
        <v>5662</v>
      </c>
      <c r="B5723" s="138">
        <f>'Revenues 9-14'!G8</f>
        <v>27606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38737</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571</v>
      </c>
      <c r="D5730" s="2" t="str">
        <f t="shared" si="88"/>
        <v>Error?</v>
      </c>
    </row>
    <row r="5731" spans="1:4" x14ac:dyDescent="0.2">
      <c r="A5731" s="5">
        <v>5670</v>
      </c>
      <c r="B5731" s="138">
        <f>'Revenues 9-14'!G65</f>
        <v>1542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1542</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42279</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4369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4369</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3870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3870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8239</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4368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4368</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1267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1267</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5635</v>
      </c>
      <c r="C6023" s="2" t="s">
        <v>571</v>
      </c>
      <c r="D6023" s="2" t="str">
        <f t="shared" si="93"/>
        <v>Error?</v>
      </c>
    </row>
    <row r="6024" spans="1:5" x14ac:dyDescent="0.2">
      <c r="A6024" s="5">
        <v>5963</v>
      </c>
      <c r="B6024" s="138">
        <f>'Revenues 9-14'!G109</f>
        <v>42279</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8239</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5635</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7794</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108.4</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154860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154860</v>
      </c>
      <c r="D6215" s="2" t="str">
        <f t="shared" si="96"/>
        <v>Error?</v>
      </c>
      <c r="E6215" s="2" t="s">
        <v>190</v>
      </c>
    </row>
    <row r="6216" spans="1:5" x14ac:dyDescent="0.2">
      <c r="A6216">
        <v>6155</v>
      </c>
      <c r="B6216" s="138">
        <f>'Assets-Liab 5-6'!J41</f>
        <v>154860</v>
      </c>
      <c r="D6216" s="2" t="str">
        <f t="shared" si="96"/>
        <v>Error?</v>
      </c>
      <c r="E6216" s="2" t="s">
        <v>190</v>
      </c>
    </row>
    <row r="6217" spans="1:5" x14ac:dyDescent="0.2">
      <c r="A6217">
        <v>6156</v>
      </c>
      <c r="B6217" s="138">
        <f>'Assets-Liab 5-6'!J4</f>
        <v>154860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98728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98728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98728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88144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88144</v>
      </c>
      <c r="D6229" s="2" t="str">
        <f t="shared" si="96"/>
        <v>Error?</v>
      </c>
      <c r="E6229" s="2" t="s">
        <v>190</v>
      </c>
    </row>
    <row r="6230" spans="1:5" x14ac:dyDescent="0.2">
      <c r="A6230">
        <v>6169</v>
      </c>
      <c r="B6230" s="138">
        <f>'Acct Summary 7-8'!J20</f>
        <v>10584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10584</v>
      </c>
      <c r="D6263" s="2" t="str">
        <f t="shared" si="96"/>
        <v>Error?</v>
      </c>
      <c r="E6263" s="2" t="s">
        <v>190</v>
      </c>
    </row>
    <row r="6264" spans="1:5" x14ac:dyDescent="0.2">
      <c r="A6264">
        <v>6203</v>
      </c>
      <c r="B6264" s="138">
        <f>'Acct Summary 7-8'!J79</f>
        <v>144276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154860</v>
      </c>
      <c r="D6266" s="2" t="str">
        <f t="shared" si="96"/>
        <v>Error?</v>
      </c>
      <c r="E6266" s="2" t="s">
        <v>190</v>
      </c>
    </row>
    <row r="6267" spans="1:5" x14ac:dyDescent="0.2">
      <c r="A6267">
        <v>6206</v>
      </c>
      <c r="B6267" s="138">
        <f>'Acct Summary 7-8'!C82</f>
        <v>297463</v>
      </c>
      <c r="D6267" s="2" t="str">
        <f t="shared" si="96"/>
        <v>Error?</v>
      </c>
      <c r="E6267" s="2" t="s">
        <v>190</v>
      </c>
    </row>
    <row r="6268" spans="1:5" x14ac:dyDescent="0.2">
      <c r="A6268">
        <v>6207</v>
      </c>
      <c r="B6268" s="138">
        <f>'Acct Summary 7-8'!D82</f>
        <v>18733</v>
      </c>
      <c r="D6268" s="2" t="str">
        <f t="shared" si="96"/>
        <v>Error?</v>
      </c>
      <c r="E6268" s="2" t="s">
        <v>190</v>
      </c>
    </row>
    <row r="6269" spans="1:5" x14ac:dyDescent="0.2">
      <c r="A6269">
        <v>6208</v>
      </c>
      <c r="B6269" s="138">
        <f>'Acct Summary 7-8'!E82</f>
        <v>-1270</v>
      </c>
      <c r="D6269" s="2" t="str">
        <f t="shared" si="96"/>
        <v>Error?</v>
      </c>
      <c r="E6269" s="2" t="s">
        <v>190</v>
      </c>
    </row>
    <row r="6270" spans="1:5" x14ac:dyDescent="0.2">
      <c r="A6270">
        <v>6209</v>
      </c>
      <c r="B6270" s="138">
        <f>'Acct Summary 7-8'!F82</f>
        <v>10160</v>
      </c>
      <c r="D6270" s="2" t="str">
        <f t="shared" si="96"/>
        <v>Error?</v>
      </c>
      <c r="E6270" s="2" t="s">
        <v>190</v>
      </c>
    </row>
    <row r="6271" spans="1:5" x14ac:dyDescent="0.2">
      <c r="A6271">
        <v>6210</v>
      </c>
      <c r="B6271" s="138">
        <f>'Acct Summary 7-8'!G82</f>
        <v>3448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8239</v>
      </c>
      <c r="D6273" s="2" t="str">
        <f t="shared" si="97"/>
        <v>Error?</v>
      </c>
      <c r="E6273" s="2" t="s">
        <v>190</v>
      </c>
    </row>
    <row r="6274" spans="1:5" x14ac:dyDescent="0.2">
      <c r="A6274">
        <v>6213</v>
      </c>
      <c r="B6274" s="138">
        <f>'Acct Summary 7-8'!J82</f>
        <v>10584</v>
      </c>
      <c r="D6274" s="2" t="str">
        <f t="shared" si="97"/>
        <v>Error?</v>
      </c>
      <c r="E6274" s="2" t="s">
        <v>190</v>
      </c>
    </row>
    <row r="6275" spans="1:5" x14ac:dyDescent="0.2">
      <c r="A6275">
        <v>6214</v>
      </c>
      <c r="B6275" s="138">
        <f>'Acct Summary 7-8'!K82</f>
        <v>-24590</v>
      </c>
      <c r="D6275" s="2" t="str">
        <f t="shared" si="97"/>
        <v>Error?</v>
      </c>
      <c r="E6275" s="2" t="s">
        <v>190</v>
      </c>
    </row>
    <row r="6276" spans="1:5" x14ac:dyDescent="0.2">
      <c r="A6276">
        <v>6215</v>
      </c>
      <c r="B6276" s="138">
        <f>'Acct Summary 7-8'!C83</f>
        <v>0.13077383336330148</v>
      </c>
      <c r="D6276" s="2" t="str">
        <f t="shared" si="97"/>
        <v>Error?</v>
      </c>
      <c r="E6276" s="2" t="s">
        <v>190</v>
      </c>
    </row>
    <row r="6277" spans="1:5" x14ac:dyDescent="0.2">
      <c r="A6277">
        <v>6216</v>
      </c>
      <c r="B6277" s="138">
        <f>'Acct Summary 7-8'!D83</f>
        <v>0.30555057169420474</v>
      </c>
      <c r="D6277" s="2" t="str">
        <f t="shared" si="97"/>
        <v>Error?</v>
      </c>
      <c r="E6277" s="2" t="s">
        <v>190</v>
      </c>
    </row>
    <row r="6278" spans="1:5" x14ac:dyDescent="0.2">
      <c r="A6278">
        <v>6217</v>
      </c>
      <c r="B6278" s="138">
        <f>'Acct Summary 7-8'!E83</f>
        <v>-0.41955731747604891</v>
      </c>
      <c r="D6278" s="2" t="str">
        <f t="shared" si="97"/>
        <v>Error?</v>
      </c>
      <c r="E6278" s="2" t="s">
        <v>190</v>
      </c>
    </row>
    <row r="6279" spans="1:5" x14ac:dyDescent="0.2">
      <c r="A6279">
        <v>6218</v>
      </c>
      <c r="B6279" s="138">
        <f>'Acct Summary 7-8'!F83</f>
        <v>0.15167121978891426</v>
      </c>
      <c r="D6279" s="2" t="str">
        <f t="shared" si="97"/>
        <v>Error?</v>
      </c>
      <c r="E6279" s="2" t="s">
        <v>190</v>
      </c>
    </row>
    <row r="6280" spans="1:5" x14ac:dyDescent="0.2">
      <c r="A6280">
        <v>6219</v>
      </c>
      <c r="B6280" s="138">
        <f>'Acct Summary 7-8'!G83</f>
        <v>5.9870465871403517E-2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5.0343403236056121E-2</v>
      </c>
      <c r="D6282" s="2" t="str">
        <f t="shared" si="97"/>
        <v>Error?</v>
      </c>
      <c r="E6282" s="2" t="s">
        <v>190</v>
      </c>
    </row>
    <row r="6283" spans="1:5" x14ac:dyDescent="0.2">
      <c r="A6283">
        <v>6222</v>
      </c>
      <c r="B6283" s="138">
        <f>'Acct Summary 7-8'!J83</f>
        <v>6.834560247965904E-2</v>
      </c>
      <c r="D6283" s="2" t="str">
        <f t="shared" si="97"/>
        <v>Error?</v>
      </c>
      <c r="E6283" s="2" t="s">
        <v>190</v>
      </c>
    </row>
    <row r="6284" spans="1:5" x14ac:dyDescent="0.2">
      <c r="A6284">
        <v>6223</v>
      </c>
      <c r="B6284" s="138">
        <f>'Acct Summary 7-8'!K83</f>
        <v>-0.51476899244279761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94927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94927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3801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3801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98728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88144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98728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1466</v>
      </c>
      <c r="D7093" s="2" t="str">
        <f t="shared" si="109"/>
        <v>Error?</v>
      </c>
    </row>
    <row r="7094" spans="1:4" x14ac:dyDescent="0.2">
      <c r="A7094">
        <v>7033</v>
      </c>
      <c r="B7094" s="138">
        <f>'Expenditures 15-22'!K254</f>
        <v>1466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3281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3281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11156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11156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45323</v>
      </c>
      <c r="D7172" s="2" t="str">
        <f t="shared" si="111"/>
        <v>Error?</v>
      </c>
    </row>
    <row r="7173" spans="1:4" x14ac:dyDescent="0.2">
      <c r="A7173">
        <v>7112</v>
      </c>
      <c r="B7173" s="138">
        <f>'Expenditures 15-22'!D325</f>
        <v>8301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53624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3342</v>
      </c>
      <c r="D7198" s="2" t="str">
        <f t="shared" si="111"/>
        <v>Error?</v>
      </c>
    </row>
    <row r="7199" spans="1:4" x14ac:dyDescent="0.2">
      <c r="A7199">
        <v>7138</v>
      </c>
      <c r="B7199" s="138">
        <f>'Expenditures 15-22'!C330</f>
        <v>45323</v>
      </c>
      <c r="D7199" s="2" t="str">
        <f t="shared" si="111"/>
        <v>Error?</v>
      </c>
    </row>
    <row r="7200" spans="1:4" x14ac:dyDescent="0.2">
      <c r="A7200">
        <v>7139</v>
      </c>
      <c r="B7200" s="138">
        <f>'Expenditures 15-22'!D330</f>
        <v>8301</v>
      </c>
      <c r="D7200" s="2" t="str">
        <f t="shared" si="111"/>
        <v>Error?</v>
      </c>
    </row>
    <row r="7201" spans="1:4" x14ac:dyDescent="0.2">
      <c r="A7201">
        <v>7140</v>
      </c>
      <c r="B7201" s="138">
        <f>'Expenditures 15-22'!E330</f>
        <v>34520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88144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45323</v>
      </c>
      <c r="D7216" s="2" t="str">
        <f t="shared" si="111"/>
        <v>Error?</v>
      </c>
    </row>
    <row r="7217" spans="1:4" x14ac:dyDescent="0.2">
      <c r="A7217">
        <v>7156</v>
      </c>
      <c r="B7217" s="138">
        <f>'Expenditures 15-22'!D342</f>
        <v>8301</v>
      </c>
      <c r="D7217" s="2" t="str">
        <f t="shared" si="111"/>
        <v>Error?</v>
      </c>
    </row>
    <row r="7218" spans="1:4" x14ac:dyDescent="0.2">
      <c r="A7218">
        <v>7157</v>
      </c>
      <c r="B7218" s="138">
        <f>'Expenditures 15-22'!E342</f>
        <v>34520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88144</v>
      </c>
      <c r="D7224" s="2" t="str">
        <f t="shared" si="111"/>
        <v>Error?</v>
      </c>
    </row>
    <row r="7225" spans="1:4" x14ac:dyDescent="0.2">
      <c r="A7225">
        <v>7164</v>
      </c>
      <c r="B7225" s="138">
        <f>'Expenditures 15-22'!K343</f>
        <v>10584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62809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4540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8066</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8066</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2761</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2761</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0</v>
      </c>
      <c r="D7719" s="2" t="str">
        <f t="shared" si="126"/>
        <v>Error?</v>
      </c>
      <c r="E7719" s="2" t="s">
        <v>825</v>
      </c>
    </row>
    <row r="7720" spans="1:6" x14ac:dyDescent="0.2">
      <c r="A7720">
        <v>7659</v>
      </c>
      <c r="B7720" s="138">
        <f>'Rest Tax Levies-Tort Im 25'!H14</f>
        <v>1753</v>
      </c>
      <c r="D7720" s="2" t="str">
        <f t="shared" si="126"/>
        <v>Error?</v>
      </c>
      <c r="E7720" s="2" t="s">
        <v>825</v>
      </c>
    </row>
    <row r="7721" spans="1:6" x14ac:dyDescent="0.2">
      <c r="A7721">
        <v>7660</v>
      </c>
      <c r="B7721" s="138">
        <f>'Rest Tax Levies-Tort Im 25'!K14</f>
        <v>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18800</v>
      </c>
      <c r="D7797" s="2" t="str">
        <f t="shared" si="127"/>
        <v>Error?</v>
      </c>
      <c r="E7797" s="4" t="s">
        <v>1902</v>
      </c>
    </row>
    <row r="7798" spans="1:5" x14ac:dyDescent="0.2">
      <c r="A7798">
        <v>7737</v>
      </c>
      <c r="B7798" s="138">
        <f>'Contracts Paid in CY 29'!F141</f>
        <v>18800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1189</v>
      </c>
      <c r="B2" s="2408"/>
      <c r="C2" s="2408"/>
      <c r="D2" s="2408"/>
      <c r="E2" s="2408"/>
      <c r="F2" s="2408"/>
      <c r="G2" s="2408"/>
      <c r="H2" s="2408"/>
      <c r="I2" s="2408"/>
      <c r="J2" s="2408"/>
      <c r="K2" s="2408"/>
      <c r="L2" s="2408"/>
    </row>
    <row r="3" spans="1:29" ht="13.5" customHeight="1" x14ac:dyDescent="0.2">
      <c r="A3" s="2394" t="s">
        <v>1188</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388" t="str">
        <f>COVER!A17</f>
        <v>North Wamac SD 186</v>
      </c>
      <c r="B7" s="2389"/>
      <c r="C7" s="2389"/>
      <c r="D7" s="2426"/>
      <c r="E7" s="2427">
        <f>COVER!A13</f>
        <v>13014186002</v>
      </c>
      <c r="F7" s="2428"/>
      <c r="G7" s="2395" t="str">
        <f>COVER!T23</f>
        <v>066-004976</v>
      </c>
      <c r="H7" s="2396"/>
      <c r="I7" s="2396"/>
      <c r="J7" s="2396"/>
      <c r="K7" s="2396"/>
      <c r="L7" s="2397"/>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398"/>
      <c r="B9" s="2399"/>
      <c r="C9" s="2399"/>
      <c r="D9" s="2399"/>
      <c r="E9" s="2399"/>
      <c r="F9" s="2400"/>
      <c r="G9" s="2401" t="str">
        <f>COVER!T13</f>
        <v>Glass &amp; Shuffett, Ltd.</v>
      </c>
      <c r="H9" s="2402"/>
      <c r="I9" s="2402"/>
      <c r="J9" s="2402"/>
      <c r="K9" s="2402"/>
      <c r="L9" s="2403"/>
    </row>
    <row r="10" spans="1:29" ht="13.5" customHeight="1" x14ac:dyDescent="0.2">
      <c r="A10" s="2385" t="str">
        <f>COVER!A38</f>
        <v>Brad Morris</v>
      </c>
      <c r="B10" s="2386"/>
      <c r="C10" s="2386"/>
      <c r="D10" s="2386"/>
      <c r="E10" s="2386"/>
      <c r="F10" s="2387"/>
      <c r="G10" s="2401" t="str">
        <f>COVER!T17</f>
        <v>1819 W McCord, PO Box 489</v>
      </c>
      <c r="H10" s="2414"/>
      <c r="I10" s="2414"/>
      <c r="J10" s="2414"/>
      <c r="K10" s="2414"/>
      <c r="L10" s="2415"/>
    </row>
    <row r="11" spans="1:29" ht="13.5" customHeight="1" x14ac:dyDescent="0.2">
      <c r="A11" s="1184" t="s">
        <v>1517</v>
      </c>
      <c r="B11" s="1185"/>
      <c r="C11" s="1186"/>
      <c r="D11" s="1191"/>
      <c r="E11" s="1186"/>
      <c r="F11" s="1190"/>
      <c r="G11" s="2401" t="str">
        <f>COVER!T19</f>
        <v>Centralia</v>
      </c>
      <c r="H11" s="2414"/>
      <c r="I11" s="2414"/>
      <c r="J11" s="2414"/>
      <c r="K11" s="2414"/>
      <c r="L11" s="2415"/>
    </row>
    <row r="12" spans="1:29" ht="13.5" customHeight="1" x14ac:dyDescent="0.2">
      <c r="A12" s="2419" t="s">
        <v>1516</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1518</v>
      </c>
      <c r="H13" s="2410"/>
      <c r="I13" s="2422" t="str">
        <f>COVER!T25</f>
        <v>gandscpa@sbcglobal.net</v>
      </c>
      <c r="J13" s="2423"/>
      <c r="K13" s="2423"/>
      <c r="L13" s="2424"/>
    </row>
    <row r="14" spans="1:29" ht="13.5" customHeight="1" x14ac:dyDescent="0.2">
      <c r="A14" s="2401" t="str">
        <f>COVER!A19</f>
        <v>1500 Case</v>
      </c>
      <c r="B14" s="2414"/>
      <c r="C14" s="2414"/>
      <c r="D14" s="2414"/>
      <c r="E14" s="2414"/>
      <c r="F14" s="2415"/>
      <c r="G14" s="1195" t="s">
        <v>1183</v>
      </c>
      <c r="H14" s="1193"/>
      <c r="I14" s="1193"/>
      <c r="J14" s="1193"/>
      <c r="K14" s="1193"/>
      <c r="L14" s="1194"/>
    </row>
    <row r="15" spans="1:29" ht="13.5" customHeight="1" x14ac:dyDescent="0.2">
      <c r="A15" s="2401" t="str">
        <f>COVER!A21</f>
        <v>Centralia</v>
      </c>
      <c r="B15" s="2414"/>
      <c r="C15" s="2414"/>
      <c r="D15" s="2414"/>
      <c r="E15" s="2414"/>
      <c r="F15" s="2415"/>
      <c r="G15" s="2411" t="str">
        <f>COVER!T15</f>
        <v>Douglas A. Ess, CPA</v>
      </c>
      <c r="H15" s="2412"/>
      <c r="I15" s="2412"/>
      <c r="J15" s="2412"/>
      <c r="K15" s="2412"/>
      <c r="L15" s="2413"/>
    </row>
    <row r="16" spans="1:29" ht="12.2" customHeight="1" x14ac:dyDescent="0.2">
      <c r="A16" s="2391">
        <f>COVER!A25</f>
        <v>62801</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1182</v>
      </c>
      <c r="H17" s="1193"/>
      <c r="I17" s="1193"/>
      <c r="J17" s="1193"/>
      <c r="K17" s="1197" t="s">
        <v>1181</v>
      </c>
      <c r="L17" s="1190"/>
      <c r="M17" s="1183"/>
    </row>
    <row r="18" spans="1:13" ht="12.2" customHeight="1" x14ac:dyDescent="0.2">
      <c r="A18" s="2385"/>
      <c r="B18" s="2386"/>
      <c r="C18" s="2386"/>
      <c r="D18" s="2386"/>
      <c r="E18" s="2386"/>
      <c r="F18" s="2387"/>
      <c r="G18" s="2388" t="str">
        <f>COVER!T21</f>
        <v>618-532-5683</v>
      </c>
      <c r="H18" s="2389"/>
      <c r="I18" s="2389"/>
      <c r="J18" s="2389"/>
      <c r="K18" s="2388" t="str">
        <f>COVER!X21</f>
        <v>618-532-5684</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North Wamac SD 186</v>
      </c>
      <c r="B1" s="2425"/>
      <c r="C1" s="2425"/>
      <c r="D1" s="2425"/>
    </row>
    <row r="2" spans="1:11" s="1212" customFormat="1" ht="12.75" x14ac:dyDescent="0.2">
      <c r="A2" s="2430">
        <f>'Single Audit Cover'!E7</f>
        <v>13014186002</v>
      </c>
      <c r="B2" s="2431"/>
      <c r="C2" s="2431"/>
      <c r="D2" s="2431"/>
    </row>
    <row r="3" spans="1:11" s="1212" customFormat="1" ht="12.75" x14ac:dyDescent="0.2">
      <c r="A3" s="2429" t="s">
        <v>1511</v>
      </c>
      <c r="B3" s="2425"/>
      <c r="C3" s="2425"/>
      <c r="D3" s="2425"/>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North Wamac SD 186</v>
      </c>
      <c r="B1" s="2433"/>
      <c r="C1" s="2433"/>
      <c r="D1" s="2433"/>
      <c r="E1" s="2433"/>
    </row>
    <row r="2" spans="1:5" x14ac:dyDescent="0.2">
      <c r="A2" s="2434">
        <f>'Single Audit Cover'!E7</f>
        <v>13014186002</v>
      </c>
      <c r="B2" s="2434"/>
      <c r="C2" s="2434"/>
      <c r="D2" s="2434"/>
      <c r="E2" s="2434"/>
    </row>
    <row r="3" spans="1:5" ht="4.5" customHeight="1" x14ac:dyDescent="0.2"/>
    <row r="4" spans="1:5" x14ac:dyDescent="0.2">
      <c r="A4" s="2433" t="s">
        <v>1243</v>
      </c>
      <c r="B4" s="2433"/>
      <c r="C4" s="2433"/>
      <c r="D4" s="2433"/>
      <c r="E4" s="2433"/>
    </row>
    <row r="5" spans="1:5" x14ac:dyDescent="0.2">
      <c r="A5" s="2436" t="str">
        <f>'Single Audit Cover'!A4</f>
        <v>Year Ending June 30, 2019</v>
      </c>
      <c r="B5" s="2436"/>
      <c r="C5" s="2436"/>
      <c r="D5" s="2436"/>
      <c r="E5" s="2436"/>
    </row>
    <row r="6" spans="1:5" x14ac:dyDescent="0.2">
      <c r="A6" s="2433" t="s">
        <v>1242</v>
      </c>
      <c r="B6" s="2433"/>
      <c r="C6" s="2433"/>
      <c r="D6" s="2433"/>
      <c r="E6" s="2433"/>
    </row>
    <row r="8" spans="1:5" x14ac:dyDescent="0.2">
      <c r="A8" s="1257" t="s">
        <v>1241</v>
      </c>
    </row>
    <row r="10" spans="1:5" x14ac:dyDescent="0.2">
      <c r="A10" s="1258" t="s">
        <v>1240</v>
      </c>
      <c r="B10" s="1259" t="s">
        <v>1239</v>
      </c>
      <c r="C10" s="1259"/>
      <c r="D10" s="1260">
        <f>SUM('Acct Summary 7-8'!C7:K7)</f>
        <v>207042</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7794</v>
      </c>
    </row>
    <row r="15" spans="1:5" x14ac:dyDescent="0.2">
      <c r="A15" s="1258"/>
      <c r="B15" s="1259"/>
      <c r="C15" s="1259"/>
    </row>
    <row r="16" spans="1:5" x14ac:dyDescent="0.2">
      <c r="A16" s="1258" t="s">
        <v>1842</v>
      </c>
      <c r="B16" s="1259"/>
      <c r="C16" s="1259"/>
    </row>
    <row r="17" spans="1:4" x14ac:dyDescent="0.2">
      <c r="A17" s="1258" t="s">
        <v>2059</v>
      </c>
      <c r="B17" s="1259" t="s">
        <v>1234</v>
      </c>
      <c r="C17" s="1259"/>
      <c r="D17" s="1261">
        <f>-SUM('Revenues 9-14'!C264:D264,'Revenues 9-14'!F264:G264)</f>
        <v>0</v>
      </c>
    </row>
    <row r="19" spans="1:4" ht="13.5" thickBot="1" x14ac:dyDescent="0.25">
      <c r="A19" s="1262" t="s">
        <v>1233</v>
      </c>
      <c r="D19" s="1263">
        <f>SUM(D10:D17)</f>
        <v>214836</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1231</v>
      </c>
      <c r="D32" s="1260">
        <f>SUM(D19:D30)</f>
        <v>214836</v>
      </c>
    </row>
    <row r="33" spans="1:4" x14ac:dyDescent="0.2">
      <c r="D33" s="1266"/>
    </row>
    <row r="34" spans="1:4" x14ac:dyDescent="0.2">
      <c r="A34" s="317" t="s">
        <v>1230</v>
      </c>
    </row>
    <row r="35" spans="1:4" x14ac:dyDescent="0.2">
      <c r="A35" s="317" t="s">
        <v>1229</v>
      </c>
      <c r="B35" s="1255" t="s">
        <v>1228</v>
      </c>
      <c r="D35" s="1267"/>
    </row>
    <row r="37" spans="1:4" x14ac:dyDescent="0.2">
      <c r="A37" s="1257" t="s">
        <v>1227</v>
      </c>
    </row>
    <row r="39" spans="1:4" ht="13.35" customHeight="1" x14ac:dyDescent="0.2">
      <c r="A39" s="1264" t="s">
        <v>1226</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1225</v>
      </c>
      <c r="C47" s="1269"/>
      <c r="D47" s="1270">
        <f>SUM(D35:D45)</f>
        <v>0</v>
      </c>
    </row>
    <row r="49" spans="2:4" x14ac:dyDescent="0.2">
      <c r="B49" s="1269" t="s">
        <v>1224</v>
      </c>
      <c r="C49" s="1269"/>
      <c r="D49" s="1270">
        <f>D32-D47</f>
        <v>214836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North Wamac SD 186</v>
      </c>
      <c r="C1" s="2437"/>
      <c r="D1" s="2437"/>
      <c r="E1" s="2437"/>
      <c r="F1" s="2437"/>
      <c r="G1" s="2437"/>
      <c r="H1" s="2437"/>
      <c r="I1" s="2437"/>
      <c r="J1" s="2437"/>
      <c r="K1" s="2437"/>
      <c r="L1" s="2437"/>
      <c r="M1" s="2437"/>
    </row>
    <row r="2" spans="2:14" ht="15" x14ac:dyDescent="0.2">
      <c r="B2" s="2438">
        <f>'Single Audit Cover'!E7</f>
        <v>13014186002</v>
      </c>
      <c r="C2" s="2438"/>
      <c r="D2" s="2438"/>
      <c r="E2" s="2438"/>
      <c r="F2" s="2438"/>
      <c r="G2" s="2438"/>
      <c r="H2" s="2438"/>
      <c r="I2" s="2438"/>
      <c r="J2" s="2438"/>
      <c r="K2" s="2438"/>
      <c r="L2" s="2438"/>
      <c r="M2" s="2438"/>
      <c r="N2" s="1299"/>
    </row>
    <row r="3" spans="2:14" ht="15" x14ac:dyDescent="0.2">
      <c r="B3" s="2439" t="s">
        <v>1217</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1263</v>
      </c>
      <c r="E6" s="1303" t="s">
        <v>525</v>
      </c>
      <c r="F6" s="1304"/>
      <c r="G6" s="1305" t="s">
        <v>1732</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1837</v>
      </c>
      <c r="I8" s="1316" t="s">
        <v>1260</v>
      </c>
      <c r="J8" s="1315" t="s">
        <v>1988</v>
      </c>
      <c r="K8" s="1316" t="s">
        <v>1259</v>
      </c>
      <c r="L8" s="1317" t="s">
        <v>1255</v>
      </c>
      <c r="M8" s="1318" t="s">
        <v>30</v>
      </c>
    </row>
    <row r="9" spans="2:14" ht="14.25" x14ac:dyDescent="0.2">
      <c r="B9" s="1322" t="s">
        <v>1257</v>
      </c>
      <c r="C9" s="1310" t="s">
        <v>1733</v>
      </c>
      <c r="D9" s="1311" t="s">
        <v>1734</v>
      </c>
      <c r="E9" s="1319" t="s">
        <v>1837</v>
      </c>
      <c r="F9" s="1320" t="s">
        <v>1988</v>
      </c>
      <c r="G9" s="1321" t="s">
        <v>1837</v>
      </c>
      <c r="H9" s="1314" t="s">
        <v>1580</v>
      </c>
      <c r="I9" s="1316" t="s">
        <v>1988</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1167</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North Wamac SD 186</v>
      </c>
      <c r="B1" s="2442"/>
      <c r="C1" s="2442"/>
      <c r="D1" s="2442"/>
      <c r="E1" s="2442"/>
      <c r="F1" s="2442"/>
    </row>
    <row r="2" spans="1:7" ht="13.5" customHeight="1" x14ac:dyDescent="0.2">
      <c r="A2" s="2438">
        <f>'Single Audit Cover'!E7</f>
        <v>13014186002</v>
      </c>
      <c r="B2" s="2438"/>
      <c r="C2" s="2438"/>
      <c r="D2" s="2438"/>
      <c r="E2" s="2438"/>
      <c r="F2" s="2438"/>
      <c r="G2" s="1272"/>
    </row>
    <row r="3" spans="1:7" ht="15.75" customHeight="1" x14ac:dyDescent="0.2">
      <c r="A3" s="2443" t="s">
        <v>1269</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1726</v>
      </c>
      <c r="C6" s="317"/>
      <c r="D6" s="317"/>
    </row>
    <row r="7" spans="1:7" ht="60.95" customHeight="1" x14ac:dyDescent="0.2">
      <c r="A7" s="2441" t="s">
        <v>1727</v>
      </c>
      <c r="B7" s="2441"/>
      <c r="C7" s="2441"/>
      <c r="D7" s="2441"/>
      <c r="E7" s="2441"/>
      <c r="F7" s="2441"/>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1545</v>
      </c>
      <c r="B10" s="1277"/>
      <c r="C10" s="1278"/>
      <c r="D10" s="1277" t="s">
        <v>1546</v>
      </c>
      <c r="E10" s="1278"/>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41" t="s">
        <v>1729</v>
      </c>
      <c r="B13" s="2441"/>
      <c r="C13" s="2441"/>
      <c r="D13" s="2441"/>
      <c r="E13" s="2441"/>
      <c r="F13" s="2441"/>
    </row>
    <row r="14" spans="1:7" ht="9.75" customHeight="1" x14ac:dyDescent="0.2">
      <c r="C14" s="1257"/>
      <c r="D14" s="1257"/>
    </row>
    <row r="15" spans="1:7" ht="13.5" customHeight="1" x14ac:dyDescent="0.2">
      <c r="C15" s="1846" t="s">
        <v>1268</v>
      </c>
      <c r="D15" s="2446" t="s">
        <v>1267</v>
      </c>
      <c r="E15" s="2446"/>
      <c r="F15" s="2446"/>
    </row>
    <row r="16" spans="1:7" ht="13.5" customHeight="1" x14ac:dyDescent="0.2">
      <c r="A16" s="1279"/>
      <c r="B16" s="1273" t="s">
        <v>1266</v>
      </c>
      <c r="C16" s="1846" t="s">
        <v>1265</v>
      </c>
      <c r="D16" s="2447" t="s">
        <v>1586</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9" t="s">
        <v>1730</v>
      </c>
      <c r="B32" s="2449"/>
      <c r="C32" s="2449"/>
      <c r="D32" s="2449"/>
      <c r="E32" s="2449"/>
      <c r="F32" s="2449"/>
    </row>
    <row r="33" spans="1:6" ht="13.5" customHeight="1" x14ac:dyDescent="0.2">
      <c r="A33" s="328" t="s">
        <v>1432</v>
      </c>
      <c r="B33" s="328"/>
      <c r="C33" s="1285">
        <v>0</v>
      </c>
      <c r="D33" s="1903"/>
      <c r="E33" s="1283"/>
    </row>
    <row r="34" spans="1:6" ht="13.5" customHeight="1" x14ac:dyDescent="0.2">
      <c r="A34" s="328" t="s">
        <v>1836</v>
      </c>
      <c r="B34" s="328"/>
      <c r="C34" s="1286">
        <v>0</v>
      </c>
      <c r="D34" s="1903" t="s">
        <v>1587</v>
      </c>
      <c r="E34" s="2450">
        <f>+C33+C34</f>
        <v>0</v>
      </c>
      <c r="F34" s="2451"/>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c r="D38" s="1903"/>
      <c r="E38" s="1283"/>
    </row>
    <row r="39" spans="1:6" ht="14.25" customHeight="1" x14ac:dyDescent="0.2">
      <c r="A39" s="328"/>
      <c r="B39" s="328" t="s">
        <v>1434</v>
      </c>
      <c r="C39" s="1289"/>
      <c r="D39" s="1903"/>
      <c r="E39" s="1283"/>
    </row>
    <row r="40" spans="1:6" ht="14.25" customHeight="1" x14ac:dyDescent="0.2">
      <c r="A40" s="328"/>
      <c r="B40" s="328" t="s">
        <v>1435</v>
      </c>
      <c r="C40" s="1289"/>
      <c r="D40" s="1903"/>
      <c r="E40" s="1283"/>
    </row>
    <row r="41" spans="1:6" ht="14.25" customHeight="1" x14ac:dyDescent="0.2">
      <c r="A41" s="328"/>
      <c r="B41" s="328" t="s">
        <v>1436</v>
      </c>
      <c r="C41" s="1289"/>
      <c r="D41" s="1903"/>
      <c r="E41" s="1283"/>
    </row>
    <row r="42" spans="1:6" ht="14.25" customHeight="1" x14ac:dyDescent="0.2">
      <c r="A42" s="328" t="s">
        <v>1437</v>
      </c>
      <c r="B42" s="328"/>
      <c r="C42" s="1901"/>
      <c r="D42" s="1903"/>
      <c r="E42" s="1283"/>
    </row>
    <row r="43" spans="1:6" ht="14.25" customHeight="1" x14ac:dyDescent="0.2">
      <c r="A43" s="328" t="s">
        <v>1438</v>
      </c>
      <c r="B43" s="328"/>
      <c r="C43" s="1290"/>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1588</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1549</v>
      </c>
      <c r="C51" s="2448"/>
      <c r="D51" s="2448"/>
    </row>
    <row r="52" spans="1:5" ht="14.25" customHeight="1" x14ac:dyDescent="0.2">
      <c r="A52" s="1298"/>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1166</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2" t="s">
        <v>1631</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311</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1321</v>
      </c>
      <c r="B70" s="2075"/>
      <c r="C70" s="2075"/>
      <c r="D70" s="2075"/>
      <c r="E70" s="2076"/>
      <c r="F70" s="2076"/>
      <c r="G70" s="2076"/>
      <c r="H70" s="2076"/>
      <c r="I70" s="2076"/>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1318</v>
      </c>
      <c r="B83" s="2077"/>
      <c r="C83" s="2077"/>
      <c r="D83" s="2078"/>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2062</v>
      </c>
      <c r="D114" s="2068"/>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1328</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fitToHeight="0"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North Wamac SD 186</v>
      </c>
      <c r="C1" s="2458"/>
      <c r="D1" s="2458"/>
      <c r="E1" s="2458"/>
      <c r="F1" s="2458"/>
      <c r="G1" s="2458"/>
      <c r="H1" s="2458"/>
      <c r="I1" s="2458"/>
      <c r="J1" s="1406"/>
    </row>
    <row r="2" spans="2:10" s="317" customFormat="1" ht="12.75" customHeight="1" x14ac:dyDescent="0.2">
      <c r="B2" s="2459">
        <f>'Single Audit Cover'!E7</f>
        <v>13014186002</v>
      </c>
      <c r="C2" s="2460"/>
      <c r="D2" s="2460"/>
      <c r="E2" s="2460"/>
      <c r="F2" s="2460"/>
      <c r="G2" s="2460"/>
      <c r="H2" s="2460"/>
      <c r="I2" s="2460"/>
      <c r="J2" s="1406"/>
    </row>
    <row r="3" spans="2:10" s="317" customFormat="1" ht="12.75" customHeight="1" x14ac:dyDescent="0.2">
      <c r="B3" s="2461" t="s">
        <v>1283</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1282</v>
      </c>
      <c r="C7" s="2462"/>
      <c r="D7" s="2462"/>
      <c r="E7" s="2462"/>
      <c r="F7" s="2462"/>
      <c r="G7" s="2462"/>
      <c r="H7" s="2462"/>
      <c r="I7" s="2462"/>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63"/>
      <c r="D11" s="2463"/>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64"/>
      <c r="E29" s="2464"/>
      <c r="F29" s="2464"/>
      <c r="G29" s="2464"/>
      <c r="H29" s="2464"/>
      <c r="I29" s="2464"/>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5" t="s">
        <v>1749</v>
      </c>
      <c r="D37" s="2466"/>
      <c r="E37" s="2466"/>
      <c r="F37" s="2467"/>
      <c r="G37" s="2465" t="s">
        <v>1590</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1591</v>
      </c>
      <c r="D43" s="2472"/>
      <c r="E43" s="2472"/>
      <c r="F43" s="2473"/>
      <c r="G43" s="2474">
        <f>SUM(G38:I42)</f>
        <v>0</v>
      </c>
      <c r="H43" s="2474"/>
      <c r="I43" s="2474"/>
    </row>
    <row r="44" spans="2:9" ht="12.75" customHeight="1" x14ac:dyDescent="0.2"/>
    <row r="45" spans="2:9" ht="12.75" customHeight="1" x14ac:dyDescent="0.2">
      <c r="B45" s="1419" t="s">
        <v>1839</v>
      </c>
      <c r="D45" s="2475">
        <v>0</v>
      </c>
      <c r="E45" s="2476"/>
    </row>
    <row r="46" spans="2:9" ht="5.25" customHeight="1" x14ac:dyDescent="0.2">
      <c r="B46" s="1429"/>
      <c r="D46" s="1430"/>
      <c r="E46" s="1431"/>
    </row>
    <row r="47" spans="2:9" ht="12.75" customHeight="1" x14ac:dyDescent="0.2">
      <c r="B47" s="1297" t="s">
        <v>1592</v>
      </c>
      <c r="C47" s="1297"/>
      <c r="D47" s="1432" t="e">
        <f>+G43/D45</f>
        <v>#DIV/0!</v>
      </c>
      <c r="E47" s="1433"/>
      <c r="F47" s="1434"/>
      <c r="I47" s="1435"/>
    </row>
    <row r="48" spans="2:9" ht="9.9499999999999993" customHeight="1" x14ac:dyDescent="0.2"/>
    <row r="49" spans="1:9" x14ac:dyDescent="0.2">
      <c r="B49" s="1365" t="s">
        <v>1271</v>
      </c>
      <c r="C49" s="1279"/>
      <c r="D49" s="1279"/>
      <c r="E49" s="2477"/>
      <c r="F49" s="2477"/>
      <c r="G49" s="2477"/>
      <c r="H49" s="322"/>
    </row>
    <row r="51" spans="1:9" ht="13.5" customHeight="1" x14ac:dyDescent="0.2">
      <c r="B51" s="1365" t="s">
        <v>1270</v>
      </c>
      <c r="C51" s="1279"/>
      <c r="E51" s="1422"/>
      <c r="F51" s="1297" t="s">
        <v>883</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1595</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North Wamac SD 186</v>
      </c>
      <c r="C1" s="2457"/>
      <c r="D1" s="2457"/>
      <c r="E1" s="2457"/>
      <c r="F1" s="2457"/>
      <c r="G1" s="2457"/>
      <c r="H1" s="2457"/>
      <c r="I1" s="2457"/>
      <c r="J1" s="2457"/>
      <c r="K1" s="2457"/>
      <c r="L1" s="1371"/>
      <c r="M1" s="1371"/>
    </row>
    <row r="2" spans="1:13" ht="12" customHeight="1" x14ac:dyDescent="0.2">
      <c r="B2" s="2459">
        <f>'Single Audit Cover'!E7</f>
        <v>13014186002</v>
      </c>
      <c r="C2" s="2459"/>
      <c r="D2" s="2459"/>
      <c r="E2" s="2459"/>
      <c r="F2" s="2459"/>
      <c r="G2" s="2459"/>
      <c r="H2" s="2459"/>
      <c r="I2" s="2459"/>
      <c r="J2" s="2459"/>
      <c r="K2" s="2459"/>
      <c r="L2" s="1372"/>
      <c r="M2" s="1373"/>
    </row>
    <row r="3" spans="1:13" ht="10.35" customHeight="1" x14ac:dyDescent="0.2">
      <c r="B3" s="2480" t="s">
        <v>1283</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1294</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1284</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North Wamac SD 186</v>
      </c>
      <c r="C1" s="2484"/>
      <c r="D1" s="2484"/>
      <c r="E1" s="2484"/>
      <c r="F1" s="2484"/>
      <c r="G1" s="2484"/>
      <c r="H1" s="2484"/>
      <c r="I1" s="2484"/>
      <c r="J1" s="2484"/>
      <c r="K1" s="2484"/>
      <c r="L1" s="1449"/>
    </row>
    <row r="2" spans="1:12" ht="12.75" customHeight="1" x14ac:dyDescent="0.2">
      <c r="B2" s="2485">
        <f>'Single Audit Cover'!E7</f>
        <v>13014186002</v>
      </c>
      <c r="C2" s="2485"/>
      <c r="D2" s="2485"/>
      <c r="E2" s="2485"/>
      <c r="F2" s="2485"/>
      <c r="G2" s="2485"/>
      <c r="H2" s="2485"/>
      <c r="I2" s="2485"/>
      <c r="J2" s="2485"/>
      <c r="K2" s="2485"/>
      <c r="L2" s="1450"/>
    </row>
    <row r="3" spans="1:12" ht="12.75" customHeight="1" x14ac:dyDescent="0.2">
      <c r="B3" s="2480" t="s">
        <v>1283</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1167</v>
      </c>
      <c r="C5" s="1257"/>
      <c r="L5" s="322"/>
    </row>
    <row r="6" spans="1:12" ht="30.75" customHeight="1" x14ac:dyDescent="0.2">
      <c r="A6" s="322"/>
      <c r="B6" s="2486" t="s">
        <v>1306</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7"/>
      <c r="E14" s="2487"/>
      <c r="F14" s="2487"/>
      <c r="H14" s="1459" t="s">
        <v>1301</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8"/>
      <c r="E16" s="2488"/>
      <c r="F16" s="2488"/>
      <c r="G16" s="2488"/>
      <c r="H16" s="2488"/>
      <c r="I16" s="2488"/>
      <c r="J16" s="2488"/>
      <c r="K16" s="2488"/>
      <c r="L16" s="322"/>
    </row>
    <row r="17" spans="2:12" ht="13.5" customHeight="1" x14ac:dyDescent="0.2">
      <c r="B17" s="1384" t="s">
        <v>1299</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North Wamac SD 186</v>
      </c>
      <c r="C1" s="2457"/>
      <c r="D1" s="2457"/>
      <c r="E1" s="1469"/>
    </row>
    <row r="2" spans="2:5" s="1279" customFormat="1" ht="12.75" customHeight="1" x14ac:dyDescent="0.2">
      <c r="B2" s="2459">
        <f>'Single Audit Cover'!E7</f>
        <v>13014186002</v>
      </c>
      <c r="C2" s="2459"/>
      <c r="D2" s="2459"/>
      <c r="E2" s="1470"/>
    </row>
    <row r="3" spans="2:5" ht="12.75" customHeight="1" x14ac:dyDescent="0.2">
      <c r="B3" s="2480" t="s">
        <v>1764</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1765</v>
      </c>
      <c r="C5" s="328"/>
      <c r="D5" s="328"/>
      <c r="E5" s="328"/>
    </row>
    <row r="6" spans="2:5" s="1279" customFormat="1" ht="13.5" customHeight="1" x14ac:dyDescent="0.2">
      <c r="B6" s="1473" t="s">
        <v>1313</v>
      </c>
      <c r="C6" s="1473" t="s">
        <v>1312</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1767</v>
      </c>
    </row>
    <row r="46" spans="2:5" ht="12.2" customHeight="1" x14ac:dyDescent="0.2">
      <c r="B46" s="1483" t="s">
        <v>1768</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D43" sqref="D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384</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v>9713424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1.42837E-2</v>
      </c>
      <c r="E10" s="356" t="s">
        <v>1003</v>
      </c>
      <c r="F10" s="355">
        <v>2.3806000000000001E-3</v>
      </c>
      <c r="G10" s="356" t="s">
        <v>1003</v>
      </c>
      <c r="H10" s="355">
        <v>1.1427E-3</v>
      </c>
      <c r="I10" s="356" t="s">
        <v>1004</v>
      </c>
      <c r="J10" s="1732">
        <f>ROUND(D10+F10+H10,5)</f>
        <v>1.7809999999999999E-2</v>
      </c>
      <c r="K10" s="222"/>
      <c r="L10" s="355">
        <v>4.7610000000000003E-4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1529595</v>
      </c>
      <c r="E16" s="356"/>
      <c r="F16" s="1733">
        <f>SUM('Acct Summary 7-8'!C17,'Acct Summary 7-8'!D17,'Acct Summary 7-8'!F17)</f>
        <v>1242900</v>
      </c>
      <c r="G16" s="356"/>
      <c r="H16" s="1733">
        <f>SUM(D16-F16)</f>
        <v>286695</v>
      </c>
      <c r="I16" s="222"/>
      <c r="J16" s="1733">
        <f>SUM('Acct Summary 7-8'!C81,'Acct Summary 7-8'!D81,'Acct Summary 7-8'!F81,'Acct Summary 7-8'!I81)</f>
        <v>2566589</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584</v>
      </c>
      <c r="D31" s="237" t="s">
        <v>1070</v>
      </c>
      <c r="E31" s="222"/>
      <c r="F31" s="222"/>
      <c r="G31" s="363"/>
      <c r="H31" s="1735">
        <f>IF(B31="X",(J7*0.069),IF(B32="X",(J7*0.138),"Enter x in a.or b."))</f>
        <v>670226.25600000005</v>
      </c>
      <c r="I31" s="368"/>
      <c r="J31" s="222"/>
      <c r="K31" s="222"/>
      <c r="L31" s="222"/>
      <c r="M31" s="222"/>
    </row>
    <row r="32" spans="1:13" ht="13.35" customHeight="1" x14ac:dyDescent="0.2">
      <c r="B32" s="369"/>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248298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554</v>
      </c>
      <c r="B2" s="2107"/>
      <c r="C2" s="2107"/>
      <c r="D2" s="2107"/>
      <c r="E2" s="2107"/>
      <c r="F2" s="2107"/>
      <c r="G2" s="2107"/>
      <c r="H2" s="2107"/>
      <c r="I2" s="2107"/>
      <c r="J2" s="2107"/>
      <c r="K2" s="2107"/>
      <c r="L2" s="2107"/>
      <c r="M2" s="2107"/>
      <c r="N2" s="2107"/>
      <c r="O2" s="2107"/>
      <c r="P2" s="2107"/>
      <c r="Q2" s="2107"/>
      <c r="R2" s="2107"/>
    </row>
    <row r="3" spans="1:18" ht="12.75" x14ac:dyDescent="0.2">
      <c r="A3" s="2108" t="s">
        <v>1411</v>
      </c>
      <c r="B3" s="2108"/>
      <c r="C3" s="2108"/>
      <c r="D3" s="2108"/>
      <c r="E3" s="2108"/>
      <c r="F3" s="2108"/>
      <c r="G3" s="2108"/>
      <c r="H3" s="2108"/>
      <c r="I3" s="2108"/>
      <c r="J3" s="2108"/>
      <c r="K3" s="2108"/>
      <c r="L3" s="2108"/>
      <c r="M3" s="2108"/>
      <c r="N3" s="2108"/>
      <c r="O3" s="2108"/>
      <c r="P3" s="2108"/>
      <c r="Q3" s="2108"/>
      <c r="R3" s="2108"/>
    </row>
    <row r="4" spans="1:18" x14ac:dyDescent="0.2">
      <c r="A4" s="2109" t="s">
        <v>1552</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North Wamac SD 186</v>
      </c>
      <c r="E7" s="391"/>
      <c r="G7" s="252"/>
      <c r="H7" s="387"/>
      <c r="I7" s="387"/>
      <c r="J7" s="387"/>
      <c r="K7" s="387"/>
      <c r="L7" s="329"/>
      <c r="M7" s="329"/>
      <c r="N7" s="329"/>
      <c r="O7" s="329"/>
      <c r="P7" s="329"/>
    </row>
    <row r="8" spans="1:18" ht="12.75" x14ac:dyDescent="0.2">
      <c r="A8" s="329"/>
      <c r="B8" s="329"/>
      <c r="C8" s="389" t="s">
        <v>1123</v>
      </c>
      <c r="D8" s="392">
        <f>COVER!A13</f>
        <v>13014186002</v>
      </c>
      <c r="E8" s="393"/>
      <c r="G8" s="329"/>
      <c r="H8" s="329"/>
      <c r="I8" s="329"/>
      <c r="J8" s="329"/>
      <c r="K8" s="329"/>
      <c r="L8" s="329"/>
      <c r="M8" s="329"/>
      <c r="N8" s="329"/>
      <c r="O8" s="329"/>
      <c r="P8" s="329"/>
    </row>
    <row r="9" spans="1:18" ht="12.75" x14ac:dyDescent="0.2">
      <c r="A9" s="329"/>
      <c r="B9" s="329"/>
      <c r="C9" s="389" t="s">
        <v>711</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2566589</v>
      </c>
      <c r="I12" s="404"/>
      <c r="J12" s="404"/>
      <c r="K12" s="405">
        <f>TRUNC((H12/H13*100000),5)/100000</f>
        <v>1.6779533144000001</v>
      </c>
      <c r="L12" s="406"/>
      <c r="M12" s="360" t="s">
        <v>1142</v>
      </c>
      <c r="N12" s="360"/>
      <c r="O12" s="407">
        <v>0.35</v>
      </c>
      <c r="P12" s="218"/>
      <c r="Q12" s="218"/>
    </row>
    <row r="13" spans="1:18" s="408" customFormat="1" ht="12.75" x14ac:dyDescent="0.2">
      <c r="A13" s="218"/>
      <c r="B13" s="401"/>
      <c r="C13" s="2105" t="s">
        <v>1322</v>
      </c>
      <c r="D13" s="2106"/>
      <c r="E13" s="218"/>
      <c r="F13" s="409" t="s">
        <v>791</v>
      </c>
      <c r="G13" s="402"/>
      <c r="H13" s="403">
        <f>SUM('Acct Summary 7-8'!C8+'Acct Summary 7-8'!D8+'Acct Summary 7-8'!F8+'Acct Summary 7-8'!I8)+H14</f>
        <v>1529595</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1242900</v>
      </c>
      <c r="I17" s="404"/>
      <c r="J17" s="416"/>
      <c r="K17" s="405">
        <f>TRUNC((H17/H18*100000),5)/100000</f>
        <v>0.8125680327</v>
      </c>
      <c r="L17" s="406"/>
      <c r="M17" s="417" t="s">
        <v>1169</v>
      </c>
      <c r="O17" s="418" t="str">
        <f>IF(AND(O16="2", J20 &gt; 2),"1",IF(AND(O16 = "1", J20 &gt; 2),"2",IF(AND(O16="1", J20 &gt;1),"1","0")))</f>
        <v>0</v>
      </c>
      <c r="P17" s="218"/>
    </row>
    <row r="18" spans="1:18" s="408" customFormat="1" ht="11.25" x14ac:dyDescent="0.2">
      <c r="A18" s="218"/>
      <c r="B18" s="401"/>
      <c r="C18" s="2105" t="s">
        <v>1315</v>
      </c>
      <c r="D18" s="2106"/>
      <c r="E18" s="218"/>
      <c r="F18" s="419" t="s">
        <v>792</v>
      </c>
      <c r="G18" s="402"/>
      <c r="H18" s="403">
        <f>SUM('Acct Summary 7-8'!C8+'Acct Summary 7-8'!D8+'Acct Summary 7-8'!F8+'Acct Summary 7-8'!I8)+H19</f>
        <v>1529595</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2" t="s">
        <v>1410</v>
      </c>
      <c r="D24" s="2102"/>
      <c r="E24" s="218"/>
      <c r="F24" s="218" t="s">
        <v>443</v>
      </c>
      <c r="G24" s="402"/>
      <c r="H24" s="403">
        <f>SUM('Assets-Liab 5-6'!C4+'Assets-Liab 5-6'!D4+'Assets-Liab 5-6'!F4+'Assets-Liab 5-6'!I4+'Assets-Liab 5-6'!C5+'Assets-Liab 5-6'!D5+'Assets-Liab 5-6'!F5+'Assets-Liab 5-6'!I5)</f>
        <v>2566589</v>
      </c>
      <c r="I24" s="422"/>
      <c r="J24" s="422"/>
      <c r="K24" s="423">
        <f>TRUNC(((H24/H25*100000)/100000),2)</f>
        <v>743.4</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3452.5</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147046.66922000001</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3</v>
      </c>
      <c r="P31" s="216"/>
    </row>
    <row r="32" spans="1:18" s="408" customFormat="1" ht="11.25" x14ac:dyDescent="0.2">
      <c r="A32" s="218"/>
      <c r="B32" s="401"/>
      <c r="C32" s="218" t="s">
        <v>845</v>
      </c>
      <c r="D32" s="218"/>
      <c r="E32" s="218"/>
      <c r="F32" s="218"/>
      <c r="G32" s="402"/>
      <c r="H32" s="403">
        <f>'FP Info 3'!H37</f>
        <v>248298</v>
      </c>
      <c r="I32" s="420"/>
      <c r="J32" s="420"/>
      <c r="K32" s="423">
        <f>TRUNC(100-((((H32/H33*100))*100)/100),2)</f>
        <v>62.95</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670226.25600000005</v>
      </c>
      <c r="I33" s="420"/>
      <c r="J33" s="420"/>
      <c r="K33" s="403"/>
      <c r="L33" s="218"/>
      <c r="M33" s="435" t="s">
        <v>1143</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3" colorId="8" zoomScale="110" zoomScaleNormal="110" workbookViewId="0">
      <selection activeCell="D43" sqref="D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1"/>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2" t="s">
        <v>971</v>
      </c>
      <c r="B3" s="2113"/>
      <c r="C3" s="1559"/>
      <c r="D3" s="1560"/>
      <c r="E3" s="1560"/>
      <c r="F3" s="1560"/>
      <c r="G3" s="1560"/>
      <c r="H3" s="1560"/>
      <c r="I3" s="1560"/>
      <c r="J3" s="1560"/>
      <c r="K3" s="1560"/>
      <c r="L3" s="1560"/>
      <c r="M3" s="1561"/>
      <c r="N3" s="1562"/>
    </row>
    <row r="4" spans="1:14" ht="13.5" customHeight="1" x14ac:dyDescent="0.2">
      <c r="A4" s="463" t="s">
        <v>1649</v>
      </c>
      <c r="B4" s="464"/>
      <c r="C4" s="465">
        <f>2000+2264614+4426+2887+710</f>
        <v>2274637</v>
      </c>
      <c r="D4" s="466">
        <v>61309</v>
      </c>
      <c r="E4" s="466">
        <v>3027</v>
      </c>
      <c r="F4" s="466">
        <v>66987</v>
      </c>
      <c r="G4" s="466">
        <v>57591</v>
      </c>
      <c r="H4" s="466"/>
      <c r="I4" s="466">
        <v>163656</v>
      </c>
      <c r="J4" s="467">
        <v>154860</v>
      </c>
      <c r="K4" s="466">
        <v>47769</v>
      </c>
      <c r="L4" s="466">
        <v>9682</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2274637</v>
      </c>
      <c r="D13" s="1737">
        <f t="shared" ref="D13:L13" si="0">SUM(D4:D12)</f>
        <v>61309</v>
      </c>
      <c r="E13" s="1737">
        <f t="shared" si="0"/>
        <v>3027</v>
      </c>
      <c r="F13" s="1737">
        <f t="shared" si="0"/>
        <v>66987</v>
      </c>
      <c r="G13" s="1737">
        <f t="shared" si="0"/>
        <v>57591</v>
      </c>
      <c r="H13" s="1737">
        <f t="shared" si="0"/>
        <v>0</v>
      </c>
      <c r="I13" s="1737">
        <f t="shared" si="0"/>
        <v>163656</v>
      </c>
      <c r="J13" s="1737">
        <f t="shared" si="0"/>
        <v>154860</v>
      </c>
      <c r="K13" s="1737">
        <f t="shared" si="0"/>
        <v>47769</v>
      </c>
      <c r="L13" s="1737">
        <f t="shared" si="0"/>
        <v>9682</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8325</v>
      </c>
      <c r="N16" s="484"/>
    </row>
    <row r="17" spans="1:14" s="485" customFormat="1" ht="12.75" customHeight="1" x14ac:dyDescent="0.2">
      <c r="A17" s="482" t="s">
        <v>1401</v>
      </c>
      <c r="B17" s="483">
        <v>230</v>
      </c>
      <c r="C17" s="477"/>
      <c r="D17" s="477"/>
      <c r="E17" s="477"/>
      <c r="F17" s="477"/>
      <c r="G17" s="477"/>
      <c r="H17" s="477"/>
      <c r="I17" s="477"/>
      <c r="J17" s="477"/>
      <c r="K17" s="477"/>
      <c r="L17" s="477"/>
      <c r="M17" s="467">
        <v>1103283</v>
      </c>
      <c r="N17" s="484"/>
    </row>
    <row r="18" spans="1:14" s="485" customFormat="1" ht="12.75" customHeight="1" x14ac:dyDescent="0.2">
      <c r="A18" s="482" t="s">
        <v>1402</v>
      </c>
      <c r="B18" s="483">
        <v>240</v>
      </c>
      <c r="C18" s="477"/>
      <c r="D18" s="477"/>
      <c r="E18" s="477"/>
      <c r="F18" s="477"/>
      <c r="G18" s="477"/>
      <c r="H18" s="477"/>
      <c r="I18" s="477"/>
      <c r="J18" s="477"/>
      <c r="K18" s="477"/>
      <c r="L18" s="477"/>
      <c r="M18" s="467">
        <v>128157</v>
      </c>
      <c r="N18" s="484"/>
    </row>
    <row r="19" spans="1:14" s="485" customFormat="1" ht="12.75" customHeight="1" x14ac:dyDescent="0.2">
      <c r="A19" s="482" t="s">
        <v>1403</v>
      </c>
      <c r="B19" s="483">
        <v>250</v>
      </c>
      <c r="C19" s="477"/>
      <c r="D19" s="477"/>
      <c r="E19" s="477"/>
      <c r="F19" s="477"/>
      <c r="G19" s="477"/>
      <c r="H19" s="477"/>
      <c r="I19" s="477"/>
      <c r="J19" s="477"/>
      <c r="K19" s="477"/>
      <c r="L19" s="477"/>
      <c r="M19" s="467">
        <v>724123</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3027</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245271</v>
      </c>
    </row>
    <row r="23" spans="1:14" ht="13.5" customHeight="1" thickBot="1" x14ac:dyDescent="0.25">
      <c r="A23" s="1736" t="s">
        <v>641</v>
      </c>
      <c r="B23" s="1741"/>
      <c r="C23" s="468"/>
      <c r="D23" s="468"/>
      <c r="E23" s="468"/>
      <c r="F23" s="468"/>
      <c r="G23" s="468"/>
      <c r="H23" s="468"/>
      <c r="I23" s="468"/>
      <c r="J23" s="468"/>
      <c r="K23" s="468"/>
      <c r="L23" s="468"/>
      <c r="M23" s="1688">
        <f>SUM(M15:M22)</f>
        <v>1963888</v>
      </c>
      <c r="N23" s="1688">
        <f>SUM(N21:N22)</f>
        <v>248298</v>
      </c>
    </row>
    <row r="24" spans="1:14" ht="18" customHeight="1" thickTop="1" x14ac:dyDescent="0.2">
      <c r="A24" s="2116" t="s">
        <v>596</v>
      </c>
      <c r="B24" s="2117"/>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9682</v>
      </c>
      <c r="M33" s="468"/>
      <c r="N33" s="469"/>
    </row>
    <row r="34" spans="1:14" ht="13.5" customHeight="1" thickBot="1" x14ac:dyDescent="0.25">
      <c r="A34" s="1738" t="s">
        <v>652</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9682</v>
      </c>
      <c r="M34" s="468"/>
      <c r="N34" s="480"/>
    </row>
    <row r="35" spans="1:14" ht="18" customHeight="1" thickTop="1" x14ac:dyDescent="0.2">
      <c r="A35" s="2118" t="s">
        <v>527</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248298</v>
      </c>
    </row>
    <row r="37" spans="1:14" ht="13.5" thickBot="1" x14ac:dyDescent="0.25">
      <c r="A37" s="1736" t="s">
        <v>651</v>
      </c>
      <c r="B37" s="1741"/>
      <c r="C37" s="477"/>
      <c r="D37" s="477"/>
      <c r="E37" s="477"/>
      <c r="F37" s="477"/>
      <c r="G37" s="477"/>
      <c r="H37" s="477"/>
      <c r="I37" s="477"/>
      <c r="J37" s="477"/>
      <c r="K37" s="477"/>
      <c r="L37" s="480"/>
      <c r="M37" s="468"/>
      <c r="N37" s="1688">
        <f>SUM(N36:N36)</f>
        <v>248298</v>
      </c>
    </row>
    <row r="38" spans="1:14" s="329" customFormat="1" ht="13.5" customHeight="1" thickTop="1" x14ac:dyDescent="0.2">
      <c r="A38" s="496" t="s">
        <v>418</v>
      </c>
      <c r="B38" s="483">
        <v>714</v>
      </c>
      <c r="C38" s="466">
        <v>1007</v>
      </c>
      <c r="D38" s="466"/>
      <c r="E38" s="466"/>
      <c r="F38" s="466"/>
      <c r="G38" s="466">
        <v>43451</v>
      </c>
      <c r="H38" s="466"/>
      <c r="I38" s="466"/>
      <c r="J38" s="467"/>
      <c r="K38" s="466"/>
      <c r="L38" s="481"/>
      <c r="M38" s="497"/>
      <c r="N38" s="497"/>
    </row>
    <row r="39" spans="1:14" s="329" customFormat="1" ht="13.5" customHeight="1" x14ac:dyDescent="0.2">
      <c r="A39" s="496" t="s">
        <v>340</v>
      </c>
      <c r="B39" s="483">
        <v>730</v>
      </c>
      <c r="C39" s="466">
        <v>2273630</v>
      </c>
      <c r="D39" s="466">
        <v>61309</v>
      </c>
      <c r="E39" s="466">
        <v>3027</v>
      </c>
      <c r="F39" s="466">
        <v>66987</v>
      </c>
      <c r="G39" s="466">
        <v>14140</v>
      </c>
      <c r="H39" s="466"/>
      <c r="I39" s="466">
        <v>163656</v>
      </c>
      <c r="J39" s="467">
        <v>154860</v>
      </c>
      <c r="K39" s="466">
        <v>47769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1963888</v>
      </c>
      <c r="N40" s="497"/>
    </row>
    <row r="41" spans="1:14" ht="13.5" customHeight="1" thickBot="1" x14ac:dyDescent="0.25">
      <c r="A41" s="1736" t="s">
        <v>653</v>
      </c>
      <c r="B41" s="1706"/>
      <c r="C41" s="1688">
        <f>(SUM(C34,C37,C38,C39))</f>
        <v>2274637</v>
      </c>
      <c r="D41" s="1688">
        <f t="shared" ref="D41:L41" si="2">SUM(D34,D37,D38:D39)</f>
        <v>61309</v>
      </c>
      <c r="E41" s="1688">
        <f t="shared" si="2"/>
        <v>3027</v>
      </c>
      <c r="F41" s="1688">
        <f t="shared" si="2"/>
        <v>66987</v>
      </c>
      <c r="G41" s="1688">
        <f t="shared" si="2"/>
        <v>57591</v>
      </c>
      <c r="H41" s="1688">
        <f t="shared" si="2"/>
        <v>0</v>
      </c>
      <c r="I41" s="1688">
        <f t="shared" si="2"/>
        <v>163656</v>
      </c>
      <c r="J41" s="1688">
        <f t="shared" si="2"/>
        <v>154860</v>
      </c>
      <c r="K41" s="1688">
        <f t="shared" si="2"/>
        <v>47769</v>
      </c>
      <c r="L41" s="1688">
        <f t="shared" si="2"/>
        <v>9682</v>
      </c>
      <c r="M41" s="1688">
        <f>SUM(M40)</f>
        <v>1963888</v>
      </c>
      <c r="N41" s="1688">
        <f>SUM(N37)</f>
        <v>248298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&amp;CBASIC FINANCIAL STATEMENTS
STATEMENT OF ASSETS AND LIABILITIES ARISING FROM CASH TRANSACTIONS
AS OF JUNE 30, 2019</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22" colorId="8" zoomScale="110" zoomScaleNormal="110" zoomScaleSheetLayoutView="100" workbookViewId="0">
      <selection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9"/>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0" t="s">
        <v>1173</v>
      </c>
      <c r="B3" s="2141"/>
      <c r="C3" s="1573"/>
      <c r="D3" s="1574"/>
      <c r="E3" s="1574"/>
      <c r="F3" s="1574"/>
      <c r="G3" s="1574"/>
      <c r="H3" s="1574"/>
      <c r="I3" s="1574"/>
      <c r="J3" s="1574"/>
      <c r="K3" s="1575"/>
      <c r="L3" s="506"/>
    </row>
    <row r="4" spans="1:13" ht="15.75" customHeight="1" x14ac:dyDescent="0.2">
      <c r="A4" s="1928" t="s">
        <v>1497</v>
      </c>
      <c r="B4" s="1929">
        <v>1000</v>
      </c>
      <c r="C4" s="1742">
        <f>'Revenues 9-14'!C109</f>
        <v>228618</v>
      </c>
      <c r="D4" s="1742">
        <f>'Revenues 9-14'!D109</f>
        <v>26703</v>
      </c>
      <c r="E4" s="1742">
        <f>'Revenues 9-14'!E109</f>
        <v>35017</v>
      </c>
      <c r="F4" s="1742">
        <f>'Revenues 9-14'!F109</f>
        <v>12106</v>
      </c>
      <c r="G4" s="1742">
        <f>'Revenues 9-14'!G109</f>
        <v>42279</v>
      </c>
      <c r="H4" s="1742">
        <f>'Revenues 9-14'!H109</f>
        <v>0</v>
      </c>
      <c r="I4" s="1742">
        <f>'Revenues 9-14'!I109</f>
        <v>8239</v>
      </c>
      <c r="J4" s="1742">
        <f>'Revenues 9-14'!J109</f>
        <v>98728</v>
      </c>
      <c r="K4" s="1742">
        <f>'Revenues 9-14'!K109</f>
        <v>5635</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885547</v>
      </c>
      <c r="D6" s="1743">
        <f>'Revenues 9-14'!D170</f>
        <v>128491</v>
      </c>
      <c r="E6" s="1743">
        <f>'Revenues 9-14'!E170</f>
        <v>0</v>
      </c>
      <c r="F6" s="1743">
        <f>'Revenues 9-14'!F170</f>
        <v>32849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1500</v>
      </c>
      <c r="B7" s="1578">
        <v>4000</v>
      </c>
      <c r="C7" s="1743">
        <f>'Revenues 9-14'!C267</f>
        <v>207042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1321207</v>
      </c>
      <c r="D8" s="1688">
        <f t="shared" ref="D8:K8" si="0">SUM(D4:D7)</f>
        <v>155194</v>
      </c>
      <c r="E8" s="1688">
        <f t="shared" si="0"/>
        <v>35017</v>
      </c>
      <c r="F8" s="1688">
        <f t="shared" si="0"/>
        <v>44955</v>
      </c>
      <c r="G8" s="1688">
        <f t="shared" si="0"/>
        <v>42279</v>
      </c>
      <c r="H8" s="1688">
        <f t="shared" si="0"/>
        <v>0</v>
      </c>
      <c r="I8" s="1688">
        <f t="shared" si="0"/>
        <v>8239</v>
      </c>
      <c r="J8" s="1688">
        <f t="shared" si="0"/>
        <v>98728</v>
      </c>
      <c r="K8" s="1688">
        <f t="shared" si="0"/>
        <v>5635</v>
      </c>
      <c r="L8" s="347"/>
    </row>
    <row r="9" spans="1:13" ht="15.75" thickTop="1" x14ac:dyDescent="0.2">
      <c r="A9" s="514" t="s">
        <v>1651</v>
      </c>
      <c r="B9" s="515">
        <v>3998</v>
      </c>
      <c r="C9" s="481">
        <v>241724</v>
      </c>
      <c r="D9" s="516"/>
      <c r="E9" s="481"/>
      <c r="F9" s="481"/>
      <c r="G9" s="517"/>
      <c r="H9" s="481"/>
      <c r="I9" s="509" t="s">
        <v>1167</v>
      </c>
      <c r="J9" s="478"/>
      <c r="K9" s="481"/>
      <c r="L9" s="347"/>
    </row>
    <row r="10" spans="1:13" s="519" customFormat="1" ht="13.5" thickBot="1" x14ac:dyDescent="0.25">
      <c r="A10" s="1736" t="s">
        <v>1171</v>
      </c>
      <c r="B10" s="1709"/>
      <c r="C10" s="1688">
        <f>SUM(C8:C9)</f>
        <v>1562931</v>
      </c>
      <c r="D10" s="1688">
        <f t="shared" ref="D10:K10" si="1">SUM(D8:D9)</f>
        <v>155194</v>
      </c>
      <c r="E10" s="1688">
        <f t="shared" si="1"/>
        <v>35017</v>
      </c>
      <c r="F10" s="1688">
        <f t="shared" si="1"/>
        <v>44955</v>
      </c>
      <c r="G10" s="1688">
        <f t="shared" si="1"/>
        <v>42279</v>
      </c>
      <c r="H10" s="1688">
        <f t="shared" si="1"/>
        <v>0</v>
      </c>
      <c r="I10" s="1688">
        <f t="shared" si="1"/>
        <v>8239</v>
      </c>
      <c r="J10" s="1688">
        <f t="shared" si="1"/>
        <v>98728</v>
      </c>
      <c r="K10" s="1688">
        <f t="shared" si="1"/>
        <v>5635</v>
      </c>
      <c r="L10" s="518"/>
    </row>
    <row r="11" spans="1:13" s="519" customFormat="1" ht="16.7" customHeight="1" thickTop="1" x14ac:dyDescent="0.2">
      <c r="A11" s="2114" t="s">
        <v>1174</v>
      </c>
      <c r="B11" s="2115"/>
      <c r="C11" s="1570"/>
      <c r="D11" s="1571"/>
      <c r="E11" s="1571"/>
      <c r="F11" s="1571"/>
      <c r="G11" s="1571"/>
      <c r="H11" s="1571"/>
      <c r="I11" s="1571"/>
      <c r="J11" s="1571"/>
      <c r="K11" s="1572"/>
      <c r="L11" s="518"/>
    </row>
    <row r="12" spans="1:13" ht="15.75" customHeight="1" x14ac:dyDescent="0.2">
      <c r="A12" s="1576" t="s">
        <v>454</v>
      </c>
      <c r="B12" s="1578">
        <v>1000</v>
      </c>
      <c r="C12" s="1742">
        <f>'Expenditures 15-22'!K33</f>
        <v>702572</v>
      </c>
      <c r="D12" s="520" t="s">
        <v>1167</v>
      </c>
      <c r="E12" s="468" t="s">
        <v>1167</v>
      </c>
      <c r="F12" s="468" t="s">
        <v>1167</v>
      </c>
      <c r="G12" s="1742">
        <f>'Expenditures 15-22'!K229</f>
        <v>16389</v>
      </c>
      <c r="H12" s="521"/>
      <c r="I12" s="468" t="s">
        <v>1167</v>
      </c>
      <c r="J12" s="468" t="s">
        <v>1167</v>
      </c>
      <c r="K12" s="521" t="s">
        <v>1167</v>
      </c>
      <c r="L12" s="347"/>
    </row>
    <row r="13" spans="1:13" ht="15.75" customHeight="1" x14ac:dyDescent="0.2">
      <c r="A13" s="1576" t="s">
        <v>455</v>
      </c>
      <c r="B13" s="1578">
        <v>2000</v>
      </c>
      <c r="C13" s="1743">
        <f>'Expenditures 15-22'!K74</f>
        <v>241401</v>
      </c>
      <c r="D13" s="1743">
        <f>'Expenditures 15-22'!K129</f>
        <v>136461</v>
      </c>
      <c r="E13" s="469" t="s">
        <v>1167</v>
      </c>
      <c r="F13" s="1743">
        <f>'Expenditures 15-22'!K184</f>
        <v>72093</v>
      </c>
      <c r="G13" s="1743">
        <f>'Expenditures 15-22'!K279</f>
        <v>22442</v>
      </c>
      <c r="H13" s="1743">
        <f>'Expenditures 15-22'!K303</f>
        <v>0</v>
      </c>
      <c r="I13" s="468" t="s">
        <v>1167</v>
      </c>
      <c r="J13" s="1743">
        <f>'Expenditures 15-22'!K330</f>
        <v>88144</v>
      </c>
      <c r="K13" s="1747">
        <f>'Expenditures 15-22'!K352</f>
        <v>30225</v>
      </c>
      <c r="L13" s="347"/>
    </row>
    <row r="14" spans="1:13" ht="15.75" customHeight="1" x14ac:dyDescent="0.2">
      <c r="A14" s="1576" t="s">
        <v>447</v>
      </c>
      <c r="B14" s="1578">
        <v>3000</v>
      </c>
      <c r="C14" s="1743">
        <f>'Expenditures 15-22'!K75</f>
        <v>0</v>
      </c>
      <c r="D14" s="1743">
        <f>'Expenditures 15-22'!K130</f>
        <v>0</v>
      </c>
      <c r="E14" s="520" t="s">
        <v>1167</v>
      </c>
      <c r="F14" s="1743">
        <f>'Expenditures 15-22'!K185</f>
        <v>0</v>
      </c>
      <c r="G14" s="1743">
        <f>'Expenditures 15-22'!K280</f>
        <v>0</v>
      </c>
      <c r="H14" s="512"/>
      <c r="I14" s="468" t="s">
        <v>1167</v>
      </c>
      <c r="J14" s="468" t="s">
        <v>1167</v>
      </c>
      <c r="K14" s="512" t="s">
        <v>1167</v>
      </c>
      <c r="L14" s="347"/>
    </row>
    <row r="15" spans="1:13" ht="15.75" customHeight="1" x14ac:dyDescent="0.2">
      <c r="A15" s="1576" t="s">
        <v>107</v>
      </c>
      <c r="B15" s="1578">
        <v>4000</v>
      </c>
      <c r="C15" s="1743">
        <f>'Expenditures 15-22'!K102</f>
        <v>79771</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36287</v>
      </c>
      <c r="F16" s="1743">
        <f>'Expenditures 15-22'!K208</f>
        <v>10602</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1023744</v>
      </c>
      <c r="D17" s="1688">
        <f t="shared" si="2"/>
        <v>136461</v>
      </c>
      <c r="E17" s="1688">
        <f t="shared" si="2"/>
        <v>36287</v>
      </c>
      <c r="F17" s="1688">
        <f t="shared" si="2"/>
        <v>82695</v>
      </c>
      <c r="G17" s="1688">
        <f t="shared" si="2"/>
        <v>38831</v>
      </c>
      <c r="H17" s="1688">
        <f t="shared" si="2"/>
        <v>0</v>
      </c>
      <c r="I17" s="468"/>
      <c r="J17" s="1688">
        <f>SUM(J12:J16)</f>
        <v>88144</v>
      </c>
      <c r="K17" s="1688">
        <f>SUM(K12:K16)</f>
        <v>30225</v>
      </c>
      <c r="L17" s="347"/>
    </row>
    <row r="18" spans="1:12" ht="15" customHeight="1" thickTop="1" x14ac:dyDescent="0.2">
      <c r="A18" s="1744" t="s">
        <v>1652</v>
      </c>
      <c r="B18" s="1745">
        <v>4180</v>
      </c>
      <c r="C18" s="1742">
        <f t="shared" ref="C18:H18" si="3">C9</f>
        <v>241724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1265468</v>
      </c>
      <c r="D19" s="1688">
        <f t="shared" si="4"/>
        <v>136461</v>
      </c>
      <c r="E19" s="1688">
        <f t="shared" si="4"/>
        <v>36287</v>
      </c>
      <c r="F19" s="1688">
        <f t="shared" si="4"/>
        <v>82695</v>
      </c>
      <c r="G19" s="1688">
        <f t="shared" si="4"/>
        <v>38831</v>
      </c>
      <c r="H19" s="1688">
        <f t="shared" si="4"/>
        <v>0</v>
      </c>
      <c r="I19" s="468"/>
      <c r="J19" s="1688">
        <f>SUM(J17:J18)</f>
        <v>88144</v>
      </c>
      <c r="K19" s="1688">
        <f>SUM(K17:K18)</f>
        <v>30225</v>
      </c>
      <c r="L19" s="347"/>
    </row>
    <row r="20" spans="1:12" ht="16.5" thickTop="1" thickBot="1" x14ac:dyDescent="0.25">
      <c r="A20" s="2130" t="s">
        <v>1653</v>
      </c>
      <c r="B20" s="2131"/>
      <c r="C20" s="1746">
        <f>C8-C17</f>
        <v>297463</v>
      </c>
      <c r="D20" s="1746">
        <f t="shared" ref="D20:K20" si="5">D8-D17</f>
        <v>18733</v>
      </c>
      <c r="E20" s="1746">
        <f t="shared" si="5"/>
        <v>-1270</v>
      </c>
      <c r="F20" s="1746">
        <f t="shared" si="5"/>
        <v>-37740</v>
      </c>
      <c r="G20" s="1746">
        <f t="shared" si="5"/>
        <v>3448</v>
      </c>
      <c r="H20" s="1746">
        <f t="shared" si="5"/>
        <v>0</v>
      </c>
      <c r="I20" s="1746">
        <f t="shared" si="5"/>
        <v>8239</v>
      </c>
      <c r="J20" s="1746">
        <f t="shared" si="5"/>
        <v>10584</v>
      </c>
      <c r="K20" s="1746">
        <f t="shared" si="5"/>
        <v>-24590</v>
      </c>
      <c r="L20" s="347"/>
    </row>
    <row r="21" spans="1:12" ht="16.7" customHeight="1" thickTop="1" x14ac:dyDescent="0.2">
      <c r="A21" s="2142" t="s">
        <v>593</v>
      </c>
      <c r="B21" s="2143"/>
      <c r="C21" s="1570"/>
      <c r="D21" s="1571"/>
      <c r="E21" s="1571"/>
      <c r="F21" s="1571"/>
      <c r="G21" s="1571"/>
      <c r="H21" s="1571"/>
      <c r="I21" s="1571"/>
      <c r="J21" s="1571"/>
      <c r="K21" s="1572"/>
      <c r="L21" s="524"/>
    </row>
    <row r="22" spans="1:12" ht="15.75" customHeight="1" collapsed="1" x14ac:dyDescent="0.2">
      <c r="A22" s="2138" t="s">
        <v>594</v>
      </c>
      <c r="B22" s="2139"/>
      <c r="C22" s="477"/>
      <c r="D22" s="477"/>
      <c r="E22" s="477"/>
      <c r="F22" s="477"/>
      <c r="G22" s="477"/>
      <c r="H22" s="477"/>
      <c r="I22" s="477"/>
      <c r="J22" s="477"/>
      <c r="K22" s="477"/>
      <c r="L22" s="347"/>
    </row>
    <row r="23" spans="1:12" s="485" customFormat="1" ht="15.75" customHeight="1" x14ac:dyDescent="0.2">
      <c r="A23" s="2134" t="s">
        <v>291</v>
      </c>
      <c r="B23" s="2135"/>
      <c r="C23" s="480"/>
      <c r="D23" s="477"/>
      <c r="E23" s="477"/>
      <c r="F23" s="477"/>
      <c r="G23" s="477"/>
      <c r="H23" s="477"/>
      <c r="I23" s="477"/>
      <c r="J23" s="477"/>
      <c r="K23" s="477"/>
      <c r="L23" s="524"/>
    </row>
    <row r="24" spans="1:12" s="485" customFormat="1" ht="13.5" customHeight="1" x14ac:dyDescent="0.2">
      <c r="A24" s="1489" t="s">
        <v>1654</v>
      </c>
      <c r="B24" s="525">
        <v>7110</v>
      </c>
      <c r="C24" s="467"/>
      <c r="D24" s="477"/>
      <c r="E24" s="477"/>
      <c r="F24" s="477"/>
      <c r="G24" s="477"/>
      <c r="H24" s="477"/>
      <c r="I24" s="477"/>
      <c r="J24" s="477"/>
      <c r="K24" s="477"/>
      <c r="L24" s="524"/>
    </row>
    <row r="25" spans="1:12" s="485" customFormat="1" ht="13.5" customHeight="1" x14ac:dyDescent="0.2">
      <c r="A25" s="1489" t="s">
        <v>1655</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6" t="s">
        <v>979</v>
      </c>
      <c r="B32" s="2137"/>
      <c r="C32" s="477"/>
      <c r="D32" s="477"/>
      <c r="E32" s="475"/>
      <c r="F32" s="477"/>
      <c r="G32" s="477"/>
      <c r="H32" s="477"/>
      <c r="I32" s="477"/>
      <c r="J32" s="477"/>
      <c r="K32" s="477"/>
      <c r="L32" s="524"/>
    </row>
    <row r="33" spans="1:12" s="485" customFormat="1" x14ac:dyDescent="0.2">
      <c r="A33" s="1489" t="s">
        <v>410</v>
      </c>
      <c r="B33" s="525">
        <v>7210</v>
      </c>
      <c r="C33" s="467"/>
      <c r="D33" s="467"/>
      <c r="E33" s="467"/>
      <c r="F33" s="467"/>
      <c r="G33" s="477"/>
      <c r="H33" s="467"/>
      <c r="I33" s="467"/>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0</v>
      </c>
      <c r="F37" s="475"/>
      <c r="G37" s="475"/>
      <c r="H37" s="475"/>
      <c r="I37" s="477"/>
      <c r="J37" s="475"/>
      <c r="K37" s="475"/>
      <c r="L37" s="524"/>
    </row>
    <row r="38" spans="1:12" s="485" customFormat="1" x14ac:dyDescent="0.2">
      <c r="A38" s="1489" t="s">
        <v>440</v>
      </c>
      <c r="B38" s="525">
        <v>7500</v>
      </c>
      <c r="C38" s="477"/>
      <c r="D38" s="477"/>
      <c r="E38" s="1743">
        <f>SUM(C58:D61,H58:H61)</f>
        <v>0</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v>47900</v>
      </c>
      <c r="G43" s="467"/>
      <c r="H43" s="467"/>
      <c r="I43" s="467"/>
      <c r="J43" s="467"/>
      <c r="K43" s="467"/>
      <c r="L43" s="524"/>
    </row>
    <row r="44" spans="1:12" s="485" customFormat="1" ht="13.5" customHeight="1" thickBot="1" x14ac:dyDescent="0.25">
      <c r="A44" s="2144" t="s">
        <v>372</v>
      </c>
      <c r="B44" s="2145"/>
      <c r="C44" s="1703">
        <f>SUM(C24:C43)</f>
        <v>0</v>
      </c>
      <c r="D44" s="1703">
        <f t="shared" ref="D44:K44" si="6">SUM(D24:D43)</f>
        <v>0</v>
      </c>
      <c r="E44" s="1703">
        <f t="shared" si="6"/>
        <v>0</v>
      </c>
      <c r="F44" s="1703">
        <f t="shared" si="6"/>
        <v>47900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0</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c r="D57" s="531"/>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20" t="s">
        <v>438</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1175</v>
      </c>
      <c r="B77" s="2123"/>
      <c r="C77" s="1703">
        <f t="shared" ref="C77:K77" si="8">C44-C76</f>
        <v>0</v>
      </c>
      <c r="D77" s="1703">
        <f t="shared" si="8"/>
        <v>0</v>
      </c>
      <c r="E77" s="1703">
        <f t="shared" si="8"/>
        <v>0</v>
      </c>
      <c r="F77" s="1703">
        <f t="shared" si="8"/>
        <v>47900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595</v>
      </c>
      <c r="B78" s="2127"/>
      <c r="C78" s="1702">
        <f t="shared" ref="C78:K78" si="9">C20+C77</f>
        <v>297463</v>
      </c>
      <c r="D78" s="1702">
        <f t="shared" si="9"/>
        <v>18733</v>
      </c>
      <c r="E78" s="1702">
        <f t="shared" si="9"/>
        <v>-1270</v>
      </c>
      <c r="F78" s="1702">
        <f t="shared" si="9"/>
        <v>10160</v>
      </c>
      <c r="G78" s="1702">
        <f t="shared" si="9"/>
        <v>3448</v>
      </c>
      <c r="H78" s="1702">
        <f t="shared" si="9"/>
        <v>0</v>
      </c>
      <c r="I78" s="1702">
        <f t="shared" si="9"/>
        <v>8239</v>
      </c>
      <c r="J78" s="1702">
        <f t="shared" si="9"/>
        <v>10584</v>
      </c>
      <c r="K78" s="1702">
        <f t="shared" si="9"/>
        <v>-24590</v>
      </c>
      <c r="L78" s="533"/>
    </row>
    <row r="79" spans="1:12" ht="13.5" thickTop="1" x14ac:dyDescent="0.2">
      <c r="A79" s="1494" t="s">
        <v>1947</v>
      </c>
      <c r="B79" s="534"/>
      <c r="C79" s="478">
        <v>1977174</v>
      </c>
      <c r="D79" s="535">
        <v>42576</v>
      </c>
      <c r="E79" s="535">
        <v>4297</v>
      </c>
      <c r="F79" s="535">
        <v>56827</v>
      </c>
      <c r="G79" s="535">
        <v>54143</v>
      </c>
      <c r="H79" s="535">
        <v>0</v>
      </c>
      <c r="I79" s="535">
        <v>155417</v>
      </c>
      <c r="J79" s="535">
        <v>144276</v>
      </c>
      <c r="K79" s="535">
        <v>72359</v>
      </c>
      <c r="L79" s="347"/>
    </row>
    <row r="80" spans="1:12" x14ac:dyDescent="0.2">
      <c r="A80" s="2132" t="s">
        <v>1793</v>
      </c>
      <c r="B80" s="2133"/>
      <c r="C80" s="467"/>
      <c r="D80" s="467"/>
      <c r="E80" s="467"/>
      <c r="F80" s="467"/>
      <c r="G80" s="467"/>
      <c r="H80" s="467"/>
      <c r="I80" s="467"/>
      <c r="J80" s="467"/>
      <c r="K80" s="467"/>
      <c r="L80" s="347"/>
    </row>
    <row r="81" spans="1:12" ht="13.5" thickBot="1" x14ac:dyDescent="0.25">
      <c r="A81" s="2124" t="s">
        <v>1948</v>
      </c>
      <c r="B81" s="2125"/>
      <c r="C81" s="1688">
        <f>(SUM(C78:C80))</f>
        <v>2274637</v>
      </c>
      <c r="D81" s="1688">
        <f>SUM(D78:D80)</f>
        <v>61309</v>
      </c>
      <c r="E81" s="1688">
        <f t="shared" ref="E81:K81" si="10">SUM(E78:E80)</f>
        <v>3027</v>
      </c>
      <c r="F81" s="1688">
        <f t="shared" si="10"/>
        <v>66987</v>
      </c>
      <c r="G81" s="1688">
        <f t="shared" si="10"/>
        <v>57591</v>
      </c>
      <c r="H81" s="1688">
        <f t="shared" si="10"/>
        <v>0</v>
      </c>
      <c r="I81" s="1688">
        <f t="shared" si="10"/>
        <v>163656</v>
      </c>
      <c r="J81" s="1688">
        <f t="shared" si="10"/>
        <v>154860</v>
      </c>
      <c r="K81" s="1688">
        <f t="shared" si="10"/>
        <v>47769</v>
      </c>
      <c r="L81" s="347"/>
    </row>
    <row r="82" spans="1:12" ht="0.75" customHeight="1" thickTop="1" thickBot="1" x14ac:dyDescent="0.25">
      <c r="A82" s="536" t="s">
        <v>341</v>
      </c>
      <c r="B82" s="537"/>
      <c r="C82" s="538">
        <f>(C81-C79)</f>
        <v>297463</v>
      </c>
      <c r="D82" s="538">
        <f t="shared" ref="D82:K82" si="11">(D81-D79)</f>
        <v>18733</v>
      </c>
      <c r="E82" s="538">
        <f t="shared" si="11"/>
        <v>-1270</v>
      </c>
      <c r="F82" s="538">
        <f t="shared" si="11"/>
        <v>10160</v>
      </c>
      <c r="G82" s="538">
        <f t="shared" si="11"/>
        <v>3448</v>
      </c>
      <c r="H82" s="538">
        <f t="shared" si="11"/>
        <v>0</v>
      </c>
      <c r="I82" s="538">
        <f t="shared" si="11"/>
        <v>8239</v>
      </c>
      <c r="J82" s="538">
        <f t="shared" si="11"/>
        <v>10584</v>
      </c>
      <c r="K82" s="538">
        <f t="shared" si="11"/>
        <v>-24590</v>
      </c>
    </row>
    <row r="83" spans="1:12" ht="14.25" hidden="1" thickTop="1" thickBot="1" x14ac:dyDescent="0.25">
      <c r="A83" s="539" t="s">
        <v>342</v>
      </c>
      <c r="B83" s="464"/>
      <c r="C83" s="540">
        <f>C82/C81</f>
        <v>0.13077383336330148</v>
      </c>
      <c r="D83" s="540">
        <f t="shared" ref="D83:K83" si="12">D82/D81</f>
        <v>0.30555057169420474</v>
      </c>
      <c r="E83" s="540">
        <f t="shared" si="12"/>
        <v>-0.41955731747604891</v>
      </c>
      <c r="F83" s="540">
        <f t="shared" si="12"/>
        <v>0.15167121978891426</v>
      </c>
      <c r="G83" s="540">
        <f t="shared" si="12"/>
        <v>5.9870465871403517E-2</v>
      </c>
      <c r="H83" s="540" t="e">
        <f t="shared" si="12"/>
        <v>#DIV/0!</v>
      </c>
      <c r="I83" s="540">
        <f t="shared" si="12"/>
        <v>5.0343403236056121E-2</v>
      </c>
      <c r="J83" s="540">
        <f t="shared" si="12"/>
        <v>6.834560247965904E-2</v>
      </c>
      <c r="K83" s="540">
        <f t="shared" si="12"/>
        <v>-0.51476899244279761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29" colorId="8" zoomScale="110" zoomScaleNormal="110" zoomScaleSheetLayoutView="75" workbookViewId="0">
      <selection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1800</v>
      </c>
      <c r="B1" s="452"/>
      <c r="C1" s="453" t="s">
        <v>423</v>
      </c>
      <c r="D1" s="453" t="s">
        <v>424</v>
      </c>
      <c r="E1" s="453" t="s">
        <v>425</v>
      </c>
      <c r="F1" s="453" t="s">
        <v>426</v>
      </c>
      <c r="G1" s="453" t="s">
        <v>427</v>
      </c>
      <c r="H1" s="453" t="s">
        <v>428</v>
      </c>
      <c r="I1" s="453" t="s">
        <v>429</v>
      </c>
      <c r="J1" s="453" t="s">
        <v>430</v>
      </c>
      <c r="K1" s="453" t="s">
        <v>754</v>
      </c>
    </row>
    <row r="2" spans="1:12" ht="36" x14ac:dyDescent="0.2">
      <c r="A2" s="2129"/>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v>131055</v>
      </c>
      <c r="D5" s="481">
        <v>21841</v>
      </c>
      <c r="E5" s="466">
        <v>34887</v>
      </c>
      <c r="F5" s="548">
        <v>10484</v>
      </c>
      <c r="G5" s="466">
        <v>11131</v>
      </c>
      <c r="H5" s="466"/>
      <c r="I5" s="466">
        <v>4369</v>
      </c>
      <c r="J5" s="467">
        <v>94927</v>
      </c>
      <c r="K5" s="466">
        <v>4368</v>
      </c>
    </row>
    <row r="6" spans="1:12" ht="15" x14ac:dyDescent="0.2">
      <c r="A6" s="463" t="s">
        <v>1660</v>
      </c>
      <c r="B6" s="470">
        <v>1130</v>
      </c>
      <c r="C6" s="466">
        <v>4369</v>
      </c>
      <c r="D6" s="466"/>
      <c r="E6" s="475"/>
      <c r="F6" s="475"/>
      <c r="G6" s="468"/>
      <c r="H6" s="468"/>
      <c r="I6" s="468"/>
      <c r="J6" s="468"/>
      <c r="K6" s="468"/>
    </row>
    <row r="7" spans="1:12" x14ac:dyDescent="0.2">
      <c r="A7" s="463" t="s">
        <v>110</v>
      </c>
      <c r="B7" s="549">
        <v>1140</v>
      </c>
      <c r="C7" s="466">
        <v>1753</v>
      </c>
      <c r="D7" s="466"/>
      <c r="E7" s="468"/>
      <c r="F7" s="467"/>
      <c r="G7" s="467"/>
      <c r="H7" s="467"/>
      <c r="I7" s="468"/>
      <c r="J7" s="468"/>
      <c r="K7" s="468"/>
    </row>
    <row r="8" spans="1:12" x14ac:dyDescent="0.2">
      <c r="A8" s="463" t="s">
        <v>411</v>
      </c>
      <c r="B8" s="470">
        <v>1150</v>
      </c>
      <c r="C8" s="475"/>
      <c r="D8" s="475"/>
      <c r="E8" s="477"/>
      <c r="F8" s="477"/>
      <c r="G8" s="481">
        <v>27606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137177</v>
      </c>
      <c r="D12" s="1707">
        <f t="shared" si="0"/>
        <v>21841</v>
      </c>
      <c r="E12" s="1707">
        <f t="shared" si="0"/>
        <v>34887</v>
      </c>
      <c r="F12" s="1707">
        <f t="shared" si="0"/>
        <v>10484</v>
      </c>
      <c r="G12" s="1707">
        <f t="shared" si="0"/>
        <v>38737</v>
      </c>
      <c r="H12" s="1707">
        <f t="shared" si="0"/>
        <v>0</v>
      </c>
      <c r="I12" s="1707">
        <f t="shared" si="0"/>
        <v>4369</v>
      </c>
      <c r="J12" s="1707">
        <f t="shared" si="0"/>
        <v>94927</v>
      </c>
      <c r="K12" s="1688">
        <f t="shared" si="0"/>
        <v>4368</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v>3401</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35359</v>
      </c>
      <c r="D16" s="466"/>
      <c r="E16" s="466"/>
      <c r="F16" s="466"/>
      <c r="G16" s="466">
        <v>2000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38760</v>
      </c>
      <c r="D18" s="1710">
        <f t="shared" ref="D18:K18" si="1">SUM(D14:D17)</f>
        <v>0</v>
      </c>
      <c r="E18" s="1710">
        <f t="shared" si="1"/>
        <v>0</v>
      </c>
      <c r="F18" s="1710">
        <f t="shared" si="1"/>
        <v>0</v>
      </c>
      <c r="G18" s="1710">
        <f t="shared" si="1"/>
        <v>2000</v>
      </c>
      <c r="H18" s="1710">
        <f t="shared" si="1"/>
        <v>0</v>
      </c>
      <c r="I18" s="1710">
        <f t="shared" si="1"/>
        <v>0</v>
      </c>
      <c r="J18" s="1710">
        <f t="shared" si="1"/>
        <v>0</v>
      </c>
      <c r="K18" s="1711">
        <f t="shared" si="1"/>
        <v>0</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0</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0</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v>47663</v>
      </c>
      <c r="D65" s="466">
        <v>2127</v>
      </c>
      <c r="E65" s="466">
        <v>130</v>
      </c>
      <c r="F65" s="467">
        <v>1622</v>
      </c>
      <c r="G65" s="466">
        <v>1542</v>
      </c>
      <c r="H65" s="466"/>
      <c r="I65" s="466">
        <v>3870</v>
      </c>
      <c r="J65" s="467">
        <v>3801</v>
      </c>
      <c r="K65" s="466">
        <v>1267</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47663</v>
      </c>
      <c r="D67" s="1688">
        <f t="shared" ref="D67:K67" si="2">SUM(D65:D66)</f>
        <v>2127</v>
      </c>
      <c r="E67" s="1688">
        <f t="shared" si="2"/>
        <v>130</v>
      </c>
      <c r="F67" s="1688">
        <f t="shared" si="2"/>
        <v>1622</v>
      </c>
      <c r="G67" s="1688">
        <f t="shared" si="2"/>
        <v>1542</v>
      </c>
      <c r="H67" s="1688">
        <f t="shared" si="2"/>
        <v>0</v>
      </c>
      <c r="I67" s="1688">
        <f t="shared" si="2"/>
        <v>3870</v>
      </c>
      <c r="J67" s="1688">
        <f t="shared" si="2"/>
        <v>3801</v>
      </c>
      <c r="K67" s="1688">
        <f t="shared" si="2"/>
        <v>1267</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v>168</v>
      </c>
      <c r="D73" s="468"/>
      <c r="E73" s="468"/>
      <c r="F73" s="468"/>
      <c r="G73" s="468"/>
      <c r="H73" s="468"/>
      <c r="I73" s="468"/>
      <c r="J73" s="468"/>
      <c r="K73" s="468"/>
    </row>
    <row r="74" spans="1:11" ht="12.75" customHeight="1" x14ac:dyDescent="0.2">
      <c r="A74" s="463" t="s">
        <v>25</v>
      </c>
      <c r="B74" s="470">
        <v>1690</v>
      </c>
      <c r="C74" s="551">
        <v>1148</v>
      </c>
      <c r="D74" s="468"/>
      <c r="E74" s="468"/>
      <c r="F74" s="468"/>
      <c r="G74" s="468"/>
      <c r="H74" s="468"/>
      <c r="I74" s="468"/>
      <c r="J74" s="468"/>
      <c r="K74" s="468"/>
    </row>
    <row r="75" spans="1:11" ht="12.75" customHeight="1" thickBot="1" x14ac:dyDescent="0.25">
      <c r="A75" s="1708" t="s">
        <v>546</v>
      </c>
      <c r="B75" s="1709"/>
      <c r="C75" s="1688">
        <f>SUM(C69:C74)</f>
        <v>1316</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v>1164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1164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v>300</v>
      </c>
      <c r="D96" s="551">
        <v>2735</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2238</v>
      </c>
      <c r="D107" s="466"/>
      <c r="E107" s="466"/>
      <c r="F107" s="466"/>
      <c r="G107" s="466"/>
      <c r="H107" s="466"/>
      <c r="I107" s="466"/>
      <c r="J107" s="467"/>
      <c r="K107" s="466"/>
    </row>
    <row r="108" spans="1:12" ht="12.75" customHeight="1" thickBot="1" x14ac:dyDescent="0.25">
      <c r="A108" s="1708" t="s">
        <v>485</v>
      </c>
      <c r="B108" s="1712"/>
      <c r="C108" s="1707">
        <f>SUM(C95:C107)</f>
        <v>2538</v>
      </c>
      <c r="D108" s="1707">
        <f t="shared" ref="D108:K108" si="3">SUM(D95:D107)</f>
        <v>2735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568</v>
      </c>
      <c r="C109" s="1715">
        <f t="shared" ref="C109:K109" si="4">SUM(C12,C18,C40,C63,C67,C75,C82,C93,C108,)</f>
        <v>228618</v>
      </c>
      <c r="D109" s="1715">
        <f t="shared" si="4"/>
        <v>26703</v>
      </c>
      <c r="E109" s="1715">
        <f t="shared" si="4"/>
        <v>35017</v>
      </c>
      <c r="F109" s="1715">
        <f t="shared" si="4"/>
        <v>12106</v>
      </c>
      <c r="G109" s="1715">
        <f t="shared" si="4"/>
        <v>42279</v>
      </c>
      <c r="H109" s="1715">
        <f t="shared" si="4"/>
        <v>0</v>
      </c>
      <c r="I109" s="1715">
        <f t="shared" si="4"/>
        <v>8239</v>
      </c>
      <c r="J109" s="1715">
        <f t="shared" si="4"/>
        <v>98728</v>
      </c>
      <c r="K109" s="1702">
        <f t="shared" si="4"/>
        <v>5635</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v>873030</v>
      </c>
      <c r="D117" s="481">
        <v>120000</v>
      </c>
      <c r="E117" s="466"/>
      <c r="F117" s="481">
        <v>20000</v>
      </c>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486</v>
      </c>
      <c r="B122" s="1719"/>
      <c r="C122" s="1707">
        <f t="shared" ref="C122:H122" si="5">SUM(C117:C121)</f>
        <v>873030</v>
      </c>
      <c r="D122" s="1707">
        <f t="shared" si="5"/>
        <v>120000</v>
      </c>
      <c r="E122" s="1707">
        <f t="shared" si="5"/>
        <v>0</v>
      </c>
      <c r="F122" s="1707">
        <f t="shared" si="5"/>
        <v>20000</v>
      </c>
      <c r="G122" s="1707">
        <f t="shared" si="5"/>
        <v>0</v>
      </c>
      <c r="H122" s="1707">
        <f t="shared" si="5"/>
        <v>0</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0</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0</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v>1818</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10364</v>
      </c>
      <c r="G152" s="467"/>
      <c r="H152" s="468"/>
      <c r="I152" s="468"/>
      <c r="J152" s="468"/>
      <c r="K152" s="468"/>
    </row>
    <row r="153" spans="1:11" ht="12.75" customHeight="1" x14ac:dyDescent="0.2">
      <c r="A153" s="463" t="s">
        <v>1055</v>
      </c>
      <c r="B153" s="562">
        <v>3510</v>
      </c>
      <c r="C153" s="551"/>
      <c r="D153" s="466"/>
      <c r="E153" s="561"/>
      <c r="F153" s="466">
        <v>2485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12849</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v>10699</v>
      </c>
      <c r="D168" s="580">
        <v>8491</v>
      </c>
      <c r="E168" s="580"/>
      <c r="F168" s="580"/>
      <c r="G168" s="581"/>
      <c r="H168" s="582"/>
      <c r="I168" s="581"/>
      <c r="J168" s="581"/>
      <c r="K168" s="582"/>
    </row>
    <row r="169" spans="1:11" ht="12.75" customHeight="1" thickTop="1" thickBot="1" x14ac:dyDescent="0.25">
      <c r="A169" s="2148" t="s">
        <v>396</v>
      </c>
      <c r="B169" s="2149"/>
      <c r="C169" s="1722">
        <f t="shared" ref="C169:K169" si="6">SUM(C132,C141,C145,C146:C150,C155,C156:C167,C168)</f>
        <v>12517</v>
      </c>
      <c r="D169" s="1722">
        <f t="shared" si="6"/>
        <v>8491</v>
      </c>
      <c r="E169" s="1722">
        <f t="shared" si="6"/>
        <v>0</v>
      </c>
      <c r="F169" s="1722">
        <f t="shared" si="6"/>
        <v>12849</v>
      </c>
      <c r="G169" s="1722">
        <f t="shared" si="6"/>
        <v>0</v>
      </c>
      <c r="H169" s="1722">
        <f t="shared" si="6"/>
        <v>0</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885547</v>
      </c>
      <c r="D170" s="1715">
        <f t="shared" si="7"/>
        <v>128491</v>
      </c>
      <c r="E170" s="1715">
        <f t="shared" si="7"/>
        <v>0</v>
      </c>
      <c r="F170" s="1715">
        <f t="shared" si="7"/>
        <v>32849</v>
      </c>
      <c r="G170" s="1715">
        <f t="shared" si="7"/>
        <v>0</v>
      </c>
      <c r="H170" s="1715">
        <f t="shared" si="7"/>
        <v>0</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50" t="s">
        <v>1490</v>
      </c>
      <c r="B172" s="2151"/>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4" t="s">
        <v>1663</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1662</v>
      </c>
      <c r="B176" s="2159"/>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6" t="s">
        <v>783</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1801</v>
      </c>
      <c r="B182" s="2153"/>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v>4903</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4903</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v>60545</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v>25564</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v>4540</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90649</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v>84697</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84697</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v>15439</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15439</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7876</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7876</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v>1846</v>
      </c>
      <c r="D258" s="576"/>
      <c r="E258" s="468"/>
      <c r="F258" s="576"/>
      <c r="G258" s="576"/>
      <c r="H258" s="468"/>
      <c r="I258" s="468"/>
      <c r="J258" s="468"/>
      <c r="K258" s="468"/>
    </row>
    <row r="259" spans="1:11" ht="12.75" customHeight="1" thickTop="1" thickBot="1" x14ac:dyDescent="0.25">
      <c r="A259" s="463" t="s">
        <v>756</v>
      </c>
      <c r="B259" s="470">
        <v>4932</v>
      </c>
      <c r="C259" s="576">
        <v>1161</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471</v>
      </c>
      <c r="D263" s="576"/>
      <c r="E263" s="468"/>
      <c r="F263" s="576"/>
      <c r="G263" s="576"/>
      <c r="H263" s="468"/>
      <c r="I263" s="468"/>
      <c r="J263" s="468"/>
      <c r="K263" s="468"/>
    </row>
    <row r="264" spans="1:11" ht="12.75" customHeight="1" thickTop="1" thickBot="1" x14ac:dyDescent="0.25">
      <c r="A264" s="463" t="s">
        <v>375</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207042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207042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1321207</v>
      </c>
      <c r="D268" s="1715">
        <f t="shared" si="12"/>
        <v>155194</v>
      </c>
      <c r="E268" s="1715">
        <f t="shared" si="12"/>
        <v>35017</v>
      </c>
      <c r="F268" s="1715">
        <f t="shared" si="12"/>
        <v>44955</v>
      </c>
      <c r="G268" s="1715">
        <f t="shared" si="12"/>
        <v>42279</v>
      </c>
      <c r="H268" s="1715">
        <f t="shared" si="12"/>
        <v>0</v>
      </c>
      <c r="I268" s="1715">
        <f t="shared" si="12"/>
        <v>8239</v>
      </c>
      <c r="J268" s="1715">
        <f t="shared" si="12"/>
        <v>98728</v>
      </c>
      <c r="K268" s="1702">
        <f t="shared" si="12"/>
        <v>5635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42" colorId="8" zoomScale="110" zoomScaleNormal="110" workbookViewId="0">
      <selection activeCell="D43" sqref="D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2"/>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8" t="s">
        <v>295</v>
      </c>
      <c r="B3" s="2169"/>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v>339719</v>
      </c>
      <c r="D5" s="466">
        <f>30040+92+12247+21</f>
        <v>42400</v>
      </c>
      <c r="E5" s="466">
        <f>154+4090+109+2460+579</f>
        <v>7392</v>
      </c>
      <c r="F5" s="466">
        <f>28989+2762</f>
        <v>31751</v>
      </c>
      <c r="G5" s="466">
        <f>8394+10585+10699</f>
        <v>29678</v>
      </c>
      <c r="H5" s="466"/>
      <c r="I5" s="467"/>
      <c r="J5" s="467"/>
      <c r="K5" s="1671">
        <f>SUM(C5:J5)</f>
        <v>450940</v>
      </c>
      <c r="L5" s="466">
        <v>478499</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c r="D7" s="467"/>
      <c r="E7" s="467"/>
      <c r="F7" s="467"/>
      <c r="G7" s="467"/>
      <c r="H7" s="467"/>
      <c r="I7" s="467"/>
      <c r="J7" s="467"/>
      <c r="K7" s="1671">
        <f t="shared" ref="K7:K32" si="0">SUM(C7:J7)</f>
        <v>0</v>
      </c>
      <c r="L7" s="466"/>
    </row>
    <row r="8" spans="1:14" x14ac:dyDescent="0.2">
      <c r="A8" s="1504" t="s">
        <v>164</v>
      </c>
      <c r="B8" s="614">
        <v>1200</v>
      </c>
      <c r="C8" s="466">
        <f>37547+80975+17621+7876+2124</f>
        <v>146143</v>
      </c>
      <c r="D8" s="466">
        <f>3497+8694+669+4212</f>
        <v>17072</v>
      </c>
      <c r="E8" s="466"/>
      <c r="F8" s="466">
        <v>3914</v>
      </c>
      <c r="G8" s="466"/>
      <c r="H8" s="466">
        <v>33</v>
      </c>
      <c r="I8" s="467"/>
      <c r="J8" s="467"/>
      <c r="K8" s="1671">
        <f t="shared" si="0"/>
        <v>167162</v>
      </c>
      <c r="L8" s="466">
        <v>169247</v>
      </c>
    </row>
    <row r="9" spans="1:14" x14ac:dyDescent="0.2">
      <c r="A9" s="1504" t="s">
        <v>719</v>
      </c>
      <c r="B9" s="614" t="s">
        <v>966</v>
      </c>
      <c r="C9" s="467"/>
      <c r="D9" s="467"/>
      <c r="E9" s="467"/>
      <c r="F9" s="467"/>
      <c r="G9" s="467"/>
      <c r="H9" s="467"/>
      <c r="I9" s="467"/>
      <c r="J9" s="467"/>
      <c r="K9" s="1671">
        <f t="shared" si="0"/>
        <v>0</v>
      </c>
      <c r="L9" s="466"/>
    </row>
    <row r="10" spans="1:14" x14ac:dyDescent="0.2">
      <c r="A10" s="1504" t="s">
        <v>720</v>
      </c>
      <c r="B10" s="614">
        <v>1250</v>
      </c>
      <c r="C10" s="466">
        <v>42880</v>
      </c>
      <c r="D10" s="466">
        <f>6061+1021</f>
        <v>7082</v>
      </c>
      <c r="E10" s="466">
        <v>70</v>
      </c>
      <c r="F10" s="466">
        <v>18658</v>
      </c>
      <c r="G10" s="466">
        <v>5103</v>
      </c>
      <c r="H10" s="466"/>
      <c r="I10" s="467"/>
      <c r="J10" s="467"/>
      <c r="K10" s="1671">
        <f t="shared" si="0"/>
        <v>73793</v>
      </c>
      <c r="L10" s="466">
        <v>75046</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c r="D13" s="466"/>
      <c r="E13" s="466"/>
      <c r="F13" s="466"/>
      <c r="G13" s="466"/>
      <c r="H13" s="466"/>
      <c r="I13" s="467"/>
      <c r="J13" s="467"/>
      <c r="K13" s="1671">
        <f t="shared" si="0"/>
        <v>0</v>
      </c>
      <c r="L13" s="466"/>
    </row>
    <row r="14" spans="1:14" x14ac:dyDescent="0.2">
      <c r="A14" s="1504" t="s">
        <v>961</v>
      </c>
      <c r="B14" s="614">
        <v>1500</v>
      </c>
      <c r="C14" s="466">
        <f>4786+119</f>
        <v>4905</v>
      </c>
      <c r="D14" s="466">
        <f>478+102</f>
        <v>580</v>
      </c>
      <c r="E14" s="466">
        <v>900</v>
      </c>
      <c r="F14" s="466">
        <v>3653</v>
      </c>
      <c r="G14" s="466"/>
      <c r="H14" s="466">
        <v>639</v>
      </c>
      <c r="I14" s="467"/>
      <c r="J14" s="467"/>
      <c r="K14" s="1671">
        <f t="shared" si="0"/>
        <v>10677</v>
      </c>
      <c r="L14" s="466">
        <v>10654</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c r="D17" s="467"/>
      <c r="E17" s="467"/>
      <c r="F17" s="467"/>
      <c r="G17" s="467"/>
      <c r="H17" s="467"/>
      <c r="I17" s="467"/>
      <c r="J17" s="467"/>
      <c r="K17" s="1671">
        <f t="shared" si="0"/>
        <v>0</v>
      </c>
      <c r="L17" s="466"/>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533647</v>
      </c>
      <c r="D33" s="1670">
        <f t="shared" ref="D33:L33" si="1">SUM(D5:D32)</f>
        <v>67134</v>
      </c>
      <c r="E33" s="1670">
        <f t="shared" si="1"/>
        <v>8362</v>
      </c>
      <c r="F33" s="1670">
        <f t="shared" si="1"/>
        <v>57976</v>
      </c>
      <c r="G33" s="1670">
        <f t="shared" si="1"/>
        <v>34781</v>
      </c>
      <c r="H33" s="1670">
        <f t="shared" si="1"/>
        <v>672</v>
      </c>
      <c r="I33" s="1670">
        <f t="shared" si="1"/>
        <v>0</v>
      </c>
      <c r="J33" s="1670">
        <f t="shared" si="1"/>
        <v>0</v>
      </c>
      <c r="K33" s="1670">
        <f t="shared" si="1"/>
        <v>702572</v>
      </c>
      <c r="L33" s="1670">
        <f t="shared" si="1"/>
        <v>733446</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c r="D36" s="481"/>
      <c r="E36" s="481"/>
      <c r="F36" s="481"/>
      <c r="G36" s="481"/>
      <c r="H36" s="481"/>
      <c r="I36" s="467"/>
      <c r="J36" s="467"/>
      <c r="K36" s="1671">
        <f t="shared" ref="K36:K41" si="2">SUM(C36:J36)</f>
        <v>0</v>
      </c>
      <c r="L36" s="466"/>
    </row>
    <row r="37" spans="1:14" x14ac:dyDescent="0.2">
      <c r="A37" s="1504" t="s">
        <v>1088</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548</v>
      </c>
      <c r="F38" s="466">
        <v>301</v>
      </c>
      <c r="G38" s="466"/>
      <c r="H38" s="466"/>
      <c r="I38" s="467"/>
      <c r="J38" s="467"/>
      <c r="K38" s="1671">
        <f t="shared" si="2"/>
        <v>849</v>
      </c>
      <c r="L38" s="466">
        <v>900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1667</v>
      </c>
      <c r="B41" s="614">
        <v>2190</v>
      </c>
      <c r="C41" s="466"/>
      <c r="D41" s="466"/>
      <c r="E41" s="466"/>
      <c r="F41" s="466">
        <v>681</v>
      </c>
      <c r="G41" s="466"/>
      <c r="H41" s="466"/>
      <c r="I41" s="467"/>
      <c r="J41" s="467"/>
      <c r="K41" s="1671">
        <f t="shared" si="2"/>
        <v>681</v>
      </c>
      <c r="L41" s="466">
        <v>750</v>
      </c>
    </row>
    <row r="42" spans="1:14" ht="12.75" customHeight="1" thickBot="1" x14ac:dyDescent="0.25">
      <c r="A42" s="1668" t="s">
        <v>558</v>
      </c>
      <c r="B42" s="1669" t="s">
        <v>714</v>
      </c>
      <c r="C42" s="1670">
        <f>SUM(C36:C41)</f>
        <v>0</v>
      </c>
      <c r="D42" s="1670">
        <f t="shared" ref="D42:L42" si="3">SUM(D36:D41)</f>
        <v>0</v>
      </c>
      <c r="E42" s="1670">
        <f t="shared" si="3"/>
        <v>548</v>
      </c>
      <c r="F42" s="1670">
        <f t="shared" si="3"/>
        <v>982</v>
      </c>
      <c r="G42" s="1670">
        <f t="shared" si="3"/>
        <v>0</v>
      </c>
      <c r="H42" s="1670">
        <f t="shared" si="3"/>
        <v>0</v>
      </c>
      <c r="I42" s="1670">
        <f t="shared" si="3"/>
        <v>0</v>
      </c>
      <c r="J42" s="1670">
        <f t="shared" si="3"/>
        <v>0</v>
      </c>
      <c r="K42" s="1670">
        <f t="shared" si="3"/>
        <v>1530</v>
      </c>
      <c r="L42" s="1670">
        <f t="shared" si="3"/>
        <v>1650</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f>50+1061</f>
        <v>1111</v>
      </c>
      <c r="D44" s="481">
        <f>219+24</f>
        <v>243</v>
      </c>
      <c r="E44" s="481">
        <v>1290</v>
      </c>
      <c r="F44" s="481">
        <v>133</v>
      </c>
      <c r="G44" s="481"/>
      <c r="H44" s="481"/>
      <c r="I44" s="467"/>
      <c r="J44" s="467"/>
      <c r="K44" s="1672">
        <f>SUM(C44:J44)</f>
        <v>2777</v>
      </c>
      <c r="L44" s="481">
        <v>3815</v>
      </c>
    </row>
    <row r="45" spans="1:14" x14ac:dyDescent="0.2">
      <c r="A45" s="1504" t="s">
        <v>813</v>
      </c>
      <c r="B45" s="614">
        <v>2220</v>
      </c>
      <c r="C45" s="466"/>
      <c r="D45" s="466"/>
      <c r="E45" s="466"/>
      <c r="F45" s="466"/>
      <c r="G45" s="466"/>
      <c r="H45" s="466"/>
      <c r="I45" s="467"/>
      <c r="J45" s="467"/>
      <c r="K45" s="1672">
        <f>SUM(C45:J45)</f>
        <v>0</v>
      </c>
      <c r="L45" s="466"/>
    </row>
    <row r="46" spans="1:14" x14ac:dyDescent="0.2">
      <c r="A46" s="1504" t="s">
        <v>814</v>
      </c>
      <c r="B46" s="614">
        <v>2230</v>
      </c>
      <c r="C46" s="466"/>
      <c r="D46" s="466"/>
      <c r="E46" s="466"/>
      <c r="F46" s="466"/>
      <c r="G46" s="466"/>
      <c r="H46" s="466"/>
      <c r="I46" s="467"/>
      <c r="J46" s="467"/>
      <c r="K46" s="1672">
        <f>SUM(C46:J46)</f>
        <v>0</v>
      </c>
      <c r="L46" s="466"/>
    </row>
    <row r="47" spans="1:14" ht="12.75" customHeight="1" thickBot="1" x14ac:dyDescent="0.25">
      <c r="A47" s="1668" t="s">
        <v>559</v>
      </c>
      <c r="B47" s="1669" t="s">
        <v>32</v>
      </c>
      <c r="C47" s="1670">
        <f>SUM(C44:C46)</f>
        <v>1111</v>
      </c>
      <c r="D47" s="1670">
        <f t="shared" ref="D47:K47" si="4">SUM(D44:D46)</f>
        <v>243</v>
      </c>
      <c r="E47" s="1670">
        <f t="shared" si="4"/>
        <v>1290</v>
      </c>
      <c r="F47" s="1670">
        <f t="shared" si="4"/>
        <v>133</v>
      </c>
      <c r="G47" s="1670">
        <f t="shared" si="4"/>
        <v>0</v>
      </c>
      <c r="H47" s="1670">
        <f t="shared" si="4"/>
        <v>0</v>
      </c>
      <c r="I47" s="1670">
        <f t="shared" si="4"/>
        <v>0</v>
      </c>
      <c r="J47" s="1670">
        <f t="shared" si="4"/>
        <v>0</v>
      </c>
      <c r="K47" s="1670">
        <f t="shared" si="4"/>
        <v>2777</v>
      </c>
      <c r="L47" s="1670">
        <f>SUM(L44:L46)</f>
        <v>3815</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v>2863</v>
      </c>
      <c r="D49" s="481"/>
      <c r="E49" s="481">
        <f>4750+873+1008+1862</f>
        <v>8493</v>
      </c>
      <c r="F49" s="481">
        <f>2695+1234</f>
        <v>3929</v>
      </c>
      <c r="G49" s="481"/>
      <c r="H49" s="481"/>
      <c r="I49" s="467"/>
      <c r="J49" s="467"/>
      <c r="K49" s="1672">
        <f>SUM(C49:J49)</f>
        <v>15285</v>
      </c>
      <c r="L49" s="481">
        <v>12138</v>
      </c>
    </row>
    <row r="50" spans="1:14" x14ac:dyDescent="0.2">
      <c r="A50" s="1504" t="s">
        <v>816</v>
      </c>
      <c r="B50" s="614">
        <v>2320</v>
      </c>
      <c r="C50" s="466">
        <v>54692</v>
      </c>
      <c r="D50" s="466">
        <v>7056</v>
      </c>
      <c r="E50" s="466">
        <f>300+402</f>
        <v>702</v>
      </c>
      <c r="F50" s="466">
        <v>662</v>
      </c>
      <c r="G50" s="466"/>
      <c r="H50" s="466">
        <v>3331</v>
      </c>
      <c r="I50" s="467"/>
      <c r="J50" s="467"/>
      <c r="K50" s="1672">
        <f>SUM(C50:J50)</f>
        <v>66443</v>
      </c>
      <c r="L50" s="466">
        <v>69086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57555</v>
      </c>
      <c r="D53" s="1670">
        <f t="shared" ref="D53:L53" si="5">SUM(D49:D52)</f>
        <v>7056</v>
      </c>
      <c r="E53" s="1670">
        <f t="shared" si="5"/>
        <v>9195</v>
      </c>
      <c r="F53" s="1670">
        <f t="shared" si="5"/>
        <v>4591</v>
      </c>
      <c r="G53" s="1670">
        <f t="shared" si="5"/>
        <v>0</v>
      </c>
      <c r="H53" s="1670">
        <f t="shared" si="5"/>
        <v>3331</v>
      </c>
      <c r="I53" s="1670">
        <f t="shared" si="5"/>
        <v>0</v>
      </c>
      <c r="J53" s="1670">
        <f t="shared" si="5"/>
        <v>0</v>
      </c>
      <c r="K53" s="1670">
        <f t="shared" si="5"/>
        <v>81728</v>
      </c>
      <c r="L53" s="1670">
        <f t="shared" si="5"/>
        <v>81224</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3090+17943</f>
        <v>21033</v>
      </c>
      <c r="D55" s="481">
        <f>2639+9981</f>
        <v>12620</v>
      </c>
      <c r="E55" s="481"/>
      <c r="F55" s="481"/>
      <c r="G55" s="481"/>
      <c r="H55" s="481"/>
      <c r="I55" s="467"/>
      <c r="J55" s="467"/>
      <c r="K55" s="1672">
        <f>SUM(C55:J55)</f>
        <v>33653</v>
      </c>
      <c r="L55" s="481">
        <v>53053</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21033</v>
      </c>
      <c r="D57" s="1674">
        <f t="shared" ref="D57:K57" si="6">SUM(D55:D56)</f>
        <v>12620</v>
      </c>
      <c r="E57" s="1674">
        <f t="shared" si="6"/>
        <v>0</v>
      </c>
      <c r="F57" s="1674">
        <f t="shared" si="6"/>
        <v>0</v>
      </c>
      <c r="G57" s="1674">
        <f t="shared" si="6"/>
        <v>0</v>
      </c>
      <c r="H57" s="1674">
        <f t="shared" si="6"/>
        <v>0</v>
      </c>
      <c r="I57" s="1674">
        <f t="shared" si="6"/>
        <v>0</v>
      </c>
      <c r="J57" s="1674">
        <f t="shared" si="6"/>
        <v>0</v>
      </c>
      <c r="K57" s="1674">
        <f t="shared" si="6"/>
        <v>33653</v>
      </c>
      <c r="L57" s="1670">
        <f>SUM(L55:L56)</f>
        <v>53053</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v>32768</v>
      </c>
      <c r="D60" s="466"/>
      <c r="E60" s="466">
        <f>600+174</f>
        <v>774</v>
      </c>
      <c r="F60" s="466">
        <v>2014</v>
      </c>
      <c r="G60" s="466"/>
      <c r="H60" s="466">
        <v>13</v>
      </c>
      <c r="I60" s="467"/>
      <c r="J60" s="467"/>
      <c r="K60" s="1672">
        <f t="shared" si="7"/>
        <v>35569</v>
      </c>
      <c r="L60" s="466">
        <v>34175</v>
      </c>
      <c r="M60" s="609"/>
      <c r="N60" s="609"/>
    </row>
    <row r="61" spans="1:14" s="343" customFormat="1" x14ac:dyDescent="0.2">
      <c r="A61" s="1504" t="s">
        <v>197</v>
      </c>
      <c r="B61" s="614">
        <v>2540</v>
      </c>
      <c r="C61" s="466"/>
      <c r="D61" s="466"/>
      <c r="E61" s="466">
        <v>7322</v>
      </c>
      <c r="F61" s="466"/>
      <c r="G61" s="466"/>
      <c r="H61" s="466"/>
      <c r="I61" s="467"/>
      <c r="J61" s="467"/>
      <c r="K61" s="1672">
        <f t="shared" si="7"/>
        <v>7322</v>
      </c>
      <c r="L61" s="466">
        <v>7500</v>
      </c>
      <c r="M61" s="609"/>
      <c r="N61" s="609"/>
    </row>
    <row r="62" spans="1:14" s="343" customFormat="1" x14ac:dyDescent="0.2">
      <c r="A62" s="1504" t="s">
        <v>951</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f>28060+1050</f>
        <v>29110</v>
      </c>
      <c r="D63" s="466"/>
      <c r="E63" s="466">
        <f>3330+31+30</f>
        <v>3391</v>
      </c>
      <c r="F63" s="466">
        <f>38221+2442+319+1884+486+841</f>
        <v>44193</v>
      </c>
      <c r="G63" s="466">
        <v>1899</v>
      </c>
      <c r="H63" s="466">
        <v>229</v>
      </c>
      <c r="I63" s="467"/>
      <c r="J63" s="467"/>
      <c r="K63" s="1672">
        <f t="shared" si="7"/>
        <v>78822</v>
      </c>
      <c r="L63" s="466">
        <v>80070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717</v>
      </c>
      <c r="B65" s="1669" t="s">
        <v>35</v>
      </c>
      <c r="C65" s="1670">
        <f>SUM(C59:C64)</f>
        <v>61878</v>
      </c>
      <c r="D65" s="1670">
        <f t="shared" ref="D65:L65" si="8">SUM(D59:D64)</f>
        <v>0</v>
      </c>
      <c r="E65" s="1670">
        <f t="shared" si="8"/>
        <v>11487</v>
      </c>
      <c r="F65" s="1670">
        <f t="shared" si="8"/>
        <v>46207</v>
      </c>
      <c r="G65" s="1670">
        <f t="shared" si="8"/>
        <v>1899</v>
      </c>
      <c r="H65" s="1670">
        <f t="shared" si="8"/>
        <v>242</v>
      </c>
      <c r="I65" s="1670">
        <f t="shared" si="8"/>
        <v>0</v>
      </c>
      <c r="J65" s="1670">
        <f t="shared" si="8"/>
        <v>0</v>
      </c>
      <c r="K65" s="1670">
        <f t="shared" si="8"/>
        <v>121713</v>
      </c>
      <c r="L65" s="1670">
        <f t="shared" si="8"/>
        <v>121745</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c r="G68" s="466"/>
      <c r="H68" s="466"/>
      <c r="I68" s="467"/>
      <c r="J68" s="467"/>
      <c r="K68" s="1672">
        <f>SUM(C68:J68)</f>
        <v>0</v>
      </c>
      <c r="L68" s="466"/>
      <c r="M68" s="609"/>
      <c r="N68" s="609"/>
    </row>
    <row r="69" spans="1:14" s="343" customFormat="1" x14ac:dyDescent="0.2">
      <c r="A69" s="1504" t="s">
        <v>1059</v>
      </c>
      <c r="B69" s="614">
        <v>2630</v>
      </c>
      <c r="C69" s="466"/>
      <c r="D69" s="466"/>
      <c r="E69" s="466"/>
      <c r="F69" s="466"/>
      <c r="G69" s="466"/>
      <c r="H69" s="466"/>
      <c r="I69" s="467"/>
      <c r="J69" s="467"/>
      <c r="K69" s="1672">
        <f>SUM(C69:J69)</f>
        <v>0</v>
      </c>
      <c r="L69" s="466"/>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978</v>
      </c>
      <c r="B73" s="632" t="s">
        <v>572</v>
      </c>
      <c r="C73" s="573"/>
      <c r="D73" s="573"/>
      <c r="E73" s="573"/>
      <c r="F73" s="573"/>
      <c r="G73" s="573"/>
      <c r="H73" s="573"/>
      <c r="I73" s="531"/>
      <c r="J73" s="531"/>
      <c r="K73" s="1670">
        <f>SUM(C73:J73)</f>
        <v>0</v>
      </c>
      <c r="L73" s="576"/>
      <c r="M73" s="609"/>
      <c r="N73" s="609"/>
    </row>
    <row r="74" spans="1:14" ht="12.75" customHeight="1" thickTop="1" thickBot="1" x14ac:dyDescent="0.25">
      <c r="A74" s="1668" t="s">
        <v>809</v>
      </c>
      <c r="B74" s="1676">
        <v>2000</v>
      </c>
      <c r="C74" s="1677">
        <f>SUM(C42,C47,C53,C57,C65,C72,C73)</f>
        <v>141577</v>
      </c>
      <c r="D74" s="1677">
        <f t="shared" ref="D74:K74" si="10">SUM(D42,D47,D53,D57,D65,D72,D73)</f>
        <v>19919</v>
      </c>
      <c r="E74" s="1677">
        <f t="shared" si="10"/>
        <v>22520</v>
      </c>
      <c r="F74" s="1677">
        <f t="shared" si="10"/>
        <v>51913</v>
      </c>
      <c r="G74" s="1677">
        <f t="shared" si="10"/>
        <v>1899</v>
      </c>
      <c r="H74" s="1677">
        <f t="shared" si="10"/>
        <v>3573</v>
      </c>
      <c r="I74" s="1677">
        <f t="shared" si="10"/>
        <v>0</v>
      </c>
      <c r="J74" s="1677">
        <f t="shared" si="10"/>
        <v>0</v>
      </c>
      <c r="K74" s="1677">
        <f t="shared" si="10"/>
        <v>241401</v>
      </c>
      <c r="L74" s="1677">
        <f>SUM(L42,L47,L53,L57,L65,L72,L73)</f>
        <v>261487</v>
      </c>
    </row>
    <row r="75" spans="1:14" s="259" customFormat="1" ht="15.75" customHeight="1" thickTop="1" thickBot="1" x14ac:dyDescent="0.25">
      <c r="A75" s="1610" t="s">
        <v>47</v>
      </c>
      <c r="B75" s="1611" t="s">
        <v>573</v>
      </c>
      <c r="C75" s="573"/>
      <c r="D75" s="573"/>
      <c r="E75" s="573"/>
      <c r="F75" s="573"/>
      <c r="G75" s="573"/>
      <c r="H75" s="573"/>
      <c r="I75" s="531"/>
      <c r="J75" s="531"/>
      <c r="K75" s="1670">
        <f>SUM(C75:J75)</f>
        <v>0</v>
      </c>
      <c r="L75" s="576"/>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c r="F78" s="616"/>
      <c r="G78" s="616"/>
      <c r="H78" s="634"/>
      <c r="I78" s="477"/>
      <c r="J78" s="477"/>
      <c r="K78" s="1671">
        <f t="shared" ref="K78:K83" si="11">SUM(C78:J78)</f>
        <v>0</v>
      </c>
      <c r="L78" s="481"/>
    </row>
    <row r="79" spans="1:14" x14ac:dyDescent="0.2">
      <c r="A79" s="1504" t="s">
        <v>302</v>
      </c>
      <c r="B79" s="614">
        <v>4120</v>
      </c>
      <c r="C79" s="616"/>
      <c r="D79" s="616"/>
      <c r="E79" s="466"/>
      <c r="F79" s="616"/>
      <c r="G79" s="616"/>
      <c r="H79" s="466">
        <v>79771</v>
      </c>
      <c r="I79" s="477"/>
      <c r="J79" s="477"/>
      <c r="K79" s="1671">
        <f t="shared" si="11"/>
        <v>79771</v>
      </c>
      <c r="L79" s="466">
        <v>98000</v>
      </c>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c r="I83" s="477"/>
      <c r="J83" s="477"/>
      <c r="K83" s="1671">
        <f t="shared" si="11"/>
        <v>0</v>
      </c>
      <c r="L83" s="466"/>
    </row>
    <row r="84" spans="1:12" ht="13.5" thickBot="1" x14ac:dyDescent="0.25">
      <c r="A84" s="1668" t="s">
        <v>1483</v>
      </c>
      <c r="B84" s="1678">
        <v>4100</v>
      </c>
      <c r="C84" s="616"/>
      <c r="D84" s="616"/>
      <c r="E84" s="1670">
        <f>SUM(E78:E83)</f>
        <v>0</v>
      </c>
      <c r="F84" s="616"/>
      <c r="G84" s="616"/>
      <c r="H84" s="1670">
        <f>SUM(H78:H83)</f>
        <v>79771</v>
      </c>
      <c r="I84" s="477"/>
      <c r="J84" s="477"/>
      <c r="K84" s="1670">
        <f>SUM(K78:K83)</f>
        <v>79771</v>
      </c>
      <c r="L84" s="1670">
        <f>SUM(L78:L83)</f>
        <v>98000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697</v>
      </c>
      <c r="B86" s="637">
        <v>4220</v>
      </c>
      <c r="C86" s="616"/>
      <c r="D86" s="616"/>
      <c r="E86" s="638"/>
      <c r="F86" s="616"/>
      <c r="G86" s="616"/>
      <c r="H86" s="467"/>
      <c r="I86" s="477"/>
      <c r="J86" s="477"/>
      <c r="K86" s="1677">
        <f t="shared" ref="K86:K98" si="12">H86</f>
        <v>0</v>
      </c>
      <c r="L86" s="530"/>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c r="I88" s="477"/>
      <c r="J88" s="477"/>
      <c r="K88" s="1677">
        <f t="shared" si="12"/>
        <v>0</v>
      </c>
      <c r="L88" s="530"/>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0</v>
      </c>
      <c r="F102" s="616"/>
      <c r="G102" s="616"/>
      <c r="H102" s="1677">
        <f>SUM(H84,H92,H100,H101)</f>
        <v>79771</v>
      </c>
      <c r="I102" s="477"/>
      <c r="J102" s="477"/>
      <c r="K102" s="1677">
        <f>SUM(K84,K92,K100,K101)</f>
        <v>79771</v>
      </c>
      <c r="L102" s="1677">
        <f>SUM(L84,L92,L100,L101)</f>
        <v>98000</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675224</v>
      </c>
      <c r="D114" s="1670">
        <f t="shared" ref="D114:K114" si="13">SUM(D33,D74,D75,D102,D112,D113)</f>
        <v>87053</v>
      </c>
      <c r="E114" s="1670">
        <f t="shared" si="13"/>
        <v>30882</v>
      </c>
      <c r="F114" s="1670">
        <f t="shared" si="13"/>
        <v>109889</v>
      </c>
      <c r="G114" s="1670">
        <f t="shared" si="13"/>
        <v>36680</v>
      </c>
      <c r="H114" s="1670">
        <f>SUM(H33,H74,H75,H102,H112,H113)</f>
        <v>84016</v>
      </c>
      <c r="I114" s="1670">
        <f t="shared" si="13"/>
        <v>0</v>
      </c>
      <c r="J114" s="1670">
        <f t="shared" si="13"/>
        <v>0</v>
      </c>
      <c r="K114" s="1670">
        <f t="shared" si="13"/>
        <v>1023744</v>
      </c>
      <c r="L114" s="1670">
        <f>SUM(L33,L74,L75,L102,L112,L113)</f>
        <v>1092933</v>
      </c>
    </row>
    <row r="115" spans="1:14" ht="13.5" thickTop="1" x14ac:dyDescent="0.2">
      <c r="A115" s="2160" t="s">
        <v>994</v>
      </c>
      <c r="B115" s="2161"/>
      <c r="C115" s="618"/>
      <c r="D115" s="618"/>
      <c r="E115" s="618"/>
      <c r="F115" s="618"/>
      <c r="G115" s="618"/>
      <c r="H115" s="618"/>
      <c r="I115" s="618"/>
      <c r="J115" s="618"/>
      <c r="K115" s="1684">
        <f>'Revenues 9-14'!C268-'Expenditures 15-22'!K114</f>
        <v>297463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294</v>
      </c>
      <c r="B117" s="2166"/>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2058</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48732</v>
      </c>
      <c r="D124" s="466">
        <v>2375</v>
      </c>
      <c r="E124" s="466">
        <f>160+1437+19252+8491</f>
        <v>29340</v>
      </c>
      <c r="F124" s="466">
        <f>23122+7636+19711</f>
        <v>50469</v>
      </c>
      <c r="G124" s="466">
        <v>5545</v>
      </c>
      <c r="H124" s="466"/>
      <c r="I124" s="467"/>
      <c r="J124" s="467"/>
      <c r="K124" s="1670">
        <f>SUM(C124:J124)</f>
        <v>136461</v>
      </c>
      <c r="L124" s="466">
        <v>121700</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48732</v>
      </c>
      <c r="D127" s="1670">
        <f t="shared" ref="D127:L127" si="14">SUM(D122:D126)</f>
        <v>2375</v>
      </c>
      <c r="E127" s="1670">
        <f t="shared" si="14"/>
        <v>29340</v>
      </c>
      <c r="F127" s="1670">
        <f t="shared" si="14"/>
        <v>50469</v>
      </c>
      <c r="G127" s="1670">
        <f t="shared" si="14"/>
        <v>5545</v>
      </c>
      <c r="H127" s="1670">
        <f t="shared" si="14"/>
        <v>0</v>
      </c>
      <c r="I127" s="1670">
        <f t="shared" si="14"/>
        <v>0</v>
      </c>
      <c r="J127" s="1670">
        <f t="shared" si="14"/>
        <v>0</v>
      </c>
      <c r="K127" s="1670">
        <f t="shared" si="14"/>
        <v>136461</v>
      </c>
      <c r="L127" s="1670">
        <f t="shared" si="14"/>
        <v>121700</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48732</v>
      </c>
      <c r="D129" s="1677">
        <f t="shared" ref="D129:L129" si="15">SUM(D120,D127,D128)</f>
        <v>2375</v>
      </c>
      <c r="E129" s="1677">
        <f t="shared" si="15"/>
        <v>29340</v>
      </c>
      <c r="F129" s="1677">
        <f t="shared" si="15"/>
        <v>50469</v>
      </c>
      <c r="G129" s="1677">
        <f t="shared" si="15"/>
        <v>5545</v>
      </c>
      <c r="H129" s="1677">
        <f t="shared" si="15"/>
        <v>0</v>
      </c>
      <c r="I129" s="1677">
        <f t="shared" si="15"/>
        <v>0</v>
      </c>
      <c r="J129" s="1677">
        <f t="shared" si="15"/>
        <v>0</v>
      </c>
      <c r="K129" s="1677">
        <f t="shared" si="15"/>
        <v>136461</v>
      </c>
      <c r="L129" s="1677">
        <f t="shared" si="15"/>
        <v>121700</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1843</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row>
    <row r="151" spans="1:14" ht="12.75" customHeight="1" thickTop="1" thickBot="1" x14ac:dyDescent="0.25">
      <c r="A151" s="2177" t="s">
        <v>618</v>
      </c>
      <c r="B151" s="2157"/>
      <c r="C151" s="1670">
        <f>SUM(C129,C130,C139,C149,C150)</f>
        <v>48732</v>
      </c>
      <c r="D151" s="1670">
        <f t="shared" ref="D151:K151" si="16">SUM(D129,D130,D139,D149,D150)</f>
        <v>2375</v>
      </c>
      <c r="E151" s="1670">
        <f t="shared" si="16"/>
        <v>29340</v>
      </c>
      <c r="F151" s="1670">
        <f t="shared" si="16"/>
        <v>50469</v>
      </c>
      <c r="G151" s="1670">
        <f t="shared" si="16"/>
        <v>5545</v>
      </c>
      <c r="H151" s="1670">
        <f t="shared" si="16"/>
        <v>0</v>
      </c>
      <c r="I151" s="1670">
        <f t="shared" si="16"/>
        <v>0</v>
      </c>
      <c r="J151" s="1670">
        <f t="shared" si="16"/>
        <v>0</v>
      </c>
      <c r="K151" s="1670">
        <f t="shared" si="16"/>
        <v>136461</v>
      </c>
      <c r="L151" s="1670">
        <f>SUM(L129,L130,L139,L149,L150)</f>
        <v>121700</v>
      </c>
    </row>
    <row r="152" spans="1:14" ht="12.75" customHeight="1" thickTop="1" x14ac:dyDescent="0.2">
      <c r="A152" s="2180" t="s">
        <v>1176</v>
      </c>
      <c r="B152" s="2181"/>
      <c r="C152" s="618"/>
      <c r="D152" s="618"/>
      <c r="E152" s="618"/>
      <c r="F152" s="618"/>
      <c r="G152" s="618"/>
      <c r="H152" s="618"/>
      <c r="I152" s="618"/>
      <c r="J152" s="616"/>
      <c r="K152" s="1684">
        <f>'Revenues 9-14'!D268-'Expenditures 15-22'!K151</f>
        <v>18733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619</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10787</v>
      </c>
      <c r="I169" s="616"/>
      <c r="J169" s="616"/>
      <c r="K169" s="1671">
        <f>SUM(C169:H169)</f>
        <v>10787</v>
      </c>
      <c r="L169" s="656">
        <v>11000</v>
      </c>
    </row>
    <row r="170" spans="1:14" ht="33.75" customHeight="1" x14ac:dyDescent="0.2">
      <c r="A170" s="669" t="s">
        <v>1668</v>
      </c>
      <c r="B170" s="671" t="s">
        <v>31</v>
      </c>
      <c r="C170" s="616"/>
      <c r="D170" s="616"/>
      <c r="E170" s="616"/>
      <c r="F170" s="616"/>
      <c r="G170" s="616"/>
      <c r="H170" s="569">
        <v>25000</v>
      </c>
      <c r="I170" s="616"/>
      <c r="J170" s="616"/>
      <c r="K170" s="1671">
        <f>SUM(C170:J170)</f>
        <v>25000</v>
      </c>
      <c r="L170" s="569">
        <v>25000</v>
      </c>
    </row>
    <row r="171" spans="1:14" ht="15.75" customHeight="1" x14ac:dyDescent="0.2">
      <c r="A171" s="621" t="s">
        <v>764</v>
      </c>
      <c r="B171" s="672" t="s">
        <v>84</v>
      </c>
      <c r="C171" s="616"/>
      <c r="D171" s="616"/>
      <c r="E171" s="466">
        <v>500</v>
      </c>
      <c r="F171" s="616"/>
      <c r="G171" s="616"/>
      <c r="H171" s="569"/>
      <c r="I171" s="477"/>
      <c r="J171" s="616"/>
      <c r="K171" s="1671">
        <f>SUM(C171:J171)</f>
        <v>500</v>
      </c>
      <c r="L171" s="569"/>
    </row>
    <row r="172" spans="1:14" ht="12.75" customHeight="1" thickBot="1" x14ac:dyDescent="0.25">
      <c r="A172" s="1668" t="s">
        <v>636</v>
      </c>
      <c r="B172" s="1669" t="s">
        <v>490</v>
      </c>
      <c r="C172" s="616"/>
      <c r="D172" s="616"/>
      <c r="E172" s="1677">
        <f>SUM(E168,E169,E170,E171)</f>
        <v>500</v>
      </c>
      <c r="F172" s="616"/>
      <c r="G172" s="616"/>
      <c r="H172" s="1677">
        <f>SUM(H168,H169,H170,H171)</f>
        <v>35787</v>
      </c>
      <c r="I172" s="638"/>
      <c r="J172" s="616"/>
      <c r="K172" s="1677">
        <f>SUM(K168,K169,K170,K171)</f>
        <v>36287</v>
      </c>
      <c r="L172" s="1677">
        <f>SUM(L168,L169,L170,L171)</f>
        <v>36000</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500</v>
      </c>
      <c r="F174" s="616"/>
      <c r="G174" s="616"/>
      <c r="H174" s="1677">
        <f>SUM(H160,H172,H173)</f>
        <v>35787</v>
      </c>
      <c r="I174" s="638"/>
      <c r="J174" s="616"/>
      <c r="K174" s="1677">
        <f>SUM(K160,K172,K173)</f>
        <v>36287</v>
      </c>
      <c r="L174" s="1677">
        <f>SUM(L160,L172,L173)</f>
        <v>36000</v>
      </c>
    </row>
    <row r="175" spans="1:14" ht="13.5" thickTop="1" x14ac:dyDescent="0.2">
      <c r="A175" s="2160" t="s">
        <v>994</v>
      </c>
      <c r="B175" s="2161"/>
      <c r="C175" s="616"/>
      <c r="D175" s="616"/>
      <c r="E175" s="616"/>
      <c r="F175" s="616"/>
      <c r="G175" s="616"/>
      <c r="H175" s="618"/>
      <c r="I175" s="616"/>
      <c r="J175" s="616"/>
      <c r="K175" s="1684">
        <f>'Revenues 9-14'!E268-'Expenditures 15-22'!K174</f>
        <v>-1270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2058</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f>5590+8475</f>
        <v>14065</v>
      </c>
      <c r="D182" s="466">
        <v>721</v>
      </c>
      <c r="E182" s="466">
        <f>1230+3306+976+1198</f>
        <v>6710</v>
      </c>
      <c r="F182" s="466">
        <v>2465</v>
      </c>
      <c r="G182" s="466">
        <v>47900</v>
      </c>
      <c r="H182" s="466">
        <v>232</v>
      </c>
      <c r="I182" s="467"/>
      <c r="J182" s="467"/>
      <c r="K182" s="1671">
        <f>SUM(C182:J182)</f>
        <v>72093</v>
      </c>
      <c r="L182" s="466">
        <v>35834</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14065</v>
      </c>
      <c r="D184" s="1677">
        <f t="shared" ref="D184:J184" si="17">SUM(D180,D182,D183)</f>
        <v>721</v>
      </c>
      <c r="E184" s="1677">
        <f t="shared" si="17"/>
        <v>6710</v>
      </c>
      <c r="F184" s="1677">
        <f t="shared" si="17"/>
        <v>2465</v>
      </c>
      <c r="G184" s="1677">
        <f t="shared" si="17"/>
        <v>47900</v>
      </c>
      <c r="H184" s="1677">
        <f t="shared" si="17"/>
        <v>232</v>
      </c>
      <c r="I184" s="1677">
        <f t="shared" si="17"/>
        <v>0</v>
      </c>
      <c r="J184" s="1677">
        <f t="shared" si="17"/>
        <v>0</v>
      </c>
      <c r="K184" s="1677">
        <f>SUM(K180,K182,K183)</f>
        <v>72093</v>
      </c>
      <c r="L184" s="1677">
        <f>SUM(L180, L182:L183)</f>
        <v>35834</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1669</v>
      </c>
      <c r="B206" s="672" t="s">
        <v>31</v>
      </c>
      <c r="C206" s="616"/>
      <c r="D206" s="616"/>
      <c r="E206" s="616"/>
      <c r="F206" s="616"/>
      <c r="G206" s="616"/>
      <c r="H206" s="466">
        <v>10602</v>
      </c>
      <c r="I206" s="616"/>
      <c r="J206" s="616"/>
      <c r="K206" s="1671">
        <f>SUM(H206)</f>
        <v>10602</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10602</v>
      </c>
      <c r="I208" s="616"/>
      <c r="J208" s="616"/>
      <c r="K208" s="1677">
        <f>SUM(K204,K205,K206,K207)</f>
        <v>10602</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14065</v>
      </c>
      <c r="D210" s="1670">
        <f>SUM(D184,D185)</f>
        <v>721</v>
      </c>
      <c r="E210" s="1670">
        <f>SUM(E184,E185,E196)</f>
        <v>6710</v>
      </c>
      <c r="F210" s="1670">
        <f>SUM(F184,F185)</f>
        <v>2465</v>
      </c>
      <c r="G210" s="1670">
        <f>SUM(G184,G185)</f>
        <v>47900</v>
      </c>
      <c r="H210" s="1670">
        <f>SUM(H184,H185,H196,H208,H209)</f>
        <v>10834</v>
      </c>
      <c r="I210" s="1670">
        <f>SUM(I184,I185)</f>
        <v>0</v>
      </c>
      <c r="J210" s="1670">
        <f>SUM(J184,J185)</f>
        <v>0</v>
      </c>
      <c r="K210" s="1671">
        <f>SUM(K184,K185,K196,K208,K209)</f>
        <v>82695</v>
      </c>
      <c r="L210" s="1670">
        <f>SUM(L184,L185,L196,L208,L209)</f>
        <v>35834</v>
      </c>
    </row>
    <row r="211" spans="1:14" ht="13.5" thickTop="1" x14ac:dyDescent="0.2">
      <c r="A211" s="2160" t="s">
        <v>994</v>
      </c>
      <c r="B211" s="2161"/>
      <c r="C211" s="618"/>
      <c r="D211" s="618"/>
      <c r="E211" s="618"/>
      <c r="F211" s="618"/>
      <c r="G211" s="618"/>
      <c r="H211" s="618"/>
      <c r="I211" s="616"/>
      <c r="J211" s="616"/>
      <c r="K211" s="1684">
        <f>'Revenues 9-14'!F268-'Expenditures 15-22'!K210</f>
        <v>-37740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963</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v>8900</v>
      </c>
      <c r="E215" s="616"/>
      <c r="F215" s="616"/>
      <c r="G215" s="616"/>
      <c r="H215" s="616"/>
      <c r="I215" s="616"/>
      <c r="J215" s="616"/>
      <c r="K215" s="1671">
        <f>D215</f>
        <v>8900</v>
      </c>
      <c r="L215" s="466">
        <v>13519</v>
      </c>
    </row>
    <row r="216" spans="1:14" x14ac:dyDescent="0.2">
      <c r="A216" s="1504" t="s">
        <v>163</v>
      </c>
      <c r="B216" s="614" t="s">
        <v>965</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6801</v>
      </c>
      <c r="E217" s="616"/>
      <c r="F217" s="616"/>
      <c r="G217" s="616"/>
      <c r="H217" s="616"/>
      <c r="I217" s="616"/>
      <c r="J217" s="616"/>
      <c r="K217" s="1671">
        <f t="shared" si="19"/>
        <v>6801</v>
      </c>
      <c r="L217" s="466">
        <v>6868</v>
      </c>
    </row>
    <row r="218" spans="1:14" x14ac:dyDescent="0.2">
      <c r="A218" s="1504" t="s">
        <v>276</v>
      </c>
      <c r="B218" s="614" t="s">
        <v>966</v>
      </c>
      <c r="C218" s="616"/>
      <c r="D218" s="467"/>
      <c r="E218" s="616"/>
      <c r="F218" s="616"/>
      <c r="G218" s="616"/>
      <c r="H218" s="616"/>
      <c r="I218" s="616"/>
      <c r="J218" s="616"/>
      <c r="K218" s="1671">
        <f t="shared" si="19"/>
        <v>0</v>
      </c>
      <c r="L218" s="466"/>
    </row>
    <row r="219" spans="1:14" x14ac:dyDescent="0.2">
      <c r="A219" s="1504" t="s">
        <v>277</v>
      </c>
      <c r="B219" s="614">
        <v>1250</v>
      </c>
      <c r="C219" s="616"/>
      <c r="D219" s="466">
        <v>622</v>
      </c>
      <c r="E219" s="616"/>
      <c r="F219" s="616"/>
      <c r="G219" s="616"/>
      <c r="H219" s="616"/>
      <c r="I219" s="616"/>
      <c r="J219" s="616"/>
      <c r="K219" s="1671">
        <f t="shared" si="19"/>
        <v>622</v>
      </c>
      <c r="L219" s="466">
        <v>582</v>
      </c>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c r="E222" s="616"/>
      <c r="F222" s="616"/>
      <c r="G222" s="616"/>
      <c r="H222" s="616"/>
      <c r="I222" s="616"/>
      <c r="J222" s="616"/>
      <c r="K222" s="1671">
        <f t="shared" si="19"/>
        <v>0</v>
      </c>
      <c r="L222" s="466"/>
    </row>
    <row r="223" spans="1:14" x14ac:dyDescent="0.2">
      <c r="A223" s="1504" t="s">
        <v>961</v>
      </c>
      <c r="B223" s="614">
        <v>1500</v>
      </c>
      <c r="C223" s="616"/>
      <c r="D223" s="466">
        <v>66</v>
      </c>
      <c r="E223" s="616"/>
      <c r="F223" s="616"/>
      <c r="G223" s="616"/>
      <c r="H223" s="616"/>
      <c r="I223" s="616"/>
      <c r="J223" s="616"/>
      <c r="K223" s="1671">
        <f t="shared" si="19"/>
        <v>66</v>
      </c>
      <c r="L223" s="466">
        <v>100</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c r="E226" s="616"/>
      <c r="F226" s="616"/>
      <c r="G226" s="616"/>
      <c r="H226" s="616"/>
      <c r="I226" s="616"/>
      <c r="J226" s="616"/>
      <c r="K226" s="1671">
        <f t="shared" si="19"/>
        <v>0</v>
      </c>
      <c r="L226" s="466"/>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16389</v>
      </c>
      <c r="E229" s="616"/>
      <c r="F229" s="616"/>
      <c r="G229" s="616"/>
      <c r="H229" s="616"/>
      <c r="I229" s="616"/>
      <c r="J229" s="616"/>
      <c r="K229" s="1670">
        <f>SUM(K215:K228)</f>
        <v>16389</v>
      </c>
      <c r="L229" s="1670">
        <f>SUM(L215:L228)</f>
        <v>21069</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c r="E232" s="616"/>
      <c r="F232" s="616"/>
      <c r="G232" s="616"/>
      <c r="H232" s="616"/>
      <c r="I232" s="616"/>
      <c r="J232" s="616"/>
      <c r="K232" s="1671">
        <f t="shared" ref="K232:K237" si="20">D232</f>
        <v>0</v>
      </c>
      <c r="L232" s="466"/>
    </row>
    <row r="233" spans="1:12" x14ac:dyDescent="0.2">
      <c r="A233" s="1504" t="s">
        <v>1088</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v>19</v>
      </c>
      <c r="E240" s="616"/>
      <c r="F240" s="616"/>
      <c r="G240" s="616"/>
      <c r="H240" s="616"/>
      <c r="I240" s="616"/>
      <c r="J240" s="616"/>
      <c r="K240" s="1672">
        <f>D240</f>
        <v>19</v>
      </c>
      <c r="L240" s="481">
        <v>87</v>
      </c>
    </row>
    <row r="241" spans="1:12" x14ac:dyDescent="0.2">
      <c r="A241" s="1504" t="s">
        <v>813</v>
      </c>
      <c r="B241" s="614">
        <v>2220</v>
      </c>
      <c r="C241" s="616"/>
      <c r="D241" s="466"/>
      <c r="E241" s="616"/>
      <c r="F241" s="616"/>
      <c r="G241" s="616"/>
      <c r="H241" s="616"/>
      <c r="I241" s="616"/>
      <c r="J241" s="616"/>
      <c r="K241" s="1672">
        <f>D241</f>
        <v>0</v>
      </c>
      <c r="L241" s="466"/>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19</v>
      </c>
      <c r="E243" s="616"/>
      <c r="F243" s="616"/>
      <c r="G243" s="616"/>
      <c r="H243" s="616"/>
      <c r="I243" s="616"/>
      <c r="J243" s="616"/>
      <c r="K243" s="1670">
        <f>SUM(K240:K242)</f>
        <v>19</v>
      </c>
      <c r="L243" s="1670">
        <f>SUM(L240:L242)</f>
        <v>87</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v>219</v>
      </c>
      <c r="E245" s="616"/>
      <c r="F245" s="616"/>
      <c r="G245" s="616"/>
      <c r="H245" s="616"/>
      <c r="I245" s="616"/>
      <c r="J245" s="616"/>
      <c r="K245" s="1672">
        <f>D245</f>
        <v>219</v>
      </c>
      <c r="L245" s="481">
        <v>204</v>
      </c>
    </row>
    <row r="246" spans="1:12" x14ac:dyDescent="0.2">
      <c r="A246" s="1504" t="s">
        <v>816</v>
      </c>
      <c r="B246" s="614">
        <v>2320</v>
      </c>
      <c r="C246" s="616"/>
      <c r="D246" s="466">
        <v>515</v>
      </c>
      <c r="E246" s="616"/>
      <c r="F246" s="616"/>
      <c r="G246" s="616"/>
      <c r="H246" s="616"/>
      <c r="I246" s="616"/>
      <c r="J246" s="616"/>
      <c r="K246" s="1672">
        <f t="shared" ref="K246:K256" si="21">D246</f>
        <v>515</v>
      </c>
      <c r="L246" s="466">
        <v>1398</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1803</v>
      </c>
      <c r="B249" s="683" t="s">
        <v>280</v>
      </c>
      <c r="C249" s="616"/>
      <c r="D249" s="474"/>
      <c r="E249" s="616"/>
      <c r="F249" s="616"/>
      <c r="G249" s="616"/>
      <c r="H249" s="616"/>
      <c r="I249" s="616"/>
      <c r="J249" s="616"/>
      <c r="K249" s="1672">
        <f t="shared" si="21"/>
        <v>0</v>
      </c>
      <c r="L249" s="466"/>
    </row>
    <row r="250" spans="1:12" x14ac:dyDescent="0.2">
      <c r="A250" s="1505" t="s">
        <v>1804</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v>1466</v>
      </c>
      <c r="E254" s="616"/>
      <c r="F254" s="616"/>
      <c r="G254" s="616"/>
      <c r="H254" s="616"/>
      <c r="I254" s="616"/>
      <c r="J254" s="616"/>
      <c r="K254" s="1672">
        <f t="shared" si="21"/>
        <v>1466</v>
      </c>
      <c r="L254" s="466">
        <v>1600</v>
      </c>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2200</v>
      </c>
      <c r="E257" s="616"/>
      <c r="F257" s="616"/>
      <c r="G257" s="616"/>
      <c r="H257" s="616"/>
      <c r="I257" s="616"/>
      <c r="J257" s="616"/>
      <c r="K257" s="1670">
        <f>SUM(K245:K256)</f>
        <v>2200</v>
      </c>
      <c r="L257" s="1670">
        <f>SUM(L245:L256)</f>
        <v>3202</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v>291</v>
      </c>
      <c r="E259" s="616"/>
      <c r="F259" s="616"/>
      <c r="G259" s="616"/>
      <c r="H259" s="616"/>
      <c r="I259" s="616"/>
      <c r="J259" s="616"/>
      <c r="K259" s="1672">
        <f>D259</f>
        <v>291</v>
      </c>
      <c r="L259" s="481">
        <v>300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291</v>
      </c>
      <c r="E261" s="616"/>
      <c r="F261" s="616"/>
      <c r="G261" s="616"/>
      <c r="H261" s="616"/>
      <c r="I261" s="616"/>
      <c r="J261" s="616"/>
      <c r="K261" s="1670">
        <f>SUM(K259:K260)</f>
        <v>291</v>
      </c>
      <c r="L261" s="1670">
        <f>SUM(L259:L260)</f>
        <v>300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v>5712</v>
      </c>
      <c r="E264" s="616"/>
      <c r="F264" s="616"/>
      <c r="G264" s="616"/>
      <c r="H264" s="616"/>
      <c r="I264" s="616"/>
      <c r="J264" s="616"/>
      <c r="K264" s="1672">
        <f t="shared" ref="K264:K269" si="22">D264</f>
        <v>5712</v>
      </c>
      <c r="L264" s="466">
        <v>5798</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8139</v>
      </c>
      <c r="E266" s="616"/>
      <c r="F266" s="616"/>
      <c r="G266" s="616"/>
      <c r="H266" s="616"/>
      <c r="I266" s="616"/>
      <c r="J266" s="616"/>
      <c r="K266" s="1672">
        <f t="shared" si="22"/>
        <v>8139</v>
      </c>
      <c r="L266" s="466">
        <v>7700</v>
      </c>
    </row>
    <row r="267" spans="1:14" x14ac:dyDescent="0.2">
      <c r="A267" s="1504" t="s">
        <v>951</v>
      </c>
      <c r="B267" s="614">
        <v>2550</v>
      </c>
      <c r="C267" s="616"/>
      <c r="D267" s="466">
        <v>730</v>
      </c>
      <c r="E267" s="616"/>
      <c r="F267" s="616"/>
      <c r="G267" s="616"/>
      <c r="H267" s="616"/>
      <c r="I267" s="616"/>
      <c r="J267" s="616"/>
      <c r="K267" s="1672">
        <f t="shared" si="22"/>
        <v>730</v>
      </c>
      <c r="L267" s="466">
        <v>1599</v>
      </c>
    </row>
    <row r="268" spans="1:14" x14ac:dyDescent="0.2">
      <c r="A268" s="1504" t="s">
        <v>100</v>
      </c>
      <c r="B268" s="614">
        <v>2560</v>
      </c>
      <c r="C268" s="616"/>
      <c r="D268" s="466">
        <v>5351</v>
      </c>
      <c r="E268" s="616"/>
      <c r="F268" s="616"/>
      <c r="G268" s="616"/>
      <c r="H268" s="616"/>
      <c r="I268" s="616"/>
      <c r="J268" s="616"/>
      <c r="K268" s="1672">
        <f t="shared" si="22"/>
        <v>5351</v>
      </c>
      <c r="L268" s="466">
        <v>5356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717</v>
      </c>
      <c r="B270" s="1675" t="s">
        <v>35</v>
      </c>
      <c r="C270" s="616"/>
      <c r="D270" s="1670">
        <f>SUM(D263:D269)</f>
        <v>19932</v>
      </c>
      <c r="E270" s="616"/>
      <c r="F270" s="616"/>
      <c r="G270" s="616"/>
      <c r="H270" s="616"/>
      <c r="I270" s="616"/>
      <c r="J270" s="616"/>
      <c r="K270" s="1670">
        <f>SUM(K263:K269)</f>
        <v>19932</v>
      </c>
      <c r="L270" s="1670">
        <f>SUM(L263:L269)</f>
        <v>20453</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22442</v>
      </c>
      <c r="E279" s="616"/>
      <c r="F279" s="616"/>
      <c r="G279" s="616"/>
      <c r="H279" s="616"/>
      <c r="I279" s="616"/>
      <c r="J279" s="616"/>
      <c r="K279" s="1677">
        <f>SUM(K238,K243,K257,K261,K270,K277,K278)</f>
        <v>22442</v>
      </c>
      <c r="L279" s="1677">
        <f>SUM(L238,L243,L257,L261,L270,L277,L278)</f>
        <v>24042</v>
      </c>
    </row>
    <row r="280" spans="1:12" ht="15.75" customHeight="1" thickTop="1" thickBot="1" x14ac:dyDescent="0.25">
      <c r="A280" s="1624" t="s">
        <v>873</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1843</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8" t="s">
        <v>503</v>
      </c>
      <c r="B295" s="2179"/>
      <c r="C295" s="616"/>
      <c r="D295" s="1670">
        <f>SUM(D229,D279,D280,D285)</f>
        <v>38831</v>
      </c>
      <c r="E295" s="616"/>
      <c r="F295" s="616"/>
      <c r="G295" s="616"/>
      <c r="H295" s="1670">
        <f>H293</f>
        <v>0</v>
      </c>
      <c r="I295" s="616"/>
      <c r="J295" s="616"/>
      <c r="K295" s="1670">
        <f>SUM(K229,K279,K280,K285,K293,K294)</f>
        <v>38831</v>
      </c>
      <c r="L295" s="1670">
        <f>SUM(L229,L279,L280,L285,L293,L294)</f>
        <v>45111</v>
      </c>
    </row>
    <row r="296" spans="1:14" ht="13.5" thickTop="1" x14ac:dyDescent="0.2">
      <c r="A296" s="2160" t="s">
        <v>994</v>
      </c>
      <c r="B296" s="2161"/>
      <c r="C296" s="616"/>
      <c r="D296" s="618"/>
      <c r="E296" s="616"/>
      <c r="F296" s="616"/>
      <c r="G296" s="616"/>
      <c r="H296" s="687"/>
      <c r="I296" s="616"/>
      <c r="J296" s="616"/>
      <c r="K296" s="1684">
        <f>'Revenues 9-14'!G268-'Expenditures 15-22'!K295</f>
        <v>3448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c r="F301" s="466"/>
      <c r="G301" s="466"/>
      <c r="H301" s="466"/>
      <c r="I301" s="467"/>
      <c r="J301" s="467"/>
      <c r="K301" s="1671">
        <f>SUM(C301:J301)</f>
        <v>0</v>
      </c>
      <c r="L301" s="467"/>
    </row>
    <row r="302" spans="1:14" ht="13.5" customHeight="1" x14ac:dyDescent="0.2">
      <c r="A302" s="1517" t="s">
        <v>978</v>
      </c>
      <c r="B302" s="614" t="s">
        <v>572</v>
      </c>
      <c r="C302" s="466"/>
      <c r="D302" s="466"/>
      <c r="E302" s="466"/>
      <c r="F302" s="466"/>
      <c r="G302" s="466"/>
      <c r="H302" s="466"/>
      <c r="I302" s="467"/>
      <c r="J302" s="467"/>
      <c r="K302" s="1671">
        <f>SUM(C302:J302)</f>
        <v>0</v>
      </c>
      <c r="L302" s="466"/>
    </row>
    <row r="303" spans="1:14" ht="12.75" customHeight="1" thickBot="1" x14ac:dyDescent="0.25">
      <c r="A303" s="1668" t="s">
        <v>809</v>
      </c>
      <c r="B303" s="1669" t="s">
        <v>567</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5" t="s">
        <v>275</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994</v>
      </c>
      <c r="B313" s="2172"/>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896</v>
      </c>
      <c r="B317" s="2185"/>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280</v>
      </c>
      <c r="C320" s="467"/>
      <c r="D320" s="467"/>
      <c r="E320" s="467">
        <v>5914</v>
      </c>
      <c r="F320" s="467"/>
      <c r="G320" s="467"/>
      <c r="H320" s="467"/>
      <c r="I320" s="467"/>
      <c r="J320" s="467"/>
      <c r="K320" s="1671">
        <f t="shared" ref="K320:K327" si="24">SUM(C320:J320)</f>
        <v>5914</v>
      </c>
      <c r="L320" s="467">
        <v>6000</v>
      </c>
      <c r="M320" s="665"/>
      <c r="N320" s="665"/>
    </row>
    <row r="321" spans="1:14" s="674" customFormat="1" x14ac:dyDescent="0.2">
      <c r="A321" s="1519" t="s">
        <v>298</v>
      </c>
      <c r="B321" s="697" t="s">
        <v>281</v>
      </c>
      <c r="C321" s="467"/>
      <c r="D321" s="467"/>
      <c r="E321" s="467">
        <v>3281</v>
      </c>
      <c r="F321" s="467"/>
      <c r="G321" s="467"/>
      <c r="H321" s="467"/>
      <c r="I321" s="467"/>
      <c r="J321" s="467"/>
      <c r="K321" s="1671">
        <f t="shared" si="24"/>
        <v>3281</v>
      </c>
      <c r="L321" s="467">
        <v>3700</v>
      </c>
      <c r="M321" s="665"/>
      <c r="N321" s="665"/>
    </row>
    <row r="322" spans="1:14" s="674" customFormat="1" x14ac:dyDescent="0.2">
      <c r="A322" s="1519" t="s">
        <v>238</v>
      </c>
      <c r="B322" s="697" t="s">
        <v>282</v>
      </c>
      <c r="C322" s="467"/>
      <c r="D322" s="467"/>
      <c r="E322" s="467">
        <v>11156</v>
      </c>
      <c r="F322" s="467"/>
      <c r="G322" s="467"/>
      <c r="H322" s="467"/>
      <c r="I322" s="467"/>
      <c r="J322" s="467"/>
      <c r="K322" s="1671">
        <f t="shared" si="24"/>
        <v>11156</v>
      </c>
      <c r="L322" s="467">
        <v>11950</v>
      </c>
      <c r="M322" s="665"/>
      <c r="N322" s="665"/>
    </row>
    <row r="323" spans="1:14" s="674" customFormat="1" x14ac:dyDescent="0.2">
      <c r="A323" s="1519" t="s">
        <v>700</v>
      </c>
      <c r="B323" s="697" t="s">
        <v>283</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v>45323</v>
      </c>
      <c r="D325" s="467">
        <f>4823+3478</f>
        <v>8301</v>
      </c>
      <c r="E325" s="467"/>
      <c r="F325" s="467"/>
      <c r="G325" s="467"/>
      <c r="H325" s="467"/>
      <c r="I325" s="467"/>
      <c r="J325" s="467"/>
      <c r="K325" s="1671">
        <f t="shared" si="24"/>
        <v>53624</v>
      </c>
      <c r="L325" s="467">
        <v>47331</v>
      </c>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v>3342</v>
      </c>
      <c r="F327" s="467"/>
      <c r="G327" s="467"/>
      <c r="H327" s="467"/>
      <c r="I327" s="467"/>
      <c r="J327" s="467"/>
      <c r="K327" s="1671">
        <f t="shared" si="24"/>
        <v>3342</v>
      </c>
      <c r="L327" s="467">
        <v>3000</v>
      </c>
      <c r="M327" s="665"/>
      <c r="N327" s="665"/>
    </row>
    <row r="328" spans="1:14" s="674" customFormat="1" x14ac:dyDescent="0.2">
      <c r="A328" s="1520" t="s">
        <v>470</v>
      </c>
      <c r="B328" s="690" t="s">
        <v>1130</v>
      </c>
      <c r="C328" s="474"/>
      <c r="D328" s="474"/>
      <c r="E328" s="474">
        <v>8066</v>
      </c>
      <c r="F328" s="474"/>
      <c r="G328" s="474"/>
      <c r="H328" s="474"/>
      <c r="I328" s="474"/>
      <c r="J328" s="474"/>
      <c r="K328" s="1699">
        <f>SUM(C328:J328)</f>
        <v>8066</v>
      </c>
      <c r="L328" s="474"/>
      <c r="M328" s="665"/>
      <c r="N328" s="665"/>
    </row>
    <row r="329" spans="1:14" s="674" customFormat="1" x14ac:dyDescent="0.2">
      <c r="A329" s="1520" t="s">
        <v>1131</v>
      </c>
      <c r="B329" s="690" t="s">
        <v>1132</v>
      </c>
      <c r="C329" s="474"/>
      <c r="D329" s="474"/>
      <c r="E329" s="474">
        <v>2761</v>
      </c>
      <c r="F329" s="474"/>
      <c r="G329" s="474"/>
      <c r="H329" s="474"/>
      <c r="I329" s="474"/>
      <c r="J329" s="474"/>
      <c r="K329" s="1699">
        <f>SUM(C329:J329)</f>
        <v>2761</v>
      </c>
      <c r="L329" s="474"/>
      <c r="M329" s="665"/>
      <c r="N329" s="665"/>
    </row>
    <row r="330" spans="1:14" s="674" customFormat="1" ht="12.75" customHeight="1" thickBot="1" x14ac:dyDescent="0.25">
      <c r="A330" s="1700" t="s">
        <v>715</v>
      </c>
      <c r="B330" s="1669" t="s">
        <v>567</v>
      </c>
      <c r="C330" s="1670">
        <f>SUM(C319:C329)</f>
        <v>45323</v>
      </c>
      <c r="D330" s="1670">
        <f t="shared" ref="D330:J330" si="25">SUM(D319:D329)</f>
        <v>8301</v>
      </c>
      <c r="E330" s="1670">
        <f t="shared" si="25"/>
        <v>34520</v>
      </c>
      <c r="F330" s="1670">
        <f t="shared" si="25"/>
        <v>0</v>
      </c>
      <c r="G330" s="1670">
        <f t="shared" si="25"/>
        <v>0</v>
      </c>
      <c r="H330" s="1670">
        <f t="shared" si="25"/>
        <v>0</v>
      </c>
      <c r="I330" s="1670">
        <f t="shared" si="25"/>
        <v>0</v>
      </c>
      <c r="J330" s="1670">
        <f t="shared" si="25"/>
        <v>0</v>
      </c>
      <c r="K330" s="1670">
        <f>SUM(K319:K329)</f>
        <v>88144</v>
      </c>
      <c r="L330" s="1670">
        <f>SUM(L319:L329)</f>
        <v>71981</v>
      </c>
      <c r="M330" s="665"/>
      <c r="N330" s="665"/>
    </row>
    <row r="331" spans="1:14" s="674" customFormat="1" ht="12.75" customHeight="1" thickTop="1" x14ac:dyDescent="0.2">
      <c r="A331" s="1831" t="s">
        <v>1849</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row>
    <row r="342" spans="1:14" ht="12.75" customHeight="1" thickTop="1" thickBot="1" x14ac:dyDescent="0.25">
      <c r="A342" s="1686" t="s">
        <v>503</v>
      </c>
      <c r="B342" s="1701"/>
      <c r="C342" s="1670">
        <f>SUM(C330)</f>
        <v>45323</v>
      </c>
      <c r="D342" s="1670">
        <f>SUM(D330)</f>
        <v>8301</v>
      </c>
      <c r="E342" s="1670">
        <f>SUM(E330)</f>
        <v>34520</v>
      </c>
      <c r="F342" s="1670">
        <f>SUM(F330)</f>
        <v>0</v>
      </c>
      <c r="G342" s="1670">
        <f>SUM(G330)</f>
        <v>0</v>
      </c>
      <c r="H342" s="1670">
        <f>SUM(H330,H334,H340)</f>
        <v>0</v>
      </c>
      <c r="I342" s="1670">
        <f>SUM(I330)</f>
        <v>0</v>
      </c>
      <c r="J342" s="1670">
        <f>SUM(J330)</f>
        <v>0</v>
      </c>
      <c r="K342" s="1670">
        <f>SUM(K330,K334,K340)</f>
        <v>88144</v>
      </c>
      <c r="L342" s="1677">
        <f>SUM(L330,L340,L341)</f>
        <v>71981</v>
      </c>
    </row>
    <row r="343" spans="1:14" ht="12.75" customHeight="1" thickTop="1" x14ac:dyDescent="0.2">
      <c r="A343" s="2173" t="s">
        <v>994</v>
      </c>
      <c r="B343" s="2174"/>
      <c r="C343" s="616"/>
      <c r="D343" s="616"/>
      <c r="E343" s="616"/>
      <c r="F343" s="616"/>
      <c r="G343" s="616"/>
      <c r="H343" s="616"/>
      <c r="I343" s="616"/>
      <c r="J343" s="616"/>
      <c r="K343" s="1684">
        <f>'Revenues 9-14'!J268-'Expenditures 15-22'!K342</f>
        <v>10584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964</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v>1500</v>
      </c>
      <c r="F348" s="466"/>
      <c r="G348" s="466"/>
      <c r="H348" s="466"/>
      <c r="I348" s="467"/>
      <c r="J348" s="467"/>
      <c r="K348" s="1671">
        <f>SUM(C348:J348)</f>
        <v>1500</v>
      </c>
      <c r="L348" s="466">
        <v>1500</v>
      </c>
    </row>
    <row r="349" spans="1:14" x14ac:dyDescent="0.2">
      <c r="A349" s="1504" t="s">
        <v>197</v>
      </c>
      <c r="B349" s="614">
        <v>2540</v>
      </c>
      <c r="C349" s="466"/>
      <c r="D349" s="466"/>
      <c r="E349" s="466"/>
      <c r="F349" s="466"/>
      <c r="G349" s="466">
        <v>28725</v>
      </c>
      <c r="H349" s="466"/>
      <c r="I349" s="467"/>
      <c r="J349" s="467"/>
      <c r="K349" s="1671">
        <f>SUM(C349:J349)</f>
        <v>28725</v>
      </c>
      <c r="L349" s="466">
        <v>36892</v>
      </c>
    </row>
    <row r="350" spans="1:14" ht="12.75" customHeight="1" thickBot="1" x14ac:dyDescent="0.25">
      <c r="A350" s="1668" t="s">
        <v>717</v>
      </c>
      <c r="B350" s="1669" t="s">
        <v>35</v>
      </c>
      <c r="C350" s="1670">
        <f>SUM(C348:C349)</f>
        <v>0</v>
      </c>
      <c r="D350" s="1670">
        <f t="shared" ref="D350:L350" si="26">SUM(D348:D349)</f>
        <v>0</v>
      </c>
      <c r="E350" s="1670">
        <f t="shared" si="26"/>
        <v>1500</v>
      </c>
      <c r="F350" s="1670">
        <f t="shared" si="26"/>
        <v>0</v>
      </c>
      <c r="G350" s="1670">
        <f t="shared" si="26"/>
        <v>28725</v>
      </c>
      <c r="H350" s="1670">
        <f t="shared" si="26"/>
        <v>0</v>
      </c>
      <c r="I350" s="1670">
        <f t="shared" si="26"/>
        <v>0</v>
      </c>
      <c r="J350" s="1670">
        <f t="shared" si="26"/>
        <v>0</v>
      </c>
      <c r="K350" s="1670">
        <f t="shared" si="26"/>
        <v>30225</v>
      </c>
      <c r="L350" s="1670">
        <f t="shared" si="26"/>
        <v>38392</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1500</v>
      </c>
      <c r="F352" s="1670">
        <f t="shared" si="27"/>
        <v>0</v>
      </c>
      <c r="G352" s="1670">
        <f t="shared" si="27"/>
        <v>28725</v>
      </c>
      <c r="H352" s="1670">
        <f t="shared" si="27"/>
        <v>0</v>
      </c>
      <c r="I352" s="1670">
        <f t="shared" si="27"/>
        <v>0</v>
      </c>
      <c r="J352" s="1670">
        <f t="shared" si="27"/>
        <v>0</v>
      </c>
      <c r="K352" s="1670">
        <f t="shared" si="27"/>
        <v>30225</v>
      </c>
      <c r="L352" s="1670">
        <f t="shared" si="27"/>
        <v>38392</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1500</v>
      </c>
      <c r="F367" s="1670">
        <f t="shared" si="28"/>
        <v>0</v>
      </c>
      <c r="G367" s="1670">
        <f t="shared" si="28"/>
        <v>28725</v>
      </c>
      <c r="H367" s="1670">
        <f t="shared" si="28"/>
        <v>0</v>
      </c>
      <c r="I367" s="1670">
        <f t="shared" si="28"/>
        <v>0</v>
      </c>
      <c r="J367" s="1670">
        <f t="shared" si="28"/>
        <v>0</v>
      </c>
      <c r="K367" s="1670">
        <f t="shared" si="28"/>
        <v>30225</v>
      </c>
      <c r="L367" s="1670">
        <f t="shared" si="28"/>
        <v>38392</v>
      </c>
    </row>
    <row r="368" spans="1:14" ht="13.5" thickTop="1" x14ac:dyDescent="0.2">
      <c r="A368" s="2160" t="s">
        <v>994</v>
      </c>
      <c r="B368" s="2161"/>
      <c r="C368" s="654"/>
      <c r="D368" s="654"/>
      <c r="E368" s="626"/>
      <c r="F368" s="626"/>
      <c r="G368" s="626"/>
      <c r="H368" s="626"/>
      <c r="I368" s="626"/>
      <c r="J368" s="623"/>
      <c r="K368" s="1671">
        <f>'Revenues 9-14'!K268-'Expenditures 15-22'!K367</f>
        <v>-24590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d21dc803-237d-4c68-8692-8d731fd29118"/>
    <ds:schemaRef ds:uri="http://purl.org/dc/terms/"/>
    <ds:schemaRef ds:uri="http://www.w3.org/XML/1998/namespace"/>
    <ds:schemaRef ds:uri="http://schemas.microsoft.com/office/2006/metadata/properties"/>
    <ds:schemaRef ds:uri="http://schemas.microsoft.com/office/2006/documentManagement/types"/>
    <ds:schemaRef ds:uri="http://purl.org/dc/elements/1.1/"/>
    <ds:schemaRef ds:uri="4d435f69-8686-490b-bd6d-b153bf22ab50"/>
    <ds:schemaRef ds:uri="6ce3111e-7420-4802-b50a-75d4e9a0b980"/>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2019-09-12T20:13:36Z</cp:lastPrinted>
  <dcterms:created xsi:type="dcterms:W3CDTF">2003-10-29T19:06:34Z</dcterms:created>
  <dcterms:modified xsi:type="dcterms:W3CDTF">2019-11-06T16:29:14Z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