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7C4BD7A-7A85-482B-91D7-61CD70E03DDE}" xr6:coauthVersionLast="36" xr6:coauthVersionMax="36" xr10:uidLastSave="{00000000-0000-0000-0000-000000000000}"/>
  <bookViews>
    <workbookView xWindow="0" yWindow="0" windowWidth="28800" windowHeight="117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31'!$A$1:$G$55</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6"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G33" i="181"/>
  <c r="F33" i="181"/>
  <c r="F29" i="181"/>
  <c r="G29" i="181" s="1"/>
  <c r="F27" i="181"/>
  <c r="G27" i="181" s="1"/>
  <c r="G25" i="181"/>
  <c r="F25" i="18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F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22" i="37"/>
  <c r="J22" i="37"/>
  <c r="L22" i="37"/>
  <c r="D24" i="37"/>
  <c r="B4270" i="106" s="1"/>
  <c r="D4270" i="106" s="1"/>
  <c r="L5" i="11"/>
  <c r="B2056" i="106" s="1"/>
  <c r="D2056" i="106" s="1"/>
  <c r="D9" i="7"/>
  <c r="B1767" i="106" s="1"/>
  <c r="D1767" i="106" s="1"/>
  <c r="B5752" i="106"/>
  <c r="D5752" i="106" s="1"/>
  <c r="D17" i="7"/>
  <c r="B4104" i="106" s="1"/>
  <c r="D4104" i="106" s="1"/>
  <c r="B3647" i="106" l="1"/>
  <c r="D3647" i="106" s="1"/>
  <c r="K76" i="4"/>
  <c r="B3586" i="106" s="1"/>
  <c r="D3586" i="106" s="1"/>
  <c r="G15" i="145"/>
  <c r="L367" i="29"/>
  <c r="B7235" i="106"/>
  <c r="D7235" i="106" s="1"/>
  <c r="D6103" i="106"/>
  <c r="F19" i="7"/>
  <c r="B1807" i="106" s="1"/>
  <c r="D1807" i="106" s="1"/>
  <c r="B1308" i="106"/>
  <c r="D1308" i="106" s="1"/>
  <c r="E174" i="29"/>
  <c r="B1309" i="106" s="1"/>
  <c r="D1309" i="106" s="1"/>
  <c r="L13" i="11"/>
  <c r="B2060" i="106" s="1"/>
  <c r="D2060" i="106" s="1"/>
  <c r="B1797" i="106"/>
  <c r="D1797" i="106" s="1"/>
  <c r="C342" i="29"/>
  <c r="B7216" i="106" s="1"/>
  <c r="D7216" i="106" s="1"/>
  <c r="G29" i="108"/>
  <c r="K184" i="29"/>
  <c r="F13" i="4" s="1"/>
  <c r="B2596" i="106" s="1"/>
  <c r="D2596" i="106" s="1"/>
  <c r="E29" i="108"/>
  <c r="E28" i="108"/>
  <c r="D11" i="37"/>
  <c r="D31" i="36"/>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5" i="106" l="1"/>
  <c r="D7253" i="106"/>
  <c r="D7252" i="106"/>
  <c r="L16" i="11"/>
  <c r="B2061" i="106" s="1"/>
  <c r="D2061" i="106" s="1"/>
  <c r="K342" i="29"/>
  <c r="F13" i="34" s="1"/>
  <c r="L114" i="29"/>
  <c r="C114" i="29"/>
  <c r="B757" i="106" s="1"/>
  <c r="D757" i="106" s="1"/>
  <c r="F174" i="34"/>
  <c r="D44"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19" i="4" l="1"/>
  <c r="B6229" i="106" s="1"/>
  <c r="D6229" i="106" s="1"/>
  <c r="J20" i="4"/>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<sst xmlns="http://schemas.openxmlformats.org/spreadsheetml/2006/main" count="5061" uniqueCount="2089">
  <si>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</si>
  <si>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</si>
  <si>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</si>
  <si>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</si>
  <si>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</si>
  <si>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</si>
  <si>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</si>
  <si>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</si>
  <si>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</si>
  <si>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</si>
  <si>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</si>
  <si>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</si>
  <si>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</si>
  <si>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</si>
  <si>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</si>
  <si>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</si>
  <si>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</si>
  <si>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</si>
  <si>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</si>
  <si>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</si>
  <si>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</si>
  <si>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</si>
  <si>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</si>
  <si>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</si>
  <si>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</si>
  <si>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</si>
  <si>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</si>
  <si>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</si>
  <si>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</si>
  <si>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</si>
  <si>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</si>
  <si>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</si>
  <si>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</si>
  <si>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</si>
  <si>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</si>
  <si>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</si>
  <si>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</si>
  <si>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</si>
  <si>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</si>
  <si>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</si>
  <si>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</si>
  <si>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</si>
  <si>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</si>
  <si>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</si>
  <si>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</si>
  <si>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</si>
  <si>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</si>
  <si>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</si>
  <si>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</si>
  <si>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</si>
  <si>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</si>
  <si>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</si>
  <si>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</si>
  <si>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</si>
  <si>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</si>
  <si>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</si>
  <si>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</si>
  <si>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</si>
  <si>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</si>
  <si>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</si>
  <si>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</si>
  <si>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</si>
  <si>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</si>
  <si>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</si>
  <si>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</si>
  <si>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</si>
  <si>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</si>
  <si>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</si>
  <si>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</si>
  <si>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</si>
  <si>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</si>
  <si>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</si>
  <si>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</si>
  <si>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</si>
  <si>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</si>
  <si>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</si>
  <si>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</si>
  <si>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</si>
  <si>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</si>
  <si>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</si>
  <si>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</si>
  <si>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</si>
  <si>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</si>
  <si>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</si>
  <si>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</si>
  <si>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</si>
  <si>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</si>
  <si>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</si>
  <si>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</si>
  <si>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</si>
  <si>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</si>
  <si>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</si>
  <si>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</si>
  <si>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</si>
  <si>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</si>
  <si>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</si>
  <si>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</si>
  <si>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</si>
  <si>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</si>
  <si>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</si>
  <si>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</si>
  <si>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</si>
  <si>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</si>
  <si>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</si>
  <si>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</si>
  <si>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</si>
  <si>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</si>
  <si>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</si>
  <si>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</si>
  <si>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</si>
  <si>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</si>
  <si>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</si>
  <si>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</si>
  <si>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</si>
  <si>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</si>
  <si>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</si>
  <si>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</si>
  <si>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</si>
  <si>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</si>
  <si>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</si>
  <si>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</si>
  <si>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</si>
  <si>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</si>
  <si>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</si>
  <si>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</si>
  <si>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</si>
  <si>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</si>
  <si>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</si>
  <si>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</si>
  <si>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</si>
  <si>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</si>
  <si>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</si>
  <si>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</si>
  <si>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</si>
  <si>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</si>
  <si>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</si>
  <si>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</si>
  <si>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</si>
  <si>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</si>
  <si>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</si>
  <si>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</si>
  <si>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</si>
  <si>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</si>
  <si>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</si>
  <si>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</si>
  <si>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</si>
  <si>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</si>
  <si>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</si>
  <si>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</si>
  <si>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</si>
  <si>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</si>
  <si>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</si>
  <si>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</si>
  <si>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</si>
  <si>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</si>
  <si>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</si>
  <si>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</si>
  <si>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</si>
  <si>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</si>
  <si>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</si>
  <si>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</si>
  <si>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</si>
  <si>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</si>
  <si>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</si>
  <si>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</si>
  <si>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</si>
  <si>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</si>
  <si>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</si>
  <si>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</si>
  <si>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</si>
  <si>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</si>
  <si>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</si>
  <si>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</si>
  <si>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</si>
  <si>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</si>
  <si>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</si>
  <si>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</si>
  <si>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</si>
  <si>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</si>
  <si>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</si>
  <si>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</si>
  <si>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</si>
  <si>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</si>
  <si>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</si>
  <si>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</si>
  <si>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</si>
  <si>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</si>
  <si>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</si>
  <si>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</si>
  <si>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</si>
  <si>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</si>
  <si>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</si>
  <si>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</si>
  <si>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</si>
  <si>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</si>
  <si>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</si>
  <si>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</si>
  <si>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</si>
  <si>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</si>
  <si>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</si>
  <si>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</si>
  <si>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</si>
  <si>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</si>
  <si>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</si>
  <si>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</si>
  <si>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</si>
  <si>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</si>
  <si>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</si>
  <si>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</si>
  <si>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</si>
  <si>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</si>
  <si>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</si>
  <si>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</si>
  <si>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</si>
  <si>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</si>
  <si>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</si>
  <si>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</si>
  <si>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</si>
  <si>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</si>
  <si>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</si>
  <si>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</si>
  <si>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</si>
  <si>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</si>
  <si>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</si>
  <si>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</si>
  <si>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</si>
  <si>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</si>
  <si>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</si>
  <si>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</si>
  <si>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</si>
  <si>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</si>
  <si>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</si>
  <si>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</si>
  <si>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</si>
  <si>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</si>
  <si>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</si>
  <si>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</si>
  <si>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</si>
  <si>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</si>
  <si>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</si>
  <si>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</si>
  <si>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</si>
  <si>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</si>
  <si>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</si>
  <si>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</si>
  <si>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</si>
  <si>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</si>
  <si>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</si>
  <si>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</si>
  <si>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</si>
  <si>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</si>
  <si>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</si>
  <si>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</si>
  <si>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</si>
  <si>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</si>
  <si>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</si>
  <si>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</si>
  <si>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</si>
  <si>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</si>
  <si>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</si>
  <si>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</si>
  <si>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</si>
  <si>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</si>
  <si>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</si>
  <si>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</si>
  <si>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</si>
  <si>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</si>
  <si>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</si>
  <si>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</si>
  <si>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</si>
  <si>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</si>
  <si>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</si>
  <si>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</si>
  <si>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</si>
  <si>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</si>
  <si>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</si>
  <si>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</si>
  <si>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</si>
  <si>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</si>
  <si>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</si>
  <si>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</si>
  <si>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</si>
  <si>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</si>
  <si>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</si>
  <si>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</si>
  <si>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</si>
  <si>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</si>
  <si>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</si>
  <si>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</si>
  <si>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</si>
  <si>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</si>
  <si>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</si>
  <si>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</si>
  <si>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</si>
  <si>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</si>
  <si>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</si>
  <si>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</si>
  <si>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</si>
  <si>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</si>
  <si>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</si>
  <si>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</si>
  <si>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</si>
  <si>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</si>
  <si>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</si>
  <si>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</si>
  <si>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</si>
  <si>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</si>
  <si>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</si>
  <si>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</si>
  <si>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</si>
  <si>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</si>
  <si>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</si>
  <si>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</si>
  <si>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</si>
  <si>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</si>
  <si>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</si>
  <si>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</si>
  <si>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</si>
  <si>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</si>
  <si>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</si>
  <si>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</si>
  <si>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</si>
  <si>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</si>
  <si>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</si>
  <si>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</si>
  <si>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</si>
  <si>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</si>
  <si>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</si>
  <si>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</si>
  <si>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</si>
  <si>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</si>
  <si>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</si>
  <si>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</si>
  <si>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</si>
  <si>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</si>
  <si>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</si>
  <si>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</si>
  <si>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</si>
  <si>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</si>
  <si>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</si>
  <si>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</si>
  <si>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</si>
  <si>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</si>
  <si>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</si>
  <si>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</si>
  <si>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</si>
  <si>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</si>
  <si>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</si>
  <si>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</si>
  <si>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</si>
  <si>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</si>
  <si>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</si>
  <si>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</si>
  <si>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</si>
  <si>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</si>
  <si>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</si>
  <si>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</si>
  <si>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</si>
  <si>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</si>
  <si>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</si>
  <si>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</si>
  <si>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</si>
  <si>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</si>
  <si>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</si>
  <si>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</si>
  <si>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</si>
  <si>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</si>
  <si>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</si>
  <si>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</si>
  <si>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</si>
  <si>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</si>
  <si>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</si>
  <si>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</si>
  <si>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</si>
  <si>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</si>
  <si>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</si>
  <si>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</si>
  <si>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</si>
  <si>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</si>
  <si>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</si>
  <si>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</si>
  <si>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</si>
  <si>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</si>
  <si>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</si>
  <si>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</si>
  <si>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</si>
  <si>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</si>
  <si>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</si>
  <si>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</si>
  <si>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</si>
  <si>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</si>
  <si>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</si>
  <si>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</si>
  <si>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</si>
  <si>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</si>
  <si>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</si>
  <si>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</si>
  <si>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</si>
  <si>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</si>
  <si>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</si>
  <si>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</si>
  <si>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</si>
  <si>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</si>
  <si>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</si>
  <si>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</si>
  <si>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</si>
  <si>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</si>
  <si>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</si>
  <si>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</si>
  <si>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</si>
  <si>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</si>
  <si>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</si>
  <si>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</si>
  <si>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</si>
  <si>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</si>
  <si>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</si>
  <si>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</si>
  <si>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</si>
  <si>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</si>
  <si>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</si>
  <si>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</si>
  <si>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</si>
  <si>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</si>
  <si>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</si>
  <si>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</si>
  <si>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</si>
  <si>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</si>
  <si>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</si>
  <si>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</si>
  <si>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</si>
  <si>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</si>
  <si>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</si>
  <si>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</si>
  <si>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</si>
  <si>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</si>
  <si>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</si>
  <si>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</si>
  <si>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</si>
  <si>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</si>
  <si>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</si>
  <si>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</si>
  <si>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</si>
  <si>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</si>
  <si>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</si>
  <si>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</si>
  <si>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</si>
  <si>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</si>
  <si>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</si>
  <si>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</si>
  <si>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</si>
  <si>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</si>
  <si>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</si>
  <si>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</si>
  <si>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</si>
  <si>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</si>
  <si>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</si>
  <si>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</si>
  <si>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</si>
  <si>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</si>
  <si>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</si>
  <si>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</si>
  <si>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</si>
  <si>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</si>
  <si>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</si>
  <si>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</si>
  <si>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</si>
  <si>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</si>
  <si>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</si>
  <si>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</si>
  <si>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</si>
  <si>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</si>
  <si>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</si>
  <si>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</si>
  <si>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</si>
  <si>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</si>
  <si>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</si>
  <si>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</si>
  <si>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</si>
  <si>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</si>
  <si>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</si>
  <si>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</si>
  <si>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</si>
  <si>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</si>
  <si>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</si>
  <si>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</si>
  <si>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</si>
  <si>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</si>
  <si>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</si>
  <si>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</si>
  <si>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</si>
  <si>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</si>
  <si>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</si>
  <si>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</si>
  <si>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</si>
  <si>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</si>
  <si>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</si>
  <si>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</si>
  <si>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</si>
  <si>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</si>
  <si>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</si>
  <si>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</si>
  <si>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</si>
  <si>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</si>
  <si>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</si>
  <si>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</si>
  <si>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</si>
  <si>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</si>
  <si>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</si>
  <si>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</si>
  <si>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</si>
  <si>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</si>
  <si>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</si>
  <si>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</si>
  <si>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</si>
  <si>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</si>
  <si>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</si>
  <si>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</si>
  <si>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</si>
  <si>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</si>
  <si>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</si>
  <si>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</si>
  <si>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</si>
  <si>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</si>
  <si>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</si>
  <si>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</si>
  <si>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</si>
  <si>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</si>
  <si>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</si>
  <si>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</si>
  <si>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</si>
  <si>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</si>
  <si>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</si>
  <si>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</si>
  <si>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</si>
  <si>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</si>
  <si>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</si>
  <si>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</si>
  <si>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</si>
  <si>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</si>
  <si>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</si>
  <si>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</si>
  <si>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</si>
  <si>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</si>
  <si>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</si>
  <si>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</si>
  <si>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</si>
  <si>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</si>
  <si>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</si>
  <si>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</si>
  <si>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</si>
  <si>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</si>
  <si>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</si>
  <si>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</si>
  <si>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</si>
  <si>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</si>
  <si>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</si>
  <si>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</si>
  <si>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</si>
  <si>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</si>
  <si>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</si>
  <si>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</si>
  <si>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</si>
  <si>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</si>
  <si>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</si>
  <si>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</si>
  <si>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</si>
  <si>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</si>
  <si>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</si>
  <si>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</si>
  <si>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</si>
  <si>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</si>
  <si>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</si>
  <si>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</si>
  <si>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</si>
  <si>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</si>
  <si>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</si>
  <si>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</si>
  <si>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</si>
  <si>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</si>
  <si>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</si>
  <si>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</si>
  <si>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</si>
  <si>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</si>
  <si>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</si>
  <si>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</si>
  <si>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</si>
  <si>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</si>
  <si>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</si>
  <si>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</si>
  <si>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</si>
  <si>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</si>
  <si>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</si>
  <si>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</si>
  <si>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</si>
  <si>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</si>
  <si>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</si>
  <si>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</si>
  <si>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</si>
  <si>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</si>
  <si>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</si>
  <si>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</si>
  <si>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</si>
  <si>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</si>
  <si>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</si>
  <si>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</si>
  <si>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</si>
  <si>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</si>
  <si>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</si>
  <si>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</si>
  <si>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</si>
  <si>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</si>
  <si>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</si>
  <si>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</si>
  <si>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</si>
  <si>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</si>
  <si>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</si>
  <si>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</si>
  <si>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</si>
  <si>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</si>
  <si>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</si>
  <si>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</si>
  <si>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</si>
  <si>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</si>
  <si>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</si>
  <si>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</si>
  <si>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</si>
  <si>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</si>
  <si>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</si>
  <si>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</si>
  <si>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</si>
  <si>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</si>
  <si>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</si>
  <si>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</si>
  <si>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</si>
  <si>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</si>
  <si>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</si>
  <si>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</si>
  <si>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</si>
  <si>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</si>
  <si>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</si>
  <si>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</si>
  <si>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</si>
  <si>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</si>
  <si>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</si>
  <si>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</si>
  <si>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</si>
  <si>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</si>
  <si>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</si>
  <si>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</si>
  <si>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</si>
  <si>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</si>
  <si>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</si>
  <si>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</si>
  <si>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</si>
  <si>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</si>
  <si>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</si>
  <si>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</si>
  <si>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</si>
  <si>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</si>
  <si>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</si>
  <si>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</si>
  <si>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</si>
  <si>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</si>
  <si>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</si>
  <si>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</si>
  <si>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</si>
  <si>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</si>
  <si>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</si>
  <si>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</si>
  <si>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</si>
  <si>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</si>
  <si>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</si>
  <si>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</si>
  <si>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</si>
  <si>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</si>
  <si>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</si>
  <si>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</si>
  <si>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</si>
  <si>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</si>
  <si>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</si>
  <si>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</si>
  <si>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</si>
  <si>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</si>
  <si>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</si>
  <si>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</si>
  <si>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</si>
  <si>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</si>
  <si>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</si>
  <si>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</si>
  <si>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</si>
  <si>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</si>
  <si>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</si>
  <si>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</si>
  <si>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</si>
  <si>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</si>
  <si>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</si>
  <si>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</si>
  <si>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</si>
  <si>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</si>
  <si>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</si>
  <si>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</si>
  <si>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</si>
  <si>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</si>
  <si>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</si>
  <si>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</si>
  <si>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</si>
  <si>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</si>
  <si>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</si>
  <si>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</si>
  <si>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</si>
  <si>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</si>
  <si>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</si>
  <si>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</si>
  <si>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</si>
  <si>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</si>
  <si>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</si>
  <si>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</si>
  <si>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</si>
  <si>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</si>
  <si>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</si>
  <si>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</si>
  <si>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</si>
  <si>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</si>
  <si>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</si>
  <si>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</si>
  <si>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</si>
  <si>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</si>
  <si>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</si>
  <si>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</si>
  <si>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</si>
  <si>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</si>
  <si>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</si>
  <si>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</si>
  <si>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</si>
  <si>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</si>
  <si>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</si>
  <si>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</si>
  <si>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</si>
  <si>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</si>
  <si>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</si>
  <si>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</si>
  <si>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</si>
  <si>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</si>
  <si>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</si>
  <si>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</si>
  <si>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</si>
  <si>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</si>
  <si>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</si>
  <si>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</si>
  <si>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</si>
  <si>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</si>
  <si>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</si>
  <si>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</si>
  <si>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</si>
  <si>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</si>
  <si>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</si>
  <si>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</si>
  <si>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</si>
  <si>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</si>
  <si>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</si>
  <si>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</si>
  <si>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</si>
  <si>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</si>
  <si>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</si>
  <si>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</si>
  <si>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</si>
  <si>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</si>
  <si>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</si>
  <si>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</si>
  <si>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</si>
  <si>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</si>
  <si>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</si>
  <si>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</si>
  <si>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</si>
  <si>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</si>
  <si>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</si>
  <si>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</si>
  <si>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</si>
  <si>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</si>
  <si>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</si>
  <si>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</si>
  <si>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</si>
  <si>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</si>
  <si>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</si>
  <si>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</si>
  <si>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</si>
  <si>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</si>
  <si>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</si>
  <si>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</si>
  <si>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</si>
  <si>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</si>
  <si>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</si>
  <si>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</si>
  <si>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</si>
  <si>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</si>
  <si>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</si>
  <si>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</si>
  <si>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</si>
  <si>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</si>
  <si>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</si>
  <si>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</si>
  <si>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</si>
  <si>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</si>
  <si>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</si>
  <si>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</si>
  <si>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</si>
  <si>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</si>
  <si>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</si>
  <si>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</si>
  <si>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</si>
  <si>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</si>
  <si>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</si>
  <si>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</si>
  <si>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</si>
  <si>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</si>
  <si>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</si>
  <si>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</si>
  <si>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</si>
  <si>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</si>
  <si>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</si>
  <si>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</si>
  <si>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</si>
  <si>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</si>
  <si>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</si>
  <si>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</si>
  <si>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</si>
  <si>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</si>
  <si>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</si>
  <si>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</si>
  <si>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</si>
  <si>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</si>
  <si>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</si>
  <si>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</si>
  <si>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</si>
  <si>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</si>
  <si>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</si>
  <si>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</si>
  <si>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</si>
  <si>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</si>
  <si>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</si>
  <si>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</si>
  <si>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</si>
  <si>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</si>
  <si>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</si>
  <si>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</si>
  <si>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</si>
  <si>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</si>
  <si>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</si>
  <si>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</si>
  <si>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</si>
  <si>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</si>
  <si>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</si>
  <si>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</si>
  <si>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</si>
  <si>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</si>
  <si>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</si>
  <si>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</si>
  <si>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</si>
  <si>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</si>
  <si>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</si>
  <si>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</si>
  <si>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</si>
  <si>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</si>
  <si>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</si>
  <si>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</si>
  <si>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</si>
  <si>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</si>
  <si>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</si>
  <si>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</si>
  <si>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</si>
  <si>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</si>
  <si>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</si>
  <si>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</si>
  <si>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</si>
  <si>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</si>
  <si>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</si>
  <si>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</si>
  <si>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</si>
  <si>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</si>
  <si>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</si>
  <si>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</si>
  <si>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</si>
  <si>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</si>
  <si>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</si>
  <si>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</si>
  <si>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</si>
  <si>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</si>
  <si>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</si>
  <si>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</si>
  <si>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</si>
  <si>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</si>
  <si>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</si>
  <si>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</si>
  <si>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</si>
  <si>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</si>
  <si>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</si>
  <si>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</si>
  <si>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</si>
  <si>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</si>
  <si>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</si>
  <si>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</si>
  <si>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</si>
  <si>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</si>
  <si>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</si>
  <si>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</si>
  <si>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</si>
  <si>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</si>
  <si>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</si>
  <si>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</si>
  <si>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</si>
  <si>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</si>
  <si>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</si>
  <si>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</si>
  <si>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</si>
  <si>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</si>
  <si>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</si>
  <si>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</si>
  <si>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</si>
  <si>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</si>
  <si>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</si>
  <si>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</si>
  <si>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</si>
  <si>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</si>
  <si>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</si>
  <si>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</si>
  <si>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</si>
  <si>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</si>
  <si>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</si>
  <si>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</si>
  <si>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</si>
  <si>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</si>
  <si>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</si>
  <si>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</si>
  <si>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</si>
  <si>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</si>
  <si>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</si>
  <si>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</si>
  <si>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</si>
  <si>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</si>
  <si>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</si>
  <si>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</si>
  <si>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</si>
  <si>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</si>
  <si>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</si>
  <si>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</si>
  <si>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</si>
  <si>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</si>
  <si>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</si>
  <si>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</si>
  <si>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</si>
  <si>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</si>
  <si>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</si>
  <si>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</si>
  <si>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</si>
  <si>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</si>
  <si>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</si>
  <si>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</si>
  <si>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</si>
  <si>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</si>
  <si>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</si>
  <si>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</si>
  <si>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</si>
  <si>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</si>
  <si>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</si>
  <si>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</si>
  <si>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</si>
  <si>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</si>
  <si>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</si>
  <si>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</si>
  <si>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</si>
  <si>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</si>
  <si>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</si>
  <si>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</si>
  <si>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</si>
  <si>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</si>
  <si>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</si>
  <si>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</si>
  <si>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</si>
  <si>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</si>
  <si>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</si>
  <si>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</si>
  <si>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</si>
  <si>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</si>
  <si>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</si>
  <si>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</si>
  <si>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</si>
  <si>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</si>
  <si>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</si>
  <si>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</si>
  <si>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</si>
  <si>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</si>
  <si>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</si>
  <si>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</si>
  <si>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</si>
  <si>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</si>
  <si>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</si>
  <si>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</si>
  <si>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</si>
  <si>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</si>
  <si>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</si>
  <si>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</si>
  <si>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</si>
  <si>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</si>
  <si>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</si>
  <si>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</si>
  <si>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</si>
  <si>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</si>
  <si>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</si>
  <si>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</si>
  <si>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</si>
  <si>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</si>
  <si>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</si>
  <si>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</si>
  <si>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</si>
  <si>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</si>
  <si>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</si>
  <si>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</si>
  <si>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</si>
  <si>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</si>
  <si>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</si>
  <si>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</si>
  <si>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</si>
  <si>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</si>
  <si>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</si>
  <si>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</si>
  <si>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</si>
  <si>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</si>
  <si>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</si>
  <si>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</si>
  <si>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</si>
  <si>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</si>
  <si>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</si>
  <si>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</si>
  <si>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</si>
  <si>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</si>
  <si>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</si>
  <si>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</si>
  <si>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</si>
  <si>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</si>
  <si>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</si>
  <si>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</si>
  <si>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</si>
  <si>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</si>
  <si>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</si>
  <si>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</si>
  <si>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</si>
  <si>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</si>
  <si>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</si>
  <si>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</si>
  <si>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</si>
  <si>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</si>
  <si>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</si>
  <si>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</si>
  <si>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</si>
  <si>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</si>
  <si>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</si>
  <si>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</si>
  <si>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</si>
  <si>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</si>
  <si>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</si>
  <si>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</si>
  <si>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</si>
  <si>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</si>
  <si>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</si>
  <si>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</si>
  <si>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</si>
  <si>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</si>
  <si>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</si>
  <si>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</si>
  <si>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</si>
  <si>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</si>
  <si>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</si>
  <si>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</si>
  <si>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</si>
  <si>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</si>
  <si>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</si>
  <si>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</si>
  <si>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</si>
  <si>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</si>
  <si>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</si>
  <si>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</si>
  <si>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</si>
  <si>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</si>
  <si>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</si>
  <si>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</si>
  <si>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</si>
  <si>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</si>
  <si>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</si>
  <si>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</si>
  <si>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</si>
  <si>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</si>
  <si>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</si>
  <si>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</si>
  <si>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</si>
  <si>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</si>
  <si>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</si>
  <si>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</si>
  <si>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</si>
  <si>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</si>
  <si>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</si>
  <si>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</si>
  <si>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</si>
  <si>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</si>
  <si>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</si>
  <si>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</si>
  <si>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</si>
  <si>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</si>
  <si>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</si>
  <si>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</si>
  <si>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</si>
  <si>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</si>
  <si>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</si>
  <si>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</si>
  <si>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</si>
  <si>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</si>
  <si>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</si>
  <si>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</si>
  <si>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</si>
  <si>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</si>
  <si>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</si>
  <si>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</si>
  <si>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</si>
  <si>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</si>
  <si>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</si>
  <si>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</si>
  <si>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</si>
  <si>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</si>
  <si>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</si>
  <si>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</si>
  <si>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</si>
  <si>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</si>
  <si>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</si>
  <si>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</si>
  <si>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</si>
  <si>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</si>
  <si>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</si>
  <si>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</si>
  <si>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</si>
  <si>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</si>
  <si>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</si>
  <si>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</si>
  <si>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</si>
  <si>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</si>
  <si>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</si>
  <si>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</si>
  <si>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</si>
  <si>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</si>
  <si>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</si>
  <si>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</si>
  <si>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</si>
  <si>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</si>
  <si>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</si>
  <si>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</si>
  <si>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</si>
  <si>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</si>
  <si>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</si>
  <si>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</si>
  <si>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</si>
  <si>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</si>
  <si>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</si>
  <si>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</si>
  <si>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</si>
  <si>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</si>
  <si>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</si>
  <si>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</si>
  <si>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</si>
  <si>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</si>
  <si>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</si>
  <si>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</si>
  <si>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</si>
  <si>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</si>
  <si>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</si>
  <si>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</si>
  <si>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</si>
  <si>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</si>
  <si>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</si>
  <si>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</si>
  <si>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</si>
  <si>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</si>
  <si>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</si>
  <si>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</si>
  <si>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</si>
  <si>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</si>
  <si>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</si>
  <si>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</si>
  <si>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</si>
  <si>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</si>
  <si>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</si>
  <si>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</si>
  <si>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</si>
  <si>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</si>
  <si>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</si>
  <si>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</si>
  <si>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</si>
  <si>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</si>
  <si>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</si>
  <si>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</si>
  <si>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</si>
  <si>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</si>
  <si>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</si>
  <si>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</si>
  <si>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</si>
  <si>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</si>
  <si>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</si>
  <si>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</si>
  <si>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</si>
  <si>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</si>
  <si>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</si>
  <si>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</si>
  <si>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</si>
  <si>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</si>
  <si>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</si>
  <si>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</si>
  <si>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</si>
  <si>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</si>
  <si>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</si>
  <si>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</si>
  <si>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</si>
  <si>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</si>
  <si>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</si>
  <si>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</si>
  <si>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</si>
  <si>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</si>
  <si>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</si>
  <si>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</si>
  <si>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</si>
  <si>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</si>
  <si>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</si>
  <si>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</si>
  <si>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</si>
  <si>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</si>
  <si>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</si>
  <si>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</si>
  <si>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</si>
  <si>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</si>
  <si>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</si>
  <si>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</si>
  <si>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</si>
  <si>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</si>
  <si>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</si>
  <si>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</si>
  <si>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</si>
  <si>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</si>
  <si>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</si>
  <si>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</si>
  <si>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</si>
  <si>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</si>
  <si>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</si>
  <si>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</si>
  <si>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</si>
  <si>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</si>
  <si>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</si>
  <si>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</si>
  <si>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</si>
  <si>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</si>
  <si>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</si>
  <si>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</si>
  <si>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</si>
  <si>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</si>
  <si>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</si>
  <si>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</si>
  <si>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</si>
  <si>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</si>
  <si>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</si>
  <si>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</si>
  <si>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</si>
  <si>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</si>
  <si>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</si>
  <si>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</si>
  <si>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</si>
  <si>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</si>
  <si>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</si>
  <si>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</si>
  <si>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</si>
  <si>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</si>
  <si>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</si>
  <si>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</si>
  <si>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</si>
  <si>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</si>
  <si>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</si>
  <si>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</si>
  <si>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</si>
  <si>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</si>
  <si>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</si>
  <si>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</si>
  <si>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</si>
  <si>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</si>
  <si>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</si>
  <si>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</si>
  <si>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</si>
  <si>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</si>
  <si>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</si>
  <si>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</si>
  <si>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</si>
  <si>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</si>
  <si>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</si>
  <si>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</si>
  <si>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</si>
  <si>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</si>
  <si>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</si>
  <si>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</si>
  <si>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</si>
  <si>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</si>
  <si>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</si>
  <si>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</si>
  <si>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</si>
  <si>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</si>
  <si>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</si>
  <si>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</si>
  <si>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</si>
  <si>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</si>
  <si>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</si>
  <si>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</si>
  <si>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</si>
  <si>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</si>
  <si>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</si>
  <si>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</si>
  <si>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</si>
  <si>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</si>
  <si>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</si>
  <si>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</si>
  <si>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</si>
  <si>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</si>
  <si>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</si>
  <si>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</si>
  <si>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</si>
  <si>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</si>
  <si>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</si>
  <si>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</si>
  <si>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</si>
  <si>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</si>
  <si>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</si>
  <si>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</si>
  <si>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</si>
  <si>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</si>
  <si>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</si>
  <si>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</si>
  <si>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</si>
  <si>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</si>
  <si>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</si>
  <si>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</si>
  <si>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</si>
  <si>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</si>
  <si>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</si>
  <si>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</si>
  <si>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</si>
  <si>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</si>
  <si>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</si>
  <si>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</si>
  <si>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</si>
  <si>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</si>
  <si>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</si>
  <si>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</si>
  <si>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</si>
  <si>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</si>
  <si>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</si>
  <si>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</si>
  <si>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</si>
  <si>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</si>
  <si>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</si>
  <si>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</si>
  <si>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</si>
  <si>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</si>
  <si>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</si>
  <si>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</si>
  <si>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</si>
  <si>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</si>
  <si>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</si>
  <si>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</si>
  <si>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</si>
  <si>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</si>
  <si>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</si>
  <si>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</si>
  <si>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</si>
  <si>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</si>
  <si>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</si>
  <si>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</si>
  <si>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</si>
  <si>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</si>
  <si>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</si>
  <si>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</si>
  <si>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</si>
  <si>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</si>
  <si>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</si>
  <si>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</si>
  <si>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</si>
  <si>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</si>
  <si>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</si>
  <si>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</si>
  <si>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</si>
  <si>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</si>
  <si>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</si>
  <si>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</si>
  <si>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</si>
  <si>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</si>
  <si>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</si>
  <si>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</si>
  <si>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</si>
  <si>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</si>
  <si>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</si>
  <si>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</si>
  <si>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</si>
  <si>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</si>
  <si>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</si>
  <si>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</si>
  <si>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</si>
  <si>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</si>
  <si>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</si>
  <si>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</si>
  <si>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</si>
  <si>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</si>
  <si>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</si>
  <si>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</si>
  <si>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</si>
  <si>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</si>
  <si>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</si>
  <si>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</si>
  <si>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</si>
  <si>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</si>
  <si>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</si>
  <si>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</si>
  <si>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</si>
  <si>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</si>
  <si>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</si>
  <si>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</si>
  <si>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</si>
  <si>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</si>
  <si>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</si>
  <si>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</si>
  <si>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</si>
  <si>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</si>
  <si>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</si>
  <si>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</si>
  <si>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</si>
  <si>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</si>
  <si>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</si>
  <si>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</si>
  <si>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</si>
  <si>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</si>
  <si>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</si>
  <si>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</si>
  <si>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</si>
  <si>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</si>
  <si>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</si>
  <si>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</si>
  <si>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</si>
  <si>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</si>
  <si>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</si>
  <si>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</si>
  <si>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</si>
  <si>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</si>
  <si>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</si>
  <si>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</si>
  <si>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</si>
  <si>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</si>
  <si>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</si>
  <si>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</si>
  <si>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</si>
  <si>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</si>
  <si>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</si>
  <si>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</si>
  <si>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</si>
  <si>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</si>
  <si>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</si>
  <si>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</si>
  <si>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</si>
  <si>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</si>
  <si>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</si>
  <si>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</si>
  <si>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</si>
  <si>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</si>
  <si>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</si>
  <si>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</si>
  <si>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</si>
  <si>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</si>
  <si>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</si>
  <si>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</si>
  <si>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</si>
  <si>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</si>
  <si>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</si>
  <si>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</si>
  <si>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</si>
  <si>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</si>
  <si>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</si>
  <si>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</si>
  <si>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</si>
  <si>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</si>
  <si>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</si>
  <si>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</si>
  <si>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</si>
  <si>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</si>
  <si>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</si>
  <si>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</si>
  <si>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</si>
  <si>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</si>
  <si>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</si>
  <si>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</si>
  <si>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</si>
  <si>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</si>
  <si>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</si>
  <si>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</si>
  <si>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</si>
  <si>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</si>
  <si>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</si>
  <si>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</si>
  <si>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</si>
  <si>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</si>
  <si>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</si>
  <si>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</si>
  <si>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</si>
  <si>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</si>
  <si>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</si>
  <si>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</si>
  <si>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</si>
  <si>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</si>
  <si>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</si>
  <si>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</si>
  <si>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</si>
  <si>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</si>
  <si>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</si>
  <si>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</si>
  <si>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</si>
  <si>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</si>
  <si>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</si>
  <si>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</si>
  <si>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</si>
  <si>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</si>
  <si>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</si>
  <si>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</si>
  <si>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</si>
  <si>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</si>
  <si>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</si>
  <si>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</si>
  <si>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</si>
  <si>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</si>
  <si>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</si>
  <si>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</si>
  <si>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</si>
  <si>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</si>
  <si>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</si>
  <si>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</si>
  <si>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</si>
  <si>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</si>
  <si>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</si>
  <si>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</si>
  <si>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</si>
  <si>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</si>
  <si>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</si>
  <si>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</si>
  <si>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</si>
  <si>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</si>
  <si>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</si>
  <si>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</si>
  <si>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</si>
  <si>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</si>
  <si>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</si>
  <si>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</si>
  <si>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</si>
  <si>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</si>
  <si>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</si>
  <si>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</si>
  <si>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</si>
  <si>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</si>
  <si>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</si>
  <si>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</si>
  <si>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</si>
  <si>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</si>
  <si>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</si>
  <si>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</si>
  <si>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</si>
  <si>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</si>
  <si>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</si>
  <si>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</si>
  <si>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</si>
  <si>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</si>
  <si>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</si>
  <si>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</si>
  <si>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</si>
  <si>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</si>
  <si>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</si>
  <si>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</si>
  <si>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</si>
  <si>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</si>
  <si>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</si>
  <si>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</si>
  <si>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</si>
  <si>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</si>
  <si>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</si>
  <si>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</si>
  <si>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</si>
  <si>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</si>
  <si>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</si>
  <si>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</si>
  <si>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</si>
  <si>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</si>
  <si>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</si>
  <si>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</si>
  <si>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</si>
  <si>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</si>
  <si>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</si>
  <si>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</si>
  <si>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</si>
  <si>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</si>
  <si>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</si>
  <si>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</si>
  <si>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</si>
  <si>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</si>
  <si>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</si>
  <si>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</si>
  <si>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</si>
  <si>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</si>
  <si>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</si>
  <si>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</si>
  <si>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</si>
  <si>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</si>
  <si>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</si>
  <si>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</si>
  <si>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</si>
  <si>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</si>
  <si>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</si>
  <si>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</si>
  <si>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</si>
  <si>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</si>
  <si>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</si>
  <si>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</si>
  <si>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</si>
  <si>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</si>
  <si>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</si>
  <si>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</si>
  <si>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</si>
  <si>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</si>
  <si>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</si>
  <si>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</si>
  <si>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</si>
  <si>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</si>
  <si>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</si>
  <si>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</si>
  <si>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</si>
  <si>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</si>
  <si>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</si>
  <si>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</si>
  <si>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</si>
  <si>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</si>
  <si>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</si>
  <si>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</si>
  <si>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</si>
  <si>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</si>
  <si>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</si>
  <si>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</si>
  <si>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</si>
  <si>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</si>
  <si>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</si>
  <si>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</si>
  <si>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</si>
  <si>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</si>
  <si>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</si>
  <si>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</si>
  <si>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</si>
  <si>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</si>
  <si>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</si>
  <si>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</si>
  <si>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</si>
  <si>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</si>
  <si>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</si>
  <si>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</si>
  <si>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</si>
  <si>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</si>
  <si>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</si>
  <si>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</si>
  <si>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</si>
  <si>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</si>
  <si>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</si>
  <si>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</si>
  <si>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</si>
  <si>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</si>
  <si>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</si>
  <si>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</si>
  <si>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</si>
  <si>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</si>
  <si>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</si>
  <si>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</si>
  <si>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</si>
  <si>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</si>
  <si>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</si>
  <si>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</si>
  <si>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</si>
  <si>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</si>
  <si>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</si>
  <si>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</si>
  <si>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</si>
  <si>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</si>
  <si>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</si>
  <si>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</si>
  <si>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</si>
  <si>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</si>
  <si>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</si>
  <si>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</si>
  <si>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</si>
  <si>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</si>
  <si>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</si>
  <si>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</si>
  <si>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</si>
  <si>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</si>
  <si>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</si>
  <si>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</si>
  <si>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</si>
  <si>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</si>
  <si>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</si>
  <si>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</si>
  <si>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</si>
  <si>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</si>
  <si>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</si>
  <si>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</si>
  <si>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</si>
  <si>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</si>
  <si>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</si>
  <si>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</si>
  <si>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</si>
  <si>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</si>
  <si>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</si>
  <si>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</si>
  <si>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</si>
  <si>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</si>
  <si>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</si>
  <si>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</si>
  <si>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</si>
  <si>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</si>
  <si>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</si>
  <si>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</si>
  <si>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</si>
  <si>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</si>
  <si>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</si>
  <si>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</si>
  <si>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</si>
  <si>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</si>
  <si>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</si>
  <si>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</si>
  <si>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</si>
  <si>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</si>
  <si>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</si>
  <si>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</si>
  <si>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</si>
  <si>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</si>
  <si>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</si>
  <si>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</si>
  <si>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</si>
  <si>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</si>
  <si>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</si>
  <si>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</si>
  <si>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</si>
  <si>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</si>
  <si>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</si>
  <si>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</si>
  <si>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</si>
  <si>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</si>
  <si>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</si>
  <si>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</si>
  <si>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</si>
  <si>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</si>
  <si>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</si>
  <si>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</si>
  <si>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</si>
  <si>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</si>
  <si>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</si>
  <si>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</si>
  <si>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</si>
  <si>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</si>
  <si>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</si>
  <si>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</si>
  <si>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</si>
  <si>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</si>
  <si>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</si>
  <si>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</si>
  <si>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</si>
  <si>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</si>
  <si>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</si>
  <si>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</si>
  <si>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</si>
  <si>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</si>
  <si>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</si>
  <si>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</si>
  <si>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</si>
  <si>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</si>
  <si>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</si>
  <si>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</si>
  <si>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</si>
  <si>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</si>
  <si>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</si>
  <si>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</si>
  <si>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</si>
  <si>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</si>
  <si>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</si>
  <si>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</si>
  <si>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</si>
  <si>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</si>
  <si>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</si>
  <si>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</si>
  <si>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</si>
  <si>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</si>
  <si>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</si>
  <si>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</si>
  <si>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</si>
  <si>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</si>
  <si>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</si>
  <si>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</si>
  <si>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</si>
  <si>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</si>
  <si>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</si>
  <si>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</si>
  <si>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</si>
  <si>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</si>
  <si>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</si>
  <si>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</si>
  <si>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</si>
  <si>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</si>
  <si>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</si>
  <si>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</si>
  <si>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</si>
  <si>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</si>
  <si>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</si>
  <si>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</si>
  <si>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</si>
  <si>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</si>
  <si>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</si>
  <si>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</si>
  <si>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</si>
  <si>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</si>
  <si>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</si>
  <si>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</si>
  <si>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</si>
  <si>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</si>
  <si>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</si>
  <si>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</si>
  <si>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</si>
  <si>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</si>
  <si>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</si>
  <si>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</si>
  <si>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</si>
  <si>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</si>
  <si>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</si>
  <si>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</si>
  <si>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</si>
  <si>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</si>
  <si>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</si>
  <si>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</si>
  <si>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</si>
  <si>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</si>
  <si>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</si>
  <si>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</si>
  <si>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</si>
  <si>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</si>
  <si>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</si>
  <si>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</si>
  <si>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</si>
  <si>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</si>
  <si>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</si>
  <si>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</si>
  <si>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</si>
  <si>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</si>
  <si>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</si>
  <si>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</si>
  <si>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</si>
  <si>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</si>
  <si>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</si>
  <si>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</si>
  <si>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</si>
  <si>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</si>
  <si>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</si>
  <si>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</si>
  <si>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</si>
  <si>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</si>
  <si>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</si>
  <si>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</si>
  <si>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</si>
  <si>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</si>
  <si>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</si>
  <si>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</si>
  <si>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</si>
  <si>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</si>
  <si>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</si>
  <si>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</si>
  <si>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</si>
  <si>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</si>
  <si>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</si>
  <si>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</si>
  <si>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</si>
  <si>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</si>
  <si>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</si>
  <si>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</si>
  <si>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</si>
  <si>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</si>
  <si>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</si>
  <si>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</si>
  <si>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</si>
  <si>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</si>
  <si>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</si>
  <si>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</si>
  <si>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</si>
  <si>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</si>
  <si>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</si>
  <si>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</si>
  <si>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</si>
  <si>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</si>
  <si>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</si>
  <si>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</si>
  <si>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</si>
  <si>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</si>
  <si>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</si>
  <si>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</si>
  <si>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</si>
  <si>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</si>
  <si>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</si>
  <si>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</si>
  <si>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</si>
  <si>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</si>
  <si>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</si>
  <si>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</si>
  <si>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</si>
  <si>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</si>
  <si>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</si>
  <si>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</si>
  <si>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</si>
  <si>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</si>
  <si>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</si>
  <si>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</si>
  <si>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</si>
  <si>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</si>
  <si>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</si>
  <si>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</si>
  <si>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</si>
  <si>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</si>
  <si>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</si>
  <si>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</si>
  <si>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</si>
  <si>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</si>
  <si>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</si>
  <si>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</si>
  <si>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</si>
  <si>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</si>
  <si>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</si>
  <si>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</si>
  <si>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</si>
  <si>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</si>
  <si>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</si>
  <si>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</si>
  <si>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</si>
  <si>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</si>
  <si>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</si>
  <si>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</si>
  <si>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</si>
  <si>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</si>
  <si>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</si>
  <si>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</si>
  <si>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</si>
  <si>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</si>
  <si>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</si>
  <si>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</si>
  <si>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</si>
  <si>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</si>
  <si>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</si>
  <si>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</si>
  <si>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</si>
  <si>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</si>
  <si>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</si>
  <si>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</si>
  <si>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</si>
  <si>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</si>
  <si>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</si>
  <si>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</si>
  <si>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</si>
  <si>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</si>
  <si>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</si>
  <si>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</si>
  <si>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</si>
  <si>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</si>
  <si>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</si>
  <si>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</si>
  <si>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</si>
  <si>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</si>
  <si>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</si>
  <si>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</si>
  <si>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</si>
  <si>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</si>
  <si>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</si>
  <si>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</si>
  <si>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</si>
  <si>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</si>
  <si>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</si>
  <si>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</si>
  <si>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</si>
  <si>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</si>
  <si>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</si>
  <si>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</si>
  <si>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</si>
  <si>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</si>
  <si>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</si>
  <si>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</si>
  <si>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</si>
  <si>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</si>
  <si>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</si>
  <si>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</si>
  <si>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</si>
  <si>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</si>
  <si>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</si>
  <si>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</si>
  <si>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</si>
  <si>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</si>
  <si>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</si>
  <si>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</si>
  <si>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</si>
  <si>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</si>
  <si>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</si>
  <si>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</si>
  <si>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</si>
  <si>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</si>
  <si>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</si>
  <si>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</si>
  <si>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</si>
  <si>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</si>
  <si>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</si>
  <si>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</si>
  <si>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</si>
  <si>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</si>
  <si>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</si>
  <si>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</si>
  <si>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</si>
  <si>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</si>
  <si>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</si>
  <si>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</si>
  <si>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</si>
  <si>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</si>
  <si>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</si>
  <si>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</si>
  <si>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</si>
  <si>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</si>
  <si>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</si>
  <si>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</si>
  <si>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</si>
  <si>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</si>
  <si>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</si>
  <si>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</si>
  <si>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</si>
  <si>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</si>
  <si>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</si>
  <si>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</si>
  <si>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</si>
  <si>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</si>
  <si>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</si>
  <si>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</si>
  <si>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</si>
  <si>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</si>
  <si>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</si>
  <si>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</si>
  <si>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</si>
  <si>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</si>
  <si>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</si>
  <si>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</si>
  <si>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</si>
  <si>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</si>
  <si>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</si>
  <si>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</si>
  <si>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</si>
  <si>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</si>
  <si>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</si>
  <si>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Robert E. Moore, CPA</t>
  </si>
  <si>
    <t>Moore &amp; Simonin, PC</t>
  </si>
  <si>
    <t>3636 North Belt West</t>
  </si>
  <si>
    <t>Belleville</t>
  </si>
  <si>
    <t>IL</t>
  </si>
  <si>
    <t>618-233-5049</t>
  </si>
  <si>
    <t>618-233-1061</t>
  </si>
  <si>
    <t>066-005248</t>
  </si>
  <si>
    <t>mooresimonin@mrsaccountants.com</t>
  </si>
  <si>
    <t>X</t>
  </si>
  <si>
    <t>Clinton</t>
  </si>
  <si>
    <t>19004 St. Rose Rd</t>
  </si>
  <si>
    <t>St. Rose</t>
  </si>
  <si>
    <t>ED-Support Services</t>
  </si>
  <si>
    <t>10-2110-300</t>
  </si>
  <si>
    <t>Coping 4 Life</t>
  </si>
  <si>
    <t>ED-Fiscal Service</t>
  </si>
  <si>
    <t>10-2520-310</t>
  </si>
  <si>
    <t>School Bookkeeping Solutions</t>
  </si>
  <si>
    <t>Egyptian Benefit Trust</t>
  </si>
  <si>
    <t>PSIC</t>
  </si>
  <si>
    <t>KSED</t>
  </si>
  <si>
    <t>Central School District No. 71</t>
  </si>
  <si>
    <t>Page 11, Line 307:  Book Fair &amp; Yearbooks - $1,772.</t>
  </si>
  <si>
    <t>St Rose SD 14-15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</si>
</sst>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3"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1" t="s">
        <v>405</v>
      </c>
      <c r="J1" s="1982"/>
      <c r="K1" s="1982"/>
      <c r="L1" s="1982"/>
      <c r="M1" s="1982"/>
      <c r="N1" s="1982"/>
      <c r="O1" s="1982"/>
      <c r="P1" s="1982"/>
      <c r="Q1" s="1982"/>
      <c r="R1" s="1982"/>
      <c r="S1" s="1982"/>
    </row>
    <row r="2" spans="1:28" ht="12" customHeight="1" x14ac:dyDescent="0.2">
      <c r="A2" s="47" t="s">
        <v>1993</v>
      </c>
      <c r="D2" s="48"/>
      <c r="I2" s="1983" t="s">
        <v>979</v>
      </c>
      <c r="J2" s="1982"/>
      <c r="K2" s="1982"/>
      <c r="L2" s="1982"/>
      <c r="M2" s="1982"/>
      <c r="N2" s="1982"/>
      <c r="O2" s="1982"/>
      <c r="P2" s="1982"/>
      <c r="Q2" s="1982"/>
      <c r="R2" s="1982"/>
      <c r="S2" s="1982"/>
    </row>
    <row r="3" spans="1:28" ht="12" customHeight="1" x14ac:dyDescent="0.2">
      <c r="A3" s="155" t="s">
        <v>1945</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2073</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2073</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13014141502</v>
      </c>
      <c r="B13" s="2017"/>
      <c r="C13" s="2017"/>
      <c r="D13" s="2017"/>
      <c r="E13" s="2017"/>
      <c r="F13" s="2017"/>
      <c r="G13" s="2017"/>
      <c r="H13" s="2018"/>
      <c r="I13" s="31"/>
      <c r="J13" s="30"/>
      <c r="K13" s="28"/>
      <c r="L13" s="30"/>
      <c r="M13" s="30"/>
      <c r="N13" s="30"/>
      <c r="O13" s="30"/>
      <c r="P13" s="30"/>
      <c r="Q13" s="30"/>
      <c r="R13" s="30"/>
      <c r="S13" s="30"/>
      <c r="T13" s="2021" t="s">
        <v>2065</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2074</v>
      </c>
      <c r="B15" s="2019"/>
      <c r="C15" s="2019"/>
      <c r="D15" s="2019"/>
      <c r="E15" s="2019"/>
      <c r="F15" s="2019"/>
      <c r="G15" s="2019"/>
      <c r="H15" s="2020"/>
      <c r="T15" s="2025" t="s">
        <v>2064</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2088</v>
      </c>
      <c r="B17" s="1976"/>
      <c r="C17" s="1976"/>
      <c r="D17" s="1976"/>
      <c r="E17" s="1976"/>
      <c r="F17" s="1976"/>
      <c r="G17" s="1976"/>
      <c r="H17" s="2001"/>
      <c r="T17" s="2032" t="s">
        <v>2066</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2075</v>
      </c>
      <c r="B19" s="1961"/>
      <c r="C19" s="1961"/>
      <c r="D19" s="1961"/>
      <c r="E19" s="1961"/>
      <c r="F19" s="1961"/>
      <c r="G19" s="1961"/>
      <c r="H19" s="1941"/>
      <c r="I19" s="30"/>
      <c r="J19" s="99"/>
      <c r="K19" s="40"/>
      <c r="L19" s="38"/>
      <c r="M19" s="112" t="s">
        <v>315</v>
      </c>
      <c r="P19" s="27"/>
      <c r="Q19" s="27"/>
      <c r="R19" s="27"/>
      <c r="S19" s="31"/>
      <c r="T19" s="2015" t="s">
        <v>2067</v>
      </c>
      <c r="U19" s="1940"/>
      <c r="V19" s="1940"/>
      <c r="W19" s="1941"/>
      <c r="X19" s="2030" t="s">
        <v>2068</v>
      </c>
      <c r="Y19" s="2031"/>
      <c r="Z19" s="2028">
        <v>62226</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2076</v>
      </c>
      <c r="B21" s="1940"/>
      <c r="C21" s="1940"/>
      <c r="D21" s="1940"/>
      <c r="E21" s="1940"/>
      <c r="F21" s="1940"/>
      <c r="G21" s="1940"/>
      <c r="H21" s="1941"/>
      <c r="I21" s="1995" t="s">
        <v>678</v>
      </c>
      <c r="J21" s="1990"/>
      <c r="K21" s="1990"/>
      <c r="L21" s="1990"/>
      <c r="M21" s="1990"/>
      <c r="N21" s="1990"/>
      <c r="O21" s="1990"/>
      <c r="P21" s="1990"/>
      <c r="Q21" s="1990"/>
      <c r="R21" s="1990"/>
      <c r="S21" s="1996"/>
      <c r="T21" s="2039" t="s">
        <v>2069</v>
      </c>
      <c r="U21" s="2040"/>
      <c r="V21" s="2040"/>
      <c r="W21" s="2040"/>
      <c r="X21" s="2045" t="s">
        <v>2070</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c r="B23" s="1993"/>
      <c r="C23" s="1993"/>
      <c r="D23" s="1993"/>
      <c r="E23" s="1993"/>
      <c r="F23" s="1993"/>
      <c r="G23" s="1993"/>
      <c r="H23" s="1994"/>
      <c r="T23" s="1975" t="s">
        <v>2071</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62230</v>
      </c>
      <c r="B25" s="1940"/>
      <c r="C25" s="1940"/>
      <c r="D25" s="1940"/>
      <c r="E25" s="1940"/>
      <c r="F25" s="1940"/>
      <c r="G25" s="1940"/>
      <c r="H25" s="1941"/>
      <c r="I25" s="113"/>
      <c r="J25" s="1964"/>
      <c r="K25" s="1964"/>
      <c r="L25" s="1964"/>
      <c r="M25" s="1964"/>
      <c r="N25" s="1964"/>
      <c r="O25" s="1964"/>
      <c r="P25" s="1964"/>
      <c r="Q25" s="1964"/>
      <c r="R25" s="1964"/>
      <c r="S25" s="1965"/>
      <c r="T25" s="2035" t="s">
        <v>2072</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c r="B42" s="1959"/>
      <c r="C42" s="1960"/>
      <c r="D42" s="1958"/>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110" zoomScaleNormal="110" workbookViewId="0">
      <selection activeCell="A13" sqref="A13:H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2065</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A13" sqref="A13:H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30758877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1.6E-2</v>
      </c>
      <c r="E10" s="356" t="s">
        <v>1005</v>
      </c>
      <c r="F10" s="355">
        <v>2.5000000000000001E-3</v>
      </c>
      <c r="G10" s="356" t="s">
        <v>1005</v>
      </c>
      <c r="H10" s="355">
        <v>1.1999999999999999E-3</v>
      </c>
      <c r="I10" s="356" t="s">
        <v>1006</v>
      </c>
      <c r="J10" s="1732">
        <f>ROUND(D10+F10+H10,5)</f>
        <v>1.9699999999999999E-2</v>
      </c>
      <c r="K10" s="222"/>
      <c r="L10" s="355">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1372348</v>
      </c>
      <c r="E16" s="356"/>
      <c r="F16" s="1733">
        <f>SUM('Acct Summary 7-8'!C17,'Acct Summary 7-8'!D17,'Acct Summary 7-8'!F17)</f>
        <v>1408153</v>
      </c>
      <c r="G16" s="356"/>
      <c r="H16" s="1733">
        <f>SUM(D16-F16)</f>
        <v>-35805</v>
      </c>
      <c r="I16" s="222"/>
      <c r="J16" s="1733">
        <f>SUM('Acct Summary 7-8'!C81,'Acct Summary 7-8'!D81,'Acct Summary 7-8'!F81,'Acct Summary 7-8'!I81)</f>
        <v>709808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2122362.5130000003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St Rose SD 14-15</v>
      </c>
      <c r="E7" s="391"/>
      <c r="G7" s="252"/>
      <c r="H7" s="387"/>
      <c r="I7" s="387"/>
      <c r="J7" s="387"/>
      <c r="K7" s="387"/>
      <c r="L7" s="329"/>
      <c r="M7" s="329"/>
      <c r="N7" s="329"/>
      <c r="O7" s="329"/>
      <c r="P7" s="329"/>
    </row>
    <row r="8" spans="1:18" ht="12.75" x14ac:dyDescent="0.2">
      <c r="A8" s="329"/>
      <c r="B8" s="329"/>
      <c r="C8" s="389" t="s">
        <v>1125</v>
      </c>
      <c r="D8" s="392">
        <f>COVER!A13</f>
        <v>13014141502</v>
      </c>
      <c r="E8" s="393"/>
      <c r="G8" s="329"/>
      <c r="H8" s="329"/>
      <c r="I8" s="329"/>
      <c r="J8" s="329"/>
      <c r="K8" s="329"/>
      <c r="L8" s="329"/>
      <c r="M8" s="329"/>
      <c r="N8" s="329"/>
      <c r="O8" s="329"/>
      <c r="P8" s="329"/>
    </row>
    <row r="9" spans="1:18" ht="12.75" x14ac:dyDescent="0.2">
      <c r="A9" s="329"/>
      <c r="B9" s="329"/>
      <c r="C9" s="389" t="s">
        <v>713</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709808</v>
      </c>
      <c r="I12" s="404"/>
      <c r="J12" s="404"/>
      <c r="K12" s="405">
        <f>TRUNC((H12/H13*100000),5)/100000</f>
        <v>0.51722157930000001</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1372348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1408153</v>
      </c>
      <c r="I17" s="404"/>
      <c r="J17" s="416"/>
      <c r="K17" s="405">
        <f>TRUNC((H17/H18*100000),5)/100000</f>
        <v>1.0260903211000001</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1372348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15.991431299999999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709808</v>
      </c>
      <c r="I24" s="422"/>
      <c r="J24" s="422"/>
      <c r="K24" s="423">
        <f>TRUNC(((H24/H25*100000)/100000),2)</f>
        <v>181.46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3911.53611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515057.39536999998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2122362.5130000003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4" activePane="bottomLeft" state="frozen"/>
      <selection activeCell="A13" sqref="A13:H13"/>
      <selection pane="bottomLeft" activeCell="A13" sqref="A13:H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96553</v>
      </c>
      <c r="D4" s="466">
        <v>123716</v>
      </c>
      <c r="E4" s="466"/>
      <c r="F4" s="466">
        <v>222436</v>
      </c>
      <c r="G4" s="466">
        <v>209200</v>
      </c>
      <c r="H4" s="466"/>
      <c r="I4" s="466">
        <v>16216</v>
      </c>
      <c r="J4" s="467">
        <v>189393</v>
      </c>
      <c r="K4" s="466"/>
      <c r="L4" s="466"/>
      <c r="M4" s="468"/>
      <c r="N4" s="469"/>
    </row>
    <row r="5" spans="1:14" x14ac:dyDescent="0.2">
      <c r="A5" s="463" t="s">
        <v>992</v>
      </c>
      <c r="B5" s="470">
        <v>120</v>
      </c>
      <c r="C5" s="465">
        <v>250887</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347440</v>
      </c>
      <c r="D13" s="1737">
        <f t="shared" ref="D13:L13" si="0">SUM(D4:D12)</f>
        <v>123716</v>
      </c>
      <c r="E13" s="1737">
        <f t="shared" si="0"/>
        <v>0</v>
      </c>
      <c r="F13" s="1737">
        <f t="shared" si="0"/>
        <v>222436</v>
      </c>
      <c r="G13" s="1737">
        <f t="shared" si="0"/>
        <v>209200</v>
      </c>
      <c r="H13" s="1737">
        <f t="shared" si="0"/>
        <v>0</v>
      </c>
      <c r="I13" s="1737">
        <f t="shared" si="0"/>
        <v>16216</v>
      </c>
      <c r="J13" s="1737">
        <f t="shared" si="0"/>
        <v>189393</v>
      </c>
      <c r="K13" s="1737">
        <f t="shared" si="0"/>
        <v>0</v>
      </c>
      <c r="L13" s="1737">
        <f t="shared" si="0"/>
        <v>0</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1579233</v>
      </c>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v>662085</v>
      </c>
      <c r="N18" s="484"/>
    </row>
    <row r="19" spans="1:14" s="485" customFormat="1" ht="12.75" customHeight="1" x14ac:dyDescent="0.2">
      <c r="A19" s="482" t="s">
        <v>1405</v>
      </c>
      <c r="B19" s="483">
        <v>250</v>
      </c>
      <c r="C19" s="477"/>
      <c r="D19" s="477"/>
      <c r="E19" s="477"/>
      <c r="F19" s="477"/>
      <c r="G19" s="477"/>
      <c r="H19" s="477"/>
      <c r="I19" s="477"/>
      <c r="J19" s="477"/>
      <c r="K19" s="477"/>
      <c r="L19" s="477"/>
      <c r="M19" s="467"/>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2241318</v>
      </c>
      <c r="N23" s="1688">
        <f>SUM(N21:N22)</f>
        <v>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v>95168</v>
      </c>
      <c r="H38" s="466"/>
      <c r="I38" s="466"/>
      <c r="J38" s="467"/>
      <c r="K38" s="466"/>
      <c r="L38" s="481"/>
      <c r="M38" s="497"/>
      <c r="N38" s="497"/>
    </row>
    <row r="39" spans="1:14" s="329" customFormat="1" ht="13.5" customHeight="1" x14ac:dyDescent="0.2">
      <c r="A39" s="496" t="s">
        <v>342</v>
      </c>
      <c r="B39" s="483">
        <v>730</v>
      </c>
      <c r="C39" s="466">
        <v>347440</v>
      </c>
      <c r="D39" s="466">
        <v>123716</v>
      </c>
      <c r="E39" s="466"/>
      <c r="F39" s="466">
        <v>222436</v>
      </c>
      <c r="G39" s="466">
        <v>114032</v>
      </c>
      <c r="H39" s="466"/>
      <c r="I39" s="466">
        <v>16216</v>
      </c>
      <c r="J39" s="467">
        <v>189393</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2241318</v>
      </c>
      <c r="N40" s="497"/>
    </row>
    <row r="41" spans="1:14" ht="13.5" customHeight="1" thickBot="1" x14ac:dyDescent="0.25">
      <c r="A41" s="1736" t="s">
        <v>655</v>
      </c>
      <c r="B41" s="1706"/>
      <c r="C41" s="1688">
        <f>(SUM(C34,C37,C38,C39))</f>
        <v>347440</v>
      </c>
      <c r="D41" s="1688">
        <f t="shared" ref="D41:L41" si="2">SUM(D34,D37,D38:D39)</f>
        <v>123716</v>
      </c>
      <c r="E41" s="1688">
        <f t="shared" si="2"/>
        <v>0</v>
      </c>
      <c r="F41" s="1688">
        <f t="shared" si="2"/>
        <v>222436</v>
      </c>
      <c r="G41" s="1688">
        <f t="shared" si="2"/>
        <v>209200</v>
      </c>
      <c r="H41" s="1688">
        <f t="shared" si="2"/>
        <v>0</v>
      </c>
      <c r="I41" s="1688">
        <f t="shared" si="2"/>
        <v>16216</v>
      </c>
      <c r="J41" s="1688">
        <f t="shared" si="2"/>
        <v>189393</v>
      </c>
      <c r="K41" s="1688">
        <f t="shared" si="2"/>
        <v>0</v>
      </c>
      <c r="L41" s="1688">
        <f t="shared" si="2"/>
        <v>0</v>
      </c>
      <c r="M41" s="1688">
        <f>SUM(M40)</f>
        <v>2241318</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9" activePane="bottomLeft" state="frozen"/>
      <selection activeCell="A13" sqref="A13:H13"/>
      <selection pane="bottomLeft" activeCell="A13" sqref="A13:H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660890</v>
      </c>
      <c r="D4" s="1742">
        <f>'Revenues 9-14'!D109</f>
        <v>90719</v>
      </c>
      <c r="E4" s="1742">
        <f>'Revenues 9-14'!E109</f>
        <v>0</v>
      </c>
      <c r="F4" s="1742">
        <f>'Revenues 9-14'!F109</f>
        <v>70636</v>
      </c>
      <c r="G4" s="1742">
        <f>'Revenues 9-14'!G109</f>
        <v>27085</v>
      </c>
      <c r="H4" s="1742">
        <f>'Revenues 9-14'!H109</f>
        <v>0</v>
      </c>
      <c r="I4" s="1742">
        <f>'Revenues 9-14'!I109</f>
        <v>15884</v>
      </c>
      <c r="J4" s="1742">
        <f>'Revenues 9-14'!J109</f>
        <v>98732</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383262</v>
      </c>
      <c r="D6" s="1743">
        <f>'Revenues 9-14'!D170</f>
        <v>0</v>
      </c>
      <c r="E6" s="1743">
        <f>'Revenues 9-14'!E170</f>
        <v>0</v>
      </c>
      <c r="F6" s="1743">
        <f>'Revenues 9-14'!F170</f>
        <v>52224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98733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1142885</v>
      </c>
      <c r="D8" s="1688">
        <f t="shared" ref="D8:K8" si="0">SUM(D4:D7)</f>
        <v>90719</v>
      </c>
      <c r="E8" s="1688">
        <f t="shared" si="0"/>
        <v>0</v>
      </c>
      <c r="F8" s="1688">
        <f t="shared" si="0"/>
        <v>122860</v>
      </c>
      <c r="G8" s="1688">
        <f t="shared" si="0"/>
        <v>27085</v>
      </c>
      <c r="H8" s="1688">
        <f t="shared" si="0"/>
        <v>0</v>
      </c>
      <c r="I8" s="1688">
        <f t="shared" si="0"/>
        <v>15884</v>
      </c>
      <c r="J8" s="1688">
        <f t="shared" si="0"/>
        <v>98732</v>
      </c>
      <c r="K8" s="1688">
        <f t="shared" si="0"/>
        <v>0</v>
      </c>
      <c r="L8" s="347"/>
    </row>
    <row r="9" spans="1:13" ht="15.75" thickTop="1" x14ac:dyDescent="0.2">
      <c r="A9" s="514" t="s">
        <v>1653</v>
      </c>
      <c r="B9" s="515">
        <v>3998</v>
      </c>
      <c r="C9" s="481">
        <v>591697</v>
      </c>
      <c r="D9" s="516"/>
      <c r="E9" s="481"/>
      <c r="F9" s="481"/>
      <c r="G9" s="517"/>
      <c r="H9" s="481"/>
      <c r="I9" s="509" t="s">
        <v>1169</v>
      </c>
      <c r="J9" s="478"/>
      <c r="K9" s="481"/>
      <c r="L9" s="347"/>
    </row>
    <row r="10" spans="1:13" s="519" customFormat="1" ht="13.5" thickBot="1" x14ac:dyDescent="0.25">
      <c r="A10" s="1736" t="s">
        <v>1173</v>
      </c>
      <c r="B10" s="1709"/>
      <c r="C10" s="1688">
        <f>SUM(C8:C9)</f>
        <v>1734582</v>
      </c>
      <c r="D10" s="1688">
        <f t="shared" ref="D10:K10" si="1">SUM(D8:D9)</f>
        <v>90719</v>
      </c>
      <c r="E10" s="1688">
        <f t="shared" si="1"/>
        <v>0</v>
      </c>
      <c r="F10" s="1688">
        <f t="shared" si="1"/>
        <v>122860</v>
      </c>
      <c r="G10" s="1688">
        <f t="shared" si="1"/>
        <v>27085</v>
      </c>
      <c r="H10" s="1688">
        <f t="shared" si="1"/>
        <v>0</v>
      </c>
      <c r="I10" s="1688">
        <f t="shared" si="1"/>
        <v>15884</v>
      </c>
      <c r="J10" s="1688">
        <f t="shared" si="1"/>
        <v>98732</v>
      </c>
      <c r="K10" s="1688">
        <f t="shared" si="1"/>
        <v>0</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879865</v>
      </c>
      <c r="D12" s="520" t="s">
        <v>1169</v>
      </c>
      <c r="E12" s="468" t="s">
        <v>1169</v>
      </c>
      <c r="F12" s="468" t="s">
        <v>1169</v>
      </c>
      <c r="G12" s="1742">
        <f>'Expenditures 15-22'!K229</f>
        <v>17856</v>
      </c>
      <c r="H12" s="521"/>
      <c r="I12" s="468" t="s">
        <v>1169</v>
      </c>
      <c r="J12" s="468" t="s">
        <v>1169</v>
      </c>
      <c r="K12" s="521" t="s">
        <v>1169</v>
      </c>
      <c r="L12" s="347"/>
    </row>
    <row r="13" spans="1:13" ht="15.75" customHeight="1" x14ac:dyDescent="0.2">
      <c r="A13" s="1576" t="s">
        <v>457</v>
      </c>
      <c r="B13" s="1578">
        <v>2000</v>
      </c>
      <c r="C13" s="1743">
        <f>'Expenditures 15-22'!K74</f>
        <v>260002</v>
      </c>
      <c r="D13" s="1743">
        <f>'Expenditures 15-22'!K129</f>
        <v>125555</v>
      </c>
      <c r="E13" s="469" t="s">
        <v>1169</v>
      </c>
      <c r="F13" s="1743">
        <f>'Expenditures 15-22'!K184</f>
        <v>104217</v>
      </c>
      <c r="G13" s="1743">
        <f>'Expenditures 15-22'!K279</f>
        <v>32371</v>
      </c>
      <c r="H13" s="1743">
        <f>'Expenditures 15-22'!K303</f>
        <v>0</v>
      </c>
      <c r="I13" s="468" t="s">
        <v>1169</v>
      </c>
      <c r="J13" s="1743">
        <f>'Expenditures 15-22'!K330</f>
        <v>76274</v>
      </c>
      <c r="K13" s="1747">
        <f>'Expenditures 15-22'!K352</f>
        <v>0</v>
      </c>
      <c r="L13" s="347"/>
    </row>
    <row r="14" spans="1:13" ht="15.75" customHeight="1" x14ac:dyDescent="0.2">
      <c r="A14" s="1576" t="s">
        <v>449</v>
      </c>
      <c r="B14" s="1578">
        <v>3000</v>
      </c>
      <c r="C14" s="1743">
        <f>'Expenditures 15-22'!K75</f>
        <v>978</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37536</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1178381</v>
      </c>
      <c r="D17" s="1688">
        <f t="shared" si="2"/>
        <v>125555</v>
      </c>
      <c r="E17" s="1688">
        <f t="shared" si="2"/>
        <v>0</v>
      </c>
      <c r="F17" s="1688">
        <f t="shared" si="2"/>
        <v>104217</v>
      </c>
      <c r="G17" s="1688">
        <f t="shared" si="2"/>
        <v>50227</v>
      </c>
      <c r="H17" s="1688">
        <f t="shared" si="2"/>
        <v>0</v>
      </c>
      <c r="I17" s="468"/>
      <c r="J17" s="1688">
        <f>SUM(J12:J16)</f>
        <v>76274</v>
      </c>
      <c r="K17" s="1688">
        <f>SUM(K12:K16)</f>
        <v>0</v>
      </c>
      <c r="L17" s="347"/>
    </row>
    <row r="18" spans="1:12" ht="15" customHeight="1" thickTop="1" x14ac:dyDescent="0.2">
      <c r="A18" s="1744" t="s">
        <v>1654</v>
      </c>
      <c r="B18" s="1745">
        <v>4180</v>
      </c>
      <c r="C18" s="1742">
        <f t="shared" ref="C18:H18" si="3">C9</f>
        <v>591697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1770078</v>
      </c>
      <c r="D19" s="1688">
        <f t="shared" si="4"/>
        <v>125555</v>
      </c>
      <c r="E19" s="1688">
        <f t="shared" si="4"/>
        <v>0</v>
      </c>
      <c r="F19" s="1688">
        <f t="shared" si="4"/>
        <v>104217</v>
      </c>
      <c r="G19" s="1688">
        <f t="shared" si="4"/>
        <v>50227</v>
      </c>
      <c r="H19" s="1688">
        <f t="shared" si="4"/>
        <v>0</v>
      </c>
      <c r="I19" s="468"/>
      <c r="J19" s="1688">
        <f>SUM(J17:J18)</f>
        <v>76274</v>
      </c>
      <c r="K19" s="1688">
        <f>SUM(K17:K18)</f>
        <v>0</v>
      </c>
      <c r="L19" s="347"/>
    </row>
    <row r="20" spans="1:12" ht="16.5" thickTop="1" thickBot="1" x14ac:dyDescent="0.25">
      <c r="A20" s="2124" t="s">
        <v>1655</v>
      </c>
      <c r="B20" s="2125"/>
      <c r="C20" s="1746">
        <f>C8-C17</f>
        <v>-35496</v>
      </c>
      <c r="D20" s="1746">
        <f t="shared" ref="D20:K20" si="5">D8-D17</f>
        <v>-34836</v>
      </c>
      <c r="E20" s="1746">
        <f t="shared" si="5"/>
        <v>0</v>
      </c>
      <c r="F20" s="1746">
        <f t="shared" si="5"/>
        <v>18643</v>
      </c>
      <c r="G20" s="1746">
        <f t="shared" si="5"/>
        <v>-23142</v>
      </c>
      <c r="H20" s="1746">
        <f t="shared" si="5"/>
        <v>0</v>
      </c>
      <c r="I20" s="1746">
        <f t="shared" si="5"/>
        <v>15884</v>
      </c>
      <c r="J20" s="1746">
        <f t="shared" si="5"/>
        <v>22458</v>
      </c>
      <c r="K20" s="1746">
        <f t="shared" si="5"/>
        <v>0</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150000</v>
      </c>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8" t="s">
        <v>374</v>
      </c>
      <c r="B44" s="2139"/>
      <c r="C44" s="1703">
        <f>SUM(C24:C43)</f>
        <v>150000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150000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0</v>
      </c>
      <c r="G76" s="1703">
        <f t="shared" si="7"/>
        <v>0</v>
      </c>
      <c r="H76" s="1703">
        <f t="shared" si="7"/>
        <v>0</v>
      </c>
      <c r="I76" s="1703">
        <f t="shared" si="7"/>
        <v>150000</v>
      </c>
      <c r="J76" s="1703">
        <f t="shared" si="7"/>
        <v>0</v>
      </c>
      <c r="K76" s="1703">
        <f t="shared" si="7"/>
        <v>0</v>
      </c>
      <c r="L76" s="524"/>
    </row>
    <row r="77" spans="1:12" ht="14.25" thickTop="1" thickBot="1" x14ac:dyDescent="0.25">
      <c r="A77" s="2116" t="s">
        <v>1177</v>
      </c>
      <c r="B77" s="2117"/>
      <c r="C77" s="1703">
        <f t="shared" ref="C77:K77" si="8">C44-C76</f>
        <v>150000</v>
      </c>
      <c r="D77" s="1703">
        <f t="shared" si="8"/>
        <v>0</v>
      </c>
      <c r="E77" s="1703">
        <f t="shared" si="8"/>
        <v>0</v>
      </c>
      <c r="F77" s="1703">
        <f t="shared" si="8"/>
        <v>0</v>
      </c>
      <c r="G77" s="1703">
        <f t="shared" si="8"/>
        <v>0</v>
      </c>
      <c r="H77" s="1703">
        <f t="shared" si="8"/>
        <v>0</v>
      </c>
      <c r="I77" s="1703">
        <f t="shared" si="8"/>
        <v>-150000</v>
      </c>
      <c r="J77" s="1703">
        <f t="shared" si="8"/>
        <v>0</v>
      </c>
      <c r="K77" s="1703">
        <f t="shared" si="8"/>
        <v>0</v>
      </c>
      <c r="L77" s="347"/>
    </row>
    <row r="78" spans="1:12" ht="21.75" customHeight="1" thickTop="1" thickBot="1" x14ac:dyDescent="0.25">
      <c r="A78" s="2120" t="s">
        <v>597</v>
      </c>
      <c r="B78" s="2121"/>
      <c r="C78" s="1702">
        <f t="shared" ref="C78:K78" si="9">C20+C77</f>
        <v>114504</v>
      </c>
      <c r="D78" s="1702">
        <f t="shared" si="9"/>
        <v>-34836</v>
      </c>
      <c r="E78" s="1702">
        <f t="shared" si="9"/>
        <v>0</v>
      </c>
      <c r="F78" s="1702">
        <f t="shared" si="9"/>
        <v>18643</v>
      </c>
      <c r="G78" s="1702">
        <f t="shared" si="9"/>
        <v>-23142</v>
      </c>
      <c r="H78" s="1702">
        <f t="shared" si="9"/>
        <v>0</v>
      </c>
      <c r="I78" s="1702">
        <f t="shared" si="9"/>
        <v>-134116</v>
      </c>
      <c r="J78" s="1702">
        <f t="shared" si="9"/>
        <v>22458</v>
      </c>
      <c r="K78" s="1702">
        <f t="shared" si="9"/>
        <v>0</v>
      </c>
      <c r="L78" s="533"/>
    </row>
    <row r="79" spans="1:12" ht="13.5" thickTop="1" x14ac:dyDescent="0.2">
      <c r="A79" s="1494" t="s">
        <v>1949</v>
      </c>
      <c r="B79" s="534"/>
      <c r="C79" s="478">
        <v>232936</v>
      </c>
      <c r="D79" s="535">
        <v>158552</v>
      </c>
      <c r="E79" s="535"/>
      <c r="F79" s="535">
        <v>203793</v>
      </c>
      <c r="G79" s="535">
        <v>232342</v>
      </c>
      <c r="H79" s="535"/>
      <c r="I79" s="535">
        <v>150332</v>
      </c>
      <c r="J79" s="535">
        <v>166935</v>
      </c>
      <c r="K79" s="535"/>
      <c r="L79" s="347"/>
    </row>
    <row r="80" spans="1:12" x14ac:dyDescent="0.2">
      <c r="A80" s="2126" t="s">
        <v>1795</v>
      </c>
      <c r="B80" s="2127"/>
      <c r="C80" s="467"/>
      <c r="D80" s="467"/>
      <c r="E80" s="467"/>
      <c r="F80" s="467"/>
      <c r="G80" s="467"/>
      <c r="H80" s="467"/>
      <c r="I80" s="467"/>
      <c r="J80" s="467"/>
      <c r="K80" s="467"/>
      <c r="L80" s="347"/>
    </row>
    <row r="81" spans="1:12" ht="13.5" thickBot="1" x14ac:dyDescent="0.25">
      <c r="A81" s="2118" t="s">
        <v>1950</v>
      </c>
      <c r="B81" s="2119"/>
      <c r="C81" s="1688">
        <f>(SUM(C78:C80))</f>
        <v>347440</v>
      </c>
      <c r="D81" s="1688">
        <f>SUM(D78:D80)</f>
        <v>123716</v>
      </c>
      <c r="E81" s="1688">
        <f t="shared" ref="E81:K81" si="10">SUM(E78:E80)</f>
        <v>0</v>
      </c>
      <c r="F81" s="1688">
        <f t="shared" si="10"/>
        <v>222436</v>
      </c>
      <c r="G81" s="1688">
        <f t="shared" si="10"/>
        <v>209200</v>
      </c>
      <c r="H81" s="1688">
        <f t="shared" si="10"/>
        <v>0</v>
      </c>
      <c r="I81" s="1688">
        <f t="shared" si="10"/>
        <v>16216</v>
      </c>
      <c r="J81" s="1688">
        <f t="shared" si="10"/>
        <v>189393</v>
      </c>
      <c r="K81" s="1688">
        <f t="shared" si="10"/>
        <v>0</v>
      </c>
      <c r="L81" s="347"/>
    </row>
    <row r="82" spans="1:12" ht="0.75" customHeight="1" thickTop="1" thickBot="1" x14ac:dyDescent="0.25">
      <c r="A82" s="536" t="s">
        <v>343</v>
      </c>
      <c r="B82" s="537"/>
      <c r="C82" s="538">
        <f>(C81-C79)</f>
        <v>114504</v>
      </c>
      <c r="D82" s="538">
        <f t="shared" ref="D82:K82" si="11">(D81-D79)</f>
        <v>-34836</v>
      </c>
      <c r="E82" s="538">
        <f t="shared" si="11"/>
        <v>0</v>
      </c>
      <c r="F82" s="538">
        <f t="shared" si="11"/>
        <v>18643</v>
      </c>
      <c r="G82" s="538">
        <f t="shared" si="11"/>
        <v>-23142</v>
      </c>
      <c r="H82" s="538">
        <f t="shared" si="11"/>
        <v>0</v>
      </c>
      <c r="I82" s="538">
        <f t="shared" si="11"/>
        <v>-134116</v>
      </c>
      <c r="J82" s="538">
        <f t="shared" si="11"/>
        <v>22458</v>
      </c>
      <c r="K82" s="538">
        <f t="shared" si="11"/>
        <v>0</v>
      </c>
    </row>
    <row r="83" spans="1:12" ht="14.25" hidden="1" thickTop="1" thickBot="1" x14ac:dyDescent="0.25">
      <c r="A83" s="539" t="s">
        <v>344</v>
      </c>
      <c r="B83" s="464"/>
      <c r="C83" s="540">
        <f>C82/C81</f>
        <v>0.32956481694681095</v>
      </c>
      <c r="D83" s="540">
        <f t="shared" ref="D83:K83" si="12">D82/D81</f>
        <v>-0.2815803938051667</v>
      </c>
      <c r="E83" s="540" t="e">
        <f t="shared" si="12"/>
        <v>#DIV/0!</v>
      </c>
      <c r="F83" s="540">
        <f t="shared" si="12"/>
        <v>8.3812872017119525E-2</v>
      </c>
      <c r="G83" s="540">
        <f t="shared" si="12"/>
        <v>-0.11062141491395794</v>
      </c>
      <c r="H83" s="540" t="e">
        <f t="shared" si="12"/>
        <v>#DIV/0!</v>
      </c>
      <c r="I83" s="540">
        <f t="shared" si="12"/>
        <v>-8.2705969412925509</v>
      </c>
      <c r="J83" s="540">
        <f t="shared" si="12"/>
        <v>0.11857882815098762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1" activePane="bottomLeft" state="frozen"/>
      <selection activeCell="A13" sqref="A13:H13"/>
      <selection pane="bottomLeft" activeCell="C264" sqref="C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483878</v>
      </c>
      <c r="D5" s="481">
        <v>75586</v>
      </c>
      <c r="E5" s="466"/>
      <c r="F5" s="548">
        <v>36288</v>
      </c>
      <c r="G5" s="466">
        <v>12513</v>
      </c>
      <c r="H5" s="466"/>
      <c r="I5" s="466">
        <v>15120</v>
      </c>
      <c r="J5" s="467">
        <v>98038</v>
      </c>
      <c r="K5" s="466"/>
    </row>
    <row r="6" spans="1:12" ht="15" x14ac:dyDescent="0.2">
      <c r="A6" s="463" t="s">
        <v>1662</v>
      </c>
      <c r="B6" s="470">
        <v>1130</v>
      </c>
      <c r="C6" s="466"/>
      <c r="D6" s="466">
        <v>15118</v>
      </c>
      <c r="E6" s="475"/>
      <c r="F6" s="475"/>
      <c r="G6" s="468"/>
      <c r="H6" s="468"/>
      <c r="I6" s="468"/>
      <c r="J6" s="468"/>
      <c r="K6" s="468"/>
    </row>
    <row r="7" spans="1:12" x14ac:dyDescent="0.2">
      <c r="A7" s="463" t="s">
        <v>110</v>
      </c>
      <c r="B7" s="549">
        <v>1140</v>
      </c>
      <c r="C7" s="466">
        <v>6048</v>
      </c>
      <c r="D7" s="466"/>
      <c r="E7" s="468"/>
      <c r="F7" s="467"/>
      <c r="G7" s="467"/>
      <c r="H7" s="467"/>
      <c r="I7" s="468"/>
      <c r="J7" s="468"/>
      <c r="K7" s="468"/>
    </row>
    <row r="8" spans="1:12" x14ac:dyDescent="0.2">
      <c r="A8" s="463" t="s">
        <v>413</v>
      </c>
      <c r="B8" s="470">
        <v>1150</v>
      </c>
      <c r="C8" s="475"/>
      <c r="D8" s="475"/>
      <c r="E8" s="477"/>
      <c r="F8" s="477"/>
      <c r="G8" s="481">
        <v>12514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489926</v>
      </c>
      <c r="D12" s="1707">
        <f t="shared" si="0"/>
        <v>90704</v>
      </c>
      <c r="E12" s="1707">
        <f t="shared" si="0"/>
        <v>0</v>
      </c>
      <c r="F12" s="1707">
        <f t="shared" si="0"/>
        <v>36288</v>
      </c>
      <c r="G12" s="1707">
        <f t="shared" si="0"/>
        <v>25027</v>
      </c>
      <c r="H12" s="1707">
        <f t="shared" si="0"/>
        <v>0</v>
      </c>
      <c r="I12" s="1707">
        <f t="shared" si="0"/>
        <v>15120</v>
      </c>
      <c r="J12" s="1707">
        <f t="shared" si="0"/>
        <v>98038</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v>15</v>
      </c>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8985</v>
      </c>
      <c r="D16" s="466"/>
      <c r="E16" s="466"/>
      <c r="F16" s="466"/>
      <c r="G16" s="466">
        <v>1088</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8985</v>
      </c>
      <c r="D18" s="1710">
        <f t="shared" ref="D18:K18" si="1">SUM(D14:D17)</f>
        <v>15</v>
      </c>
      <c r="E18" s="1710">
        <f t="shared" si="1"/>
        <v>0</v>
      </c>
      <c r="F18" s="1710">
        <f t="shared" si="1"/>
        <v>0</v>
      </c>
      <c r="G18" s="1710">
        <f t="shared" si="1"/>
        <v>1088</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1729</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1729</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v>33350</v>
      </c>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33350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4855</v>
      </c>
      <c r="D65" s="466"/>
      <c r="E65" s="466"/>
      <c r="F65" s="467">
        <v>558</v>
      </c>
      <c r="G65" s="466">
        <v>970</v>
      </c>
      <c r="H65" s="466"/>
      <c r="I65" s="466">
        <v>764</v>
      </c>
      <c r="J65" s="467">
        <v>694</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4855</v>
      </c>
      <c r="D67" s="1688">
        <f t="shared" ref="D67:K67" si="2">SUM(D65:D66)</f>
        <v>0</v>
      </c>
      <c r="E67" s="1688">
        <f t="shared" si="2"/>
        <v>0</v>
      </c>
      <c r="F67" s="1688">
        <f t="shared" si="2"/>
        <v>558</v>
      </c>
      <c r="G67" s="1688">
        <f t="shared" si="2"/>
        <v>970</v>
      </c>
      <c r="H67" s="1688">
        <f t="shared" si="2"/>
        <v>0</v>
      </c>
      <c r="I67" s="1688">
        <f t="shared" si="2"/>
        <v>764</v>
      </c>
      <c r="J67" s="1688">
        <f t="shared" si="2"/>
        <v>694</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47859</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9295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3453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60607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16737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14541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170</v>
      </c>
      <c r="D81" s="466"/>
      <c r="E81" s="468"/>
      <c r="F81" s="468"/>
      <c r="G81" s="468"/>
      <c r="H81" s="468"/>
      <c r="I81" s="468"/>
      <c r="J81" s="468"/>
      <c r="K81" s="468"/>
    </row>
    <row r="82" spans="1:11" ht="12.75" customHeight="1" thickBot="1" x14ac:dyDescent="0.25">
      <c r="A82" s="1708" t="s">
        <v>241</v>
      </c>
      <c r="B82" s="1709"/>
      <c r="C82" s="1707">
        <f>SUM(C77:C81)</f>
        <v>31448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13815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13815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47753</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1772</v>
      </c>
      <c r="D107" s="466"/>
      <c r="E107" s="466"/>
      <c r="F107" s="466">
        <v>440</v>
      </c>
      <c r="G107" s="466"/>
      <c r="H107" s="466"/>
      <c r="I107" s="466"/>
      <c r="J107" s="467"/>
      <c r="K107" s="466"/>
    </row>
    <row r="108" spans="1:12" ht="12.75" customHeight="1" thickBot="1" x14ac:dyDescent="0.25">
      <c r="A108" s="1708" t="s">
        <v>487</v>
      </c>
      <c r="B108" s="1712"/>
      <c r="C108" s="1707">
        <f>SUM(C95:C107)</f>
        <v>49525</v>
      </c>
      <c r="D108" s="1707">
        <f t="shared" ref="D108:K108" si="3">SUM(D95:D107)</f>
        <v>0</v>
      </c>
      <c r="E108" s="1707">
        <f t="shared" si="3"/>
        <v>0</v>
      </c>
      <c r="F108" s="1707">
        <f t="shared" si="3"/>
        <v>440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660890</v>
      </c>
      <c r="D109" s="1715">
        <f t="shared" si="4"/>
        <v>90719</v>
      </c>
      <c r="E109" s="1715">
        <f t="shared" si="4"/>
        <v>0</v>
      </c>
      <c r="F109" s="1715">
        <f t="shared" si="4"/>
        <v>70636</v>
      </c>
      <c r="G109" s="1715">
        <f t="shared" si="4"/>
        <v>27085</v>
      </c>
      <c r="H109" s="1715">
        <f t="shared" si="4"/>
        <v>0</v>
      </c>
      <c r="I109" s="1715">
        <f t="shared" si="4"/>
        <v>15884</v>
      </c>
      <c r="J109" s="1715">
        <f t="shared" si="4"/>
        <v>98732</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340364</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340364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259</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52224</v>
      </c>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52224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42639</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42898</v>
      </c>
      <c r="D169" s="1722">
        <f t="shared" si="6"/>
        <v>0</v>
      </c>
      <c r="E169" s="1722">
        <f t="shared" si="6"/>
        <v>0</v>
      </c>
      <c r="F169" s="1722">
        <f t="shared" si="6"/>
        <v>52224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383262</v>
      </c>
      <c r="D170" s="1715">
        <f t="shared" si="7"/>
        <v>0</v>
      </c>
      <c r="E170" s="1715">
        <f t="shared" si="7"/>
        <v>0</v>
      </c>
      <c r="F170" s="1715">
        <f t="shared" si="7"/>
        <v>52224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40915</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40915</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24182</v>
      </c>
      <c r="D191" s="468"/>
      <c r="E191" s="561"/>
      <c r="F191" s="468"/>
      <c r="G191" s="585"/>
      <c r="H191" s="468"/>
      <c r="I191" s="468"/>
      <c r="J191" s="468"/>
      <c r="K191" s="468"/>
    </row>
    <row r="192" spans="1:11" ht="12.75" customHeight="1" x14ac:dyDescent="0.2">
      <c r="A192" s="463" t="s">
        <v>1047</v>
      </c>
      <c r="B192" s="470">
        <v>4215</v>
      </c>
      <c r="C192" s="551">
        <v>792</v>
      </c>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24974</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10597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10597</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6060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6060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1229</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4497</v>
      </c>
      <c r="D213" s="466"/>
      <c r="E213" s="468"/>
      <c r="F213" s="466"/>
      <c r="G213" s="466"/>
      <c r="H213" s="468"/>
      <c r="I213" s="468"/>
      <c r="J213" s="468"/>
      <c r="K213" s="468"/>
    </row>
    <row r="214" spans="1:11" ht="12.75" customHeight="1" x14ac:dyDescent="0.2">
      <c r="A214" s="463" t="s">
        <v>1054</v>
      </c>
      <c r="B214" s="470">
        <v>4625</v>
      </c>
      <c r="C214" s="551">
        <v>262</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5988</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3072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7127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98733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98733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1142885</v>
      </c>
      <c r="D268" s="1715">
        <f t="shared" si="12"/>
        <v>90719</v>
      </c>
      <c r="E268" s="1715">
        <f t="shared" si="12"/>
        <v>0</v>
      </c>
      <c r="F268" s="1715">
        <f t="shared" si="12"/>
        <v>122860</v>
      </c>
      <c r="G268" s="1715">
        <f t="shared" si="12"/>
        <v>27085</v>
      </c>
      <c r="H268" s="1715">
        <f t="shared" si="12"/>
        <v>0</v>
      </c>
      <c r="I268" s="1715">
        <f t="shared" si="12"/>
        <v>15884</v>
      </c>
      <c r="J268" s="1715">
        <f t="shared" si="12"/>
        <v>98732</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&amp;L&amp;8See notes.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 activePane="bottomLeft" state="frozen"/>
      <selection activeCell="A13" sqref="A13:H13"/>
      <selection pane="bottomLeft" activeCell="A13" sqref="A13:H1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686343</v>
      </c>
      <c r="D5" s="466">
        <v>10802</v>
      </c>
      <c r="E5" s="466">
        <v>3276</v>
      </c>
      <c r="F5" s="466">
        <v>31757</v>
      </c>
      <c r="G5" s="466"/>
      <c r="H5" s="466"/>
      <c r="I5" s="467"/>
      <c r="J5" s="467"/>
      <c r="K5" s="1671">
        <f>SUM(C5:J5)</f>
        <v>732178</v>
      </c>
      <c r="L5" s="466">
        <v>704436</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27101</v>
      </c>
      <c r="D7" s="467">
        <v>2193</v>
      </c>
      <c r="E7" s="467"/>
      <c r="F7" s="467">
        <v>1407</v>
      </c>
      <c r="G7" s="467"/>
      <c r="H7" s="467"/>
      <c r="I7" s="467"/>
      <c r="J7" s="467"/>
      <c r="K7" s="1671">
        <f t="shared" ref="K7:K32" si="0">SUM(C7:J7)</f>
        <v>30701</v>
      </c>
      <c r="L7" s="466">
        <v>30311</v>
      </c>
    </row>
    <row r="8" spans="1:14" x14ac:dyDescent="0.2">
      <c r="A8" s="1504" t="s">
        <v>164</v>
      </c>
      <c r="B8" s="614">
        <v>1200</v>
      </c>
      <c r="C8" s="466">
        <v>72651</v>
      </c>
      <c r="D8" s="466">
        <v>702</v>
      </c>
      <c r="E8" s="466">
        <v>2060</v>
      </c>
      <c r="F8" s="466"/>
      <c r="G8" s="466"/>
      <c r="H8" s="466"/>
      <c r="I8" s="467"/>
      <c r="J8" s="467"/>
      <c r="K8" s="1671">
        <f t="shared" si="0"/>
        <v>75413</v>
      </c>
      <c r="L8" s="466">
        <v>71793</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12302</v>
      </c>
      <c r="D10" s="466"/>
      <c r="E10" s="466">
        <v>170</v>
      </c>
      <c r="F10" s="466"/>
      <c r="G10" s="466"/>
      <c r="H10" s="466"/>
      <c r="I10" s="467"/>
      <c r="J10" s="467"/>
      <c r="K10" s="1671">
        <f t="shared" si="0"/>
        <v>12472</v>
      </c>
      <c r="L10" s="466">
        <v>12731</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13280</v>
      </c>
      <c r="D14" s="466">
        <v>109</v>
      </c>
      <c r="E14" s="466">
        <v>7406</v>
      </c>
      <c r="F14" s="466">
        <v>2293</v>
      </c>
      <c r="G14" s="466"/>
      <c r="H14" s="466">
        <v>2939</v>
      </c>
      <c r="I14" s="467"/>
      <c r="J14" s="467"/>
      <c r="K14" s="1671">
        <f t="shared" si="0"/>
        <v>26027</v>
      </c>
      <c r="L14" s="466">
        <v>23728</v>
      </c>
    </row>
    <row r="15" spans="1:14" x14ac:dyDescent="0.2">
      <c r="A15" s="1504" t="s">
        <v>964</v>
      </c>
      <c r="B15" s="614">
        <v>1600</v>
      </c>
      <c r="C15" s="466">
        <v>2970</v>
      </c>
      <c r="D15" s="466">
        <v>104</v>
      </c>
      <c r="E15" s="466"/>
      <c r="F15" s="466"/>
      <c r="G15" s="466"/>
      <c r="H15" s="466"/>
      <c r="I15" s="467"/>
      <c r="J15" s="467"/>
      <c r="K15" s="1671">
        <f t="shared" si="0"/>
        <v>3074</v>
      </c>
      <c r="L15" s="466">
        <v>2150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814647</v>
      </c>
      <c r="D33" s="1670">
        <f t="shared" ref="D33:L33" si="1">SUM(D5:D32)</f>
        <v>13910</v>
      </c>
      <c r="E33" s="1670">
        <f t="shared" si="1"/>
        <v>12912</v>
      </c>
      <c r="F33" s="1670">
        <f t="shared" si="1"/>
        <v>35457</v>
      </c>
      <c r="G33" s="1670">
        <f t="shared" si="1"/>
        <v>0</v>
      </c>
      <c r="H33" s="1670">
        <f t="shared" si="1"/>
        <v>2939</v>
      </c>
      <c r="I33" s="1670">
        <f t="shared" si="1"/>
        <v>0</v>
      </c>
      <c r="J33" s="1670">
        <f t="shared" si="1"/>
        <v>0</v>
      </c>
      <c r="K33" s="1670">
        <f t="shared" si="1"/>
        <v>879865</v>
      </c>
      <c r="L33" s="1670">
        <f t="shared" si="1"/>
        <v>845149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v>7620</v>
      </c>
      <c r="F36" s="481"/>
      <c r="G36" s="481"/>
      <c r="H36" s="481"/>
      <c r="I36" s="467"/>
      <c r="J36" s="467"/>
      <c r="K36" s="1671">
        <f t="shared" ref="K36:K41" si="2">SUM(C36:J36)</f>
        <v>7620</v>
      </c>
      <c r="L36" s="466">
        <v>8400</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c r="F38" s="466">
        <v>180</v>
      </c>
      <c r="G38" s="466"/>
      <c r="H38" s="466"/>
      <c r="I38" s="467"/>
      <c r="J38" s="467"/>
      <c r="K38" s="1671">
        <f t="shared" si="2"/>
        <v>180</v>
      </c>
      <c r="L38" s="466">
        <v>180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v>10000</v>
      </c>
    </row>
    <row r="42" spans="1:14" ht="12.75" customHeight="1" thickBot="1" x14ac:dyDescent="0.25">
      <c r="A42" s="1668" t="s">
        <v>560</v>
      </c>
      <c r="B42" s="1669" t="s">
        <v>716</v>
      </c>
      <c r="C42" s="1670">
        <f>SUM(C36:C41)</f>
        <v>0</v>
      </c>
      <c r="D42" s="1670">
        <f t="shared" ref="D42:L42" si="3">SUM(D36:D41)</f>
        <v>0</v>
      </c>
      <c r="E42" s="1670">
        <f t="shared" si="3"/>
        <v>7620</v>
      </c>
      <c r="F42" s="1670">
        <f t="shared" si="3"/>
        <v>180</v>
      </c>
      <c r="G42" s="1670">
        <f t="shared" si="3"/>
        <v>0</v>
      </c>
      <c r="H42" s="1670">
        <f t="shared" si="3"/>
        <v>0</v>
      </c>
      <c r="I42" s="1670">
        <f t="shared" si="3"/>
        <v>0</v>
      </c>
      <c r="J42" s="1670">
        <f t="shared" si="3"/>
        <v>0</v>
      </c>
      <c r="K42" s="1670">
        <f t="shared" si="3"/>
        <v>7800</v>
      </c>
      <c r="L42" s="1670">
        <f t="shared" si="3"/>
        <v>18580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2000</v>
      </c>
      <c r="D44" s="481">
        <v>56</v>
      </c>
      <c r="E44" s="481">
        <v>2116</v>
      </c>
      <c r="F44" s="481"/>
      <c r="G44" s="481"/>
      <c r="H44" s="481"/>
      <c r="I44" s="467"/>
      <c r="J44" s="467"/>
      <c r="K44" s="1672">
        <f>SUM(C44:J44)</f>
        <v>4172</v>
      </c>
      <c r="L44" s="481">
        <v>2841</v>
      </c>
    </row>
    <row r="45" spans="1:14" x14ac:dyDescent="0.2">
      <c r="A45" s="1504" t="s">
        <v>815</v>
      </c>
      <c r="B45" s="614">
        <v>2220</v>
      </c>
      <c r="C45" s="466"/>
      <c r="D45" s="466"/>
      <c r="E45" s="466"/>
      <c r="F45" s="466">
        <v>3051</v>
      </c>
      <c r="G45" s="466"/>
      <c r="H45" s="466"/>
      <c r="I45" s="467"/>
      <c r="J45" s="467"/>
      <c r="K45" s="1672">
        <f>SUM(C45:J45)</f>
        <v>3051</v>
      </c>
      <c r="L45" s="466">
        <v>2850</v>
      </c>
    </row>
    <row r="46" spans="1:14" x14ac:dyDescent="0.2">
      <c r="A46" s="1504" t="s">
        <v>816</v>
      </c>
      <c r="B46" s="614">
        <v>2230</v>
      </c>
      <c r="C46" s="466"/>
      <c r="D46" s="466"/>
      <c r="E46" s="466">
        <v>315</v>
      </c>
      <c r="F46" s="466"/>
      <c r="G46" s="466"/>
      <c r="H46" s="466"/>
      <c r="I46" s="467"/>
      <c r="J46" s="467"/>
      <c r="K46" s="1672">
        <f>SUM(C46:J46)</f>
        <v>315</v>
      </c>
      <c r="L46" s="466">
        <v>1200</v>
      </c>
    </row>
    <row r="47" spans="1:14" ht="12.75" customHeight="1" thickBot="1" x14ac:dyDescent="0.25">
      <c r="A47" s="1668" t="s">
        <v>561</v>
      </c>
      <c r="B47" s="1669" t="s">
        <v>32</v>
      </c>
      <c r="C47" s="1670">
        <f>SUM(C44:C46)</f>
        <v>2000</v>
      </c>
      <c r="D47" s="1670">
        <f t="shared" ref="D47:K47" si="4">SUM(D44:D46)</f>
        <v>56</v>
      </c>
      <c r="E47" s="1670">
        <f t="shared" si="4"/>
        <v>2431</v>
      </c>
      <c r="F47" s="1670">
        <f t="shared" si="4"/>
        <v>3051</v>
      </c>
      <c r="G47" s="1670">
        <f t="shared" si="4"/>
        <v>0</v>
      </c>
      <c r="H47" s="1670">
        <f t="shared" si="4"/>
        <v>0</v>
      </c>
      <c r="I47" s="1670">
        <f t="shared" si="4"/>
        <v>0</v>
      </c>
      <c r="J47" s="1670">
        <f t="shared" si="4"/>
        <v>0</v>
      </c>
      <c r="K47" s="1670">
        <f t="shared" si="4"/>
        <v>7538</v>
      </c>
      <c r="L47" s="1670">
        <f>SUM(L44:L46)</f>
        <v>6891</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600</v>
      </c>
      <c r="D49" s="481"/>
      <c r="E49" s="481">
        <v>8585</v>
      </c>
      <c r="F49" s="481">
        <v>1058</v>
      </c>
      <c r="G49" s="481"/>
      <c r="H49" s="481">
        <v>975</v>
      </c>
      <c r="I49" s="467"/>
      <c r="J49" s="467"/>
      <c r="K49" s="1672">
        <f>SUM(C49:J49)</f>
        <v>11218</v>
      </c>
      <c r="L49" s="481">
        <v>10915</v>
      </c>
    </row>
    <row r="50" spans="1:14" x14ac:dyDescent="0.2">
      <c r="A50" s="1504" t="s">
        <v>818</v>
      </c>
      <c r="B50" s="614">
        <v>2320</v>
      </c>
      <c r="C50" s="466">
        <v>54202</v>
      </c>
      <c r="D50" s="466">
        <v>813</v>
      </c>
      <c r="E50" s="466">
        <v>4995</v>
      </c>
      <c r="F50" s="466">
        <v>1075</v>
      </c>
      <c r="G50" s="466"/>
      <c r="H50" s="466">
        <v>1442</v>
      </c>
      <c r="I50" s="467"/>
      <c r="J50" s="467"/>
      <c r="K50" s="1672">
        <f>SUM(C50:J50)</f>
        <v>62527</v>
      </c>
      <c r="L50" s="466">
        <v>61432</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54802</v>
      </c>
      <c r="D53" s="1670">
        <f t="shared" ref="D53:L53" si="5">SUM(D49:D52)</f>
        <v>813</v>
      </c>
      <c r="E53" s="1670">
        <f t="shared" si="5"/>
        <v>13580</v>
      </c>
      <c r="F53" s="1670">
        <f t="shared" si="5"/>
        <v>2133</v>
      </c>
      <c r="G53" s="1670">
        <f t="shared" si="5"/>
        <v>0</v>
      </c>
      <c r="H53" s="1670">
        <f t="shared" si="5"/>
        <v>2417</v>
      </c>
      <c r="I53" s="1670">
        <f t="shared" si="5"/>
        <v>0</v>
      </c>
      <c r="J53" s="1670">
        <f t="shared" si="5"/>
        <v>0</v>
      </c>
      <c r="K53" s="1670">
        <f t="shared" si="5"/>
        <v>73745</v>
      </c>
      <c r="L53" s="1670">
        <f t="shared" si="5"/>
        <v>72347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59511</v>
      </c>
      <c r="D55" s="481">
        <v>425</v>
      </c>
      <c r="E55" s="481">
        <v>3845</v>
      </c>
      <c r="F55" s="481"/>
      <c r="G55" s="481"/>
      <c r="H55" s="481"/>
      <c r="I55" s="467"/>
      <c r="J55" s="467"/>
      <c r="K55" s="1672">
        <f>SUM(C55:J55)</f>
        <v>63781</v>
      </c>
      <c r="L55" s="481">
        <v>69629</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59511</v>
      </c>
      <c r="D57" s="1674">
        <f t="shared" ref="D57:K57" si="6">SUM(D55:D56)</f>
        <v>425</v>
      </c>
      <c r="E57" s="1674">
        <f t="shared" si="6"/>
        <v>3845</v>
      </c>
      <c r="F57" s="1674">
        <f t="shared" si="6"/>
        <v>0</v>
      </c>
      <c r="G57" s="1674">
        <f t="shared" si="6"/>
        <v>0</v>
      </c>
      <c r="H57" s="1674">
        <f t="shared" si="6"/>
        <v>0</v>
      </c>
      <c r="I57" s="1674">
        <f t="shared" si="6"/>
        <v>0</v>
      </c>
      <c r="J57" s="1674">
        <f t="shared" si="6"/>
        <v>0</v>
      </c>
      <c r="K57" s="1674">
        <f t="shared" si="6"/>
        <v>63781</v>
      </c>
      <c r="L57" s="1670">
        <f>SUM(L55:L56)</f>
        <v>69629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12283</v>
      </c>
      <c r="D60" s="466"/>
      <c r="E60" s="466">
        <v>12766</v>
      </c>
      <c r="F60" s="466"/>
      <c r="G60" s="466"/>
      <c r="H60" s="466"/>
      <c r="I60" s="467"/>
      <c r="J60" s="467"/>
      <c r="K60" s="1672">
        <f t="shared" si="7"/>
        <v>25049</v>
      </c>
      <c r="L60" s="466">
        <v>22000</v>
      </c>
      <c r="M60" s="609"/>
      <c r="N60" s="609"/>
    </row>
    <row r="61" spans="1:14" s="343" customFormat="1" x14ac:dyDescent="0.2">
      <c r="A61" s="1504" t="s">
        <v>197</v>
      </c>
      <c r="B61" s="614">
        <v>2540</v>
      </c>
      <c r="C61" s="466">
        <v>3288</v>
      </c>
      <c r="D61" s="466"/>
      <c r="E61" s="466"/>
      <c r="F61" s="466"/>
      <c r="G61" s="466"/>
      <c r="H61" s="466"/>
      <c r="I61" s="467"/>
      <c r="J61" s="467"/>
      <c r="K61" s="1672">
        <f t="shared" si="7"/>
        <v>3288</v>
      </c>
      <c r="L61" s="466"/>
      <c r="M61" s="609"/>
      <c r="N61" s="609"/>
    </row>
    <row r="62" spans="1:14" s="343" customFormat="1" x14ac:dyDescent="0.2">
      <c r="A62" s="1504" t="s">
        <v>953</v>
      </c>
      <c r="B62" s="614">
        <v>2550</v>
      </c>
      <c r="C62" s="466">
        <v>2525</v>
      </c>
      <c r="D62" s="466">
        <v>445</v>
      </c>
      <c r="E62" s="466"/>
      <c r="F62" s="466"/>
      <c r="G62" s="466"/>
      <c r="H62" s="466"/>
      <c r="I62" s="467"/>
      <c r="J62" s="467"/>
      <c r="K62" s="1672">
        <f t="shared" si="7"/>
        <v>2970</v>
      </c>
      <c r="L62" s="466"/>
      <c r="M62" s="609"/>
      <c r="N62" s="609"/>
    </row>
    <row r="63" spans="1:14" s="609" customFormat="1" x14ac:dyDescent="0.2">
      <c r="A63" s="1504" t="s">
        <v>100</v>
      </c>
      <c r="B63" s="614">
        <v>2560</v>
      </c>
      <c r="C63" s="466">
        <v>37334</v>
      </c>
      <c r="D63" s="466"/>
      <c r="E63" s="466">
        <v>709</v>
      </c>
      <c r="F63" s="466">
        <v>37788</v>
      </c>
      <c r="G63" s="466"/>
      <c r="H63" s="466"/>
      <c r="I63" s="467"/>
      <c r="J63" s="467"/>
      <c r="K63" s="1672">
        <f t="shared" si="7"/>
        <v>75831</v>
      </c>
      <c r="L63" s="466">
        <v>80135</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55430</v>
      </c>
      <c r="D65" s="1670">
        <f t="shared" ref="D65:L65" si="8">SUM(D59:D64)</f>
        <v>445</v>
      </c>
      <c r="E65" s="1670">
        <f t="shared" si="8"/>
        <v>13475</v>
      </c>
      <c r="F65" s="1670">
        <f t="shared" si="8"/>
        <v>37788</v>
      </c>
      <c r="G65" s="1670">
        <f t="shared" si="8"/>
        <v>0</v>
      </c>
      <c r="H65" s="1670">
        <f t="shared" si="8"/>
        <v>0</v>
      </c>
      <c r="I65" s="1670">
        <f t="shared" si="8"/>
        <v>0</v>
      </c>
      <c r="J65" s="1670">
        <f t="shared" si="8"/>
        <v>0</v>
      </c>
      <c r="K65" s="1670">
        <f t="shared" si="8"/>
        <v>107138</v>
      </c>
      <c r="L65" s="1670">
        <f t="shared" si="8"/>
        <v>102135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171743</v>
      </c>
      <c r="D74" s="1677">
        <f t="shared" ref="D74:K74" si="10">SUM(D42,D47,D53,D57,D65,D72,D73)</f>
        <v>1739</v>
      </c>
      <c r="E74" s="1677">
        <f t="shared" si="10"/>
        <v>40951</v>
      </c>
      <c r="F74" s="1677">
        <f t="shared" si="10"/>
        <v>43152</v>
      </c>
      <c r="G74" s="1677">
        <f t="shared" si="10"/>
        <v>0</v>
      </c>
      <c r="H74" s="1677">
        <f t="shared" si="10"/>
        <v>2417</v>
      </c>
      <c r="I74" s="1677">
        <f t="shared" si="10"/>
        <v>0</v>
      </c>
      <c r="J74" s="1677">
        <f t="shared" si="10"/>
        <v>0</v>
      </c>
      <c r="K74" s="1677">
        <f t="shared" si="10"/>
        <v>260002</v>
      </c>
      <c r="L74" s="1677">
        <f>SUM(L42,L47,L53,L57,L65,L72,L73)</f>
        <v>269582</v>
      </c>
    </row>
    <row r="75" spans="1:14" s="259" customFormat="1" ht="15.75" customHeight="1" thickTop="1" thickBot="1" x14ac:dyDescent="0.25">
      <c r="A75" s="1610" t="s">
        <v>47</v>
      </c>
      <c r="B75" s="1611" t="s">
        <v>575</v>
      </c>
      <c r="C75" s="573"/>
      <c r="D75" s="573"/>
      <c r="E75" s="573"/>
      <c r="F75" s="573">
        <v>978</v>
      </c>
      <c r="G75" s="573"/>
      <c r="H75" s="573"/>
      <c r="I75" s="531"/>
      <c r="J75" s="531"/>
      <c r="K75" s="1670">
        <f>SUM(C75:J75)</f>
        <v>978</v>
      </c>
      <c r="L75" s="576">
        <v>45</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1229</v>
      </c>
      <c r="F79" s="616"/>
      <c r="G79" s="616"/>
      <c r="H79" s="466">
        <v>36057</v>
      </c>
      <c r="I79" s="477"/>
      <c r="J79" s="477"/>
      <c r="K79" s="1671">
        <f t="shared" si="11"/>
        <v>37286</v>
      </c>
      <c r="L79" s="466">
        <v>18719</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250</v>
      </c>
      <c r="F83" s="616"/>
      <c r="G83" s="616"/>
      <c r="H83" s="466"/>
      <c r="I83" s="477"/>
      <c r="J83" s="477"/>
      <c r="K83" s="1671">
        <f t="shared" si="11"/>
        <v>250</v>
      </c>
      <c r="L83" s="466">
        <v>1550</v>
      </c>
    </row>
    <row r="84" spans="1:12" ht="13.5" thickBot="1" x14ac:dyDescent="0.25">
      <c r="A84" s="1668" t="s">
        <v>1485</v>
      </c>
      <c r="B84" s="1678">
        <v>4100</v>
      </c>
      <c r="C84" s="616"/>
      <c r="D84" s="616"/>
      <c r="E84" s="1670">
        <f>SUM(E78:E83)</f>
        <v>1479</v>
      </c>
      <c r="F84" s="616"/>
      <c r="G84" s="616"/>
      <c r="H84" s="1670">
        <f>SUM(H78:H83)</f>
        <v>36057</v>
      </c>
      <c r="I84" s="477"/>
      <c r="J84" s="477"/>
      <c r="K84" s="1670">
        <f>SUM(K78:K83)</f>
        <v>37536</v>
      </c>
      <c r="L84" s="1670">
        <f>SUM(L78:L83)</f>
        <v>20269</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1479</v>
      </c>
      <c r="F102" s="616"/>
      <c r="G102" s="616"/>
      <c r="H102" s="1677">
        <f>SUM(H84,H92,H100,H101)</f>
        <v>36057</v>
      </c>
      <c r="I102" s="477"/>
      <c r="J102" s="477"/>
      <c r="K102" s="1677">
        <f>SUM(K84,K92,K100,K101)</f>
        <v>37536</v>
      </c>
      <c r="L102" s="1677">
        <f>SUM(L84,L92,L100,L101)</f>
        <v>20269</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986390</v>
      </c>
      <c r="D114" s="1670">
        <f t="shared" ref="D114:K114" si="13">SUM(D33,D74,D75,D102,D112,D113)</f>
        <v>15649</v>
      </c>
      <c r="E114" s="1670">
        <f t="shared" si="13"/>
        <v>55342</v>
      </c>
      <c r="F114" s="1670">
        <f t="shared" si="13"/>
        <v>79587</v>
      </c>
      <c r="G114" s="1670">
        <f t="shared" si="13"/>
        <v>0</v>
      </c>
      <c r="H114" s="1670">
        <f>SUM(H33,H74,H75,H102,H112,H113)</f>
        <v>41413</v>
      </c>
      <c r="I114" s="1670">
        <f t="shared" si="13"/>
        <v>0</v>
      </c>
      <c r="J114" s="1670">
        <f t="shared" si="13"/>
        <v>0</v>
      </c>
      <c r="K114" s="1670">
        <f t="shared" si="13"/>
        <v>1178381</v>
      </c>
      <c r="L114" s="1670">
        <f>SUM(L33,L74,L75,L102,L112,L113)</f>
        <v>1135045</v>
      </c>
    </row>
    <row r="115" spans="1:14" ht="13.5" thickTop="1" x14ac:dyDescent="0.2">
      <c r="A115" s="2154" t="s">
        <v>996</v>
      </c>
      <c r="B115" s="2155"/>
      <c r="C115" s="618"/>
      <c r="D115" s="618"/>
      <c r="E115" s="618"/>
      <c r="F115" s="618"/>
      <c r="G115" s="618"/>
      <c r="H115" s="618"/>
      <c r="I115" s="618"/>
      <c r="J115" s="618"/>
      <c r="K115" s="1684">
        <f>'Revenues 9-14'!C268-'Expenditures 15-22'!K114</f>
        <v>-35496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35585</v>
      </c>
      <c r="D124" s="466">
        <v>6174</v>
      </c>
      <c r="E124" s="466">
        <v>24908</v>
      </c>
      <c r="F124" s="466">
        <v>28166</v>
      </c>
      <c r="G124" s="466">
        <v>28788</v>
      </c>
      <c r="H124" s="466"/>
      <c r="I124" s="467">
        <v>1934</v>
      </c>
      <c r="J124" s="467"/>
      <c r="K124" s="1670">
        <f>SUM(C124:J124)</f>
        <v>125555</v>
      </c>
      <c r="L124" s="466">
        <v>147172</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35585</v>
      </c>
      <c r="D127" s="1670">
        <f t="shared" ref="D127:L127" si="14">SUM(D122:D126)</f>
        <v>6174</v>
      </c>
      <c r="E127" s="1670">
        <f t="shared" si="14"/>
        <v>24908</v>
      </c>
      <c r="F127" s="1670">
        <f t="shared" si="14"/>
        <v>28166</v>
      </c>
      <c r="G127" s="1670">
        <f t="shared" si="14"/>
        <v>28788</v>
      </c>
      <c r="H127" s="1670">
        <f t="shared" si="14"/>
        <v>0</v>
      </c>
      <c r="I127" s="1670">
        <f t="shared" si="14"/>
        <v>1934</v>
      </c>
      <c r="J127" s="1670">
        <f t="shared" si="14"/>
        <v>0</v>
      </c>
      <c r="K127" s="1670">
        <f t="shared" si="14"/>
        <v>125555</v>
      </c>
      <c r="L127" s="1670">
        <f t="shared" si="14"/>
        <v>147172</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35585</v>
      </c>
      <c r="D129" s="1677">
        <f t="shared" ref="D129:L129" si="15">SUM(D120,D127,D128)</f>
        <v>6174</v>
      </c>
      <c r="E129" s="1677">
        <f t="shared" si="15"/>
        <v>24908</v>
      </c>
      <c r="F129" s="1677">
        <f t="shared" si="15"/>
        <v>28166</v>
      </c>
      <c r="G129" s="1677">
        <f t="shared" si="15"/>
        <v>28788</v>
      </c>
      <c r="H129" s="1677">
        <f t="shared" si="15"/>
        <v>0</v>
      </c>
      <c r="I129" s="1677">
        <f t="shared" si="15"/>
        <v>1934</v>
      </c>
      <c r="J129" s="1677">
        <f t="shared" si="15"/>
        <v>0</v>
      </c>
      <c r="K129" s="1677">
        <f t="shared" si="15"/>
        <v>125555</v>
      </c>
      <c r="L129" s="1677">
        <f t="shared" si="15"/>
        <v>147172</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1"/>
      <c r="C151" s="1670">
        <f>SUM(C129,C130,C139,C149,C150)</f>
        <v>35585</v>
      </c>
      <c r="D151" s="1670">
        <f t="shared" ref="D151:K151" si="16">SUM(D129,D130,D139,D149,D150)</f>
        <v>6174</v>
      </c>
      <c r="E151" s="1670">
        <f t="shared" si="16"/>
        <v>24908</v>
      </c>
      <c r="F151" s="1670">
        <f t="shared" si="16"/>
        <v>28166</v>
      </c>
      <c r="G151" s="1670">
        <f t="shared" si="16"/>
        <v>28788</v>
      </c>
      <c r="H151" s="1670">
        <f t="shared" si="16"/>
        <v>0</v>
      </c>
      <c r="I151" s="1670">
        <f t="shared" si="16"/>
        <v>1934</v>
      </c>
      <c r="J151" s="1670">
        <f t="shared" si="16"/>
        <v>0</v>
      </c>
      <c r="K151" s="1670">
        <f t="shared" si="16"/>
        <v>125555</v>
      </c>
      <c r="L151" s="1670">
        <f>SUM(L129,L130,L139,L149,L150)</f>
        <v>147172</v>
      </c>
    </row>
    <row r="152" spans="1:14" ht="12.75" customHeight="1" thickTop="1" x14ac:dyDescent="0.2">
      <c r="A152" s="2174" t="s">
        <v>1178</v>
      </c>
      <c r="B152" s="2175"/>
      <c r="C152" s="618"/>
      <c r="D152" s="618"/>
      <c r="E152" s="618"/>
      <c r="F152" s="618"/>
      <c r="G152" s="618"/>
      <c r="H152" s="618"/>
      <c r="I152" s="618"/>
      <c r="J152" s="616"/>
      <c r="K152" s="1684">
        <f>'Revenues 9-14'!D268-'Expenditures 15-22'!K151</f>
        <v>-34836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4" t="s">
        <v>996</v>
      </c>
      <c r="B175" s="2155"/>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46885</v>
      </c>
      <c r="D182" s="466">
        <v>132</v>
      </c>
      <c r="E182" s="466">
        <v>16793</v>
      </c>
      <c r="F182" s="466">
        <v>40407</v>
      </c>
      <c r="G182" s="466"/>
      <c r="H182" s="466"/>
      <c r="I182" s="467"/>
      <c r="J182" s="467"/>
      <c r="K182" s="1671">
        <f>SUM(C182:J182)</f>
        <v>104217</v>
      </c>
      <c r="L182" s="466">
        <v>82716</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46885</v>
      </c>
      <c r="D184" s="1677">
        <f t="shared" ref="D184:J184" si="17">SUM(D180,D182,D183)</f>
        <v>132</v>
      </c>
      <c r="E184" s="1677">
        <f t="shared" si="17"/>
        <v>16793</v>
      </c>
      <c r="F184" s="1677">
        <f t="shared" si="17"/>
        <v>40407</v>
      </c>
      <c r="G184" s="1677">
        <f t="shared" si="17"/>
        <v>0</v>
      </c>
      <c r="H184" s="1677">
        <f t="shared" si="17"/>
        <v>0</v>
      </c>
      <c r="I184" s="1677">
        <f t="shared" si="17"/>
        <v>0</v>
      </c>
      <c r="J184" s="1677">
        <f t="shared" si="17"/>
        <v>0</v>
      </c>
      <c r="K184" s="1677">
        <f>SUM(K180,K182,K183)</f>
        <v>104217</v>
      </c>
      <c r="L184" s="1677">
        <f>SUM(L180, L182:L183)</f>
        <v>82716</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46885</v>
      </c>
      <c r="D210" s="1670">
        <f>SUM(D184,D185)</f>
        <v>132</v>
      </c>
      <c r="E210" s="1670">
        <f>SUM(E184,E185,E196)</f>
        <v>16793</v>
      </c>
      <c r="F210" s="1670">
        <f>SUM(F184,F185)</f>
        <v>40407</v>
      </c>
      <c r="G210" s="1670">
        <f>SUM(G184,G185)</f>
        <v>0</v>
      </c>
      <c r="H210" s="1670">
        <f>SUM(H184,H185,H196,H208,H209)</f>
        <v>0</v>
      </c>
      <c r="I210" s="1670">
        <f>SUM(I184,I185)</f>
        <v>0</v>
      </c>
      <c r="J210" s="1670">
        <f>SUM(J184,J185)</f>
        <v>0</v>
      </c>
      <c r="K210" s="1671">
        <f>SUM(K184,K185,K196,K208,K209)</f>
        <v>104217</v>
      </c>
      <c r="L210" s="1670">
        <f>SUM(L184,L185,L196,L208,L209)</f>
        <v>82716</v>
      </c>
    </row>
    <row r="211" spans="1:14" ht="13.5" thickTop="1" x14ac:dyDescent="0.2">
      <c r="A211" s="2154" t="s">
        <v>996</v>
      </c>
      <c r="B211" s="2155"/>
      <c r="C211" s="618"/>
      <c r="D211" s="618"/>
      <c r="E211" s="618"/>
      <c r="F211" s="618"/>
      <c r="G211" s="618"/>
      <c r="H211" s="618"/>
      <c r="I211" s="616"/>
      <c r="J211" s="616"/>
      <c r="K211" s="1684">
        <f>'Revenues 9-14'!F268-'Expenditures 15-22'!K210</f>
        <v>18643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9560</v>
      </c>
      <c r="E215" s="616"/>
      <c r="F215" s="616"/>
      <c r="G215" s="616"/>
      <c r="H215" s="616"/>
      <c r="I215" s="616"/>
      <c r="J215" s="616"/>
      <c r="K215" s="1671">
        <f>D215</f>
        <v>9560</v>
      </c>
      <c r="L215" s="466">
        <v>11377</v>
      </c>
    </row>
    <row r="216" spans="1:14" x14ac:dyDescent="0.2">
      <c r="A216" s="1504" t="s">
        <v>163</v>
      </c>
      <c r="B216" s="614" t="s">
        <v>967</v>
      </c>
      <c r="C216" s="616"/>
      <c r="D216" s="467">
        <v>51</v>
      </c>
      <c r="E216" s="616"/>
      <c r="F216" s="616"/>
      <c r="G216" s="616"/>
      <c r="H216" s="616"/>
      <c r="I216" s="616"/>
      <c r="J216" s="616"/>
      <c r="K216" s="1671">
        <f t="shared" ref="K216:K228" si="19">D216</f>
        <v>51</v>
      </c>
      <c r="L216" s="466">
        <v>247</v>
      </c>
    </row>
    <row r="217" spans="1:14" x14ac:dyDescent="0.2">
      <c r="A217" s="1504" t="s">
        <v>164</v>
      </c>
      <c r="B217" s="614">
        <v>1200</v>
      </c>
      <c r="C217" s="616"/>
      <c r="D217" s="466">
        <v>5327</v>
      </c>
      <c r="E217" s="616"/>
      <c r="F217" s="616"/>
      <c r="G217" s="616"/>
      <c r="H217" s="616"/>
      <c r="I217" s="616"/>
      <c r="J217" s="616"/>
      <c r="K217" s="1671">
        <f t="shared" si="19"/>
        <v>5327</v>
      </c>
      <c r="L217" s="466">
        <v>3926</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2246</v>
      </c>
      <c r="E219" s="616"/>
      <c r="F219" s="616"/>
      <c r="G219" s="616"/>
      <c r="H219" s="616"/>
      <c r="I219" s="616"/>
      <c r="J219" s="616"/>
      <c r="K219" s="1671">
        <f t="shared" si="19"/>
        <v>2246</v>
      </c>
      <c r="L219" s="466">
        <v>1701</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629</v>
      </c>
      <c r="E223" s="616"/>
      <c r="F223" s="616"/>
      <c r="G223" s="616"/>
      <c r="H223" s="616"/>
      <c r="I223" s="616"/>
      <c r="J223" s="616"/>
      <c r="K223" s="1671">
        <f t="shared" si="19"/>
        <v>629</v>
      </c>
      <c r="L223" s="466">
        <v>715</v>
      </c>
    </row>
    <row r="224" spans="1:14" x14ac:dyDescent="0.2">
      <c r="A224" s="1504" t="s">
        <v>964</v>
      </c>
      <c r="B224" s="614">
        <v>1600</v>
      </c>
      <c r="C224" s="616"/>
      <c r="D224" s="466">
        <v>43</v>
      </c>
      <c r="E224" s="616"/>
      <c r="F224" s="616"/>
      <c r="G224" s="616"/>
      <c r="H224" s="616"/>
      <c r="I224" s="616"/>
      <c r="J224" s="616"/>
      <c r="K224" s="1671">
        <f t="shared" si="19"/>
        <v>43</v>
      </c>
      <c r="L224" s="466">
        <v>52</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17856</v>
      </c>
      <c r="E229" s="616"/>
      <c r="F229" s="616"/>
      <c r="G229" s="616"/>
      <c r="H229" s="616"/>
      <c r="I229" s="616"/>
      <c r="J229" s="616"/>
      <c r="K229" s="1670">
        <f>SUM(K215:K228)</f>
        <v>17856</v>
      </c>
      <c r="L229" s="1670">
        <f>SUM(L215:L228)</f>
        <v>18018</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25</v>
      </c>
      <c r="E240" s="616"/>
      <c r="F240" s="616"/>
      <c r="G240" s="616"/>
      <c r="H240" s="616"/>
      <c r="I240" s="616"/>
      <c r="J240" s="616"/>
      <c r="K240" s="1672">
        <f>D240</f>
        <v>25</v>
      </c>
      <c r="L240" s="481">
        <v>23</v>
      </c>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25</v>
      </c>
      <c r="E243" s="616"/>
      <c r="F243" s="616"/>
      <c r="G243" s="616"/>
      <c r="H243" s="616"/>
      <c r="I243" s="616"/>
      <c r="J243" s="616"/>
      <c r="K243" s="1670">
        <f>SUM(K240:K242)</f>
        <v>25</v>
      </c>
      <c r="L243" s="1670">
        <f>SUM(L240:L242)</f>
        <v>23</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529</v>
      </c>
      <c r="E246" s="616"/>
      <c r="F246" s="616"/>
      <c r="G246" s="616"/>
      <c r="H246" s="616"/>
      <c r="I246" s="616"/>
      <c r="J246" s="616"/>
      <c r="K246" s="1672">
        <f t="shared" ref="K246:K256" si="21">D246</f>
        <v>529</v>
      </c>
      <c r="L246" s="466">
        <v>875</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3358</v>
      </c>
      <c r="E254" s="616"/>
      <c r="F254" s="616"/>
      <c r="G254" s="616"/>
      <c r="H254" s="616"/>
      <c r="I254" s="616"/>
      <c r="J254" s="616"/>
      <c r="K254" s="1672">
        <f t="shared" si="21"/>
        <v>3358</v>
      </c>
      <c r="L254" s="466">
        <v>3608</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3887</v>
      </c>
      <c r="E257" s="616"/>
      <c r="F257" s="616"/>
      <c r="G257" s="616"/>
      <c r="H257" s="616"/>
      <c r="I257" s="616"/>
      <c r="J257" s="616"/>
      <c r="K257" s="1670">
        <f>SUM(K245:K256)</f>
        <v>3887</v>
      </c>
      <c r="L257" s="1670">
        <f>SUM(L245:L256)</f>
        <v>4483</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6101</v>
      </c>
      <c r="E259" s="616"/>
      <c r="F259" s="616"/>
      <c r="G259" s="616"/>
      <c r="H259" s="616"/>
      <c r="I259" s="616"/>
      <c r="J259" s="616"/>
      <c r="K259" s="1672">
        <f>D259</f>
        <v>6101</v>
      </c>
      <c r="L259" s="481">
        <v>5958</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6101</v>
      </c>
      <c r="E261" s="616"/>
      <c r="F261" s="616"/>
      <c r="G261" s="616"/>
      <c r="H261" s="616"/>
      <c r="I261" s="616"/>
      <c r="J261" s="616"/>
      <c r="K261" s="1670">
        <f>SUM(K259:K260)</f>
        <v>6101</v>
      </c>
      <c r="L261" s="1670">
        <f>SUM(L259:L260)</f>
        <v>5958</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2135</v>
      </c>
      <c r="E264" s="616"/>
      <c r="F264" s="616"/>
      <c r="G264" s="616"/>
      <c r="H264" s="616"/>
      <c r="I264" s="616"/>
      <c r="J264" s="616"/>
      <c r="K264" s="1672">
        <f t="shared" ref="K264:K269" si="22">D264</f>
        <v>2135</v>
      </c>
      <c r="L264" s="466">
        <v>2069</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7183</v>
      </c>
      <c r="E266" s="616"/>
      <c r="F266" s="616"/>
      <c r="G266" s="616"/>
      <c r="H266" s="616"/>
      <c r="I266" s="616"/>
      <c r="J266" s="616"/>
      <c r="K266" s="1672">
        <f t="shared" si="22"/>
        <v>7183</v>
      </c>
      <c r="L266" s="466">
        <v>7786</v>
      </c>
    </row>
    <row r="267" spans="1:14" x14ac:dyDescent="0.2">
      <c r="A267" s="1504" t="s">
        <v>953</v>
      </c>
      <c r="B267" s="614">
        <v>2550</v>
      </c>
      <c r="C267" s="616"/>
      <c r="D267" s="466">
        <v>6579</v>
      </c>
      <c r="E267" s="616"/>
      <c r="F267" s="616"/>
      <c r="G267" s="616"/>
      <c r="H267" s="616"/>
      <c r="I267" s="616"/>
      <c r="J267" s="616"/>
      <c r="K267" s="1672">
        <f t="shared" si="22"/>
        <v>6579</v>
      </c>
      <c r="L267" s="466">
        <v>4428</v>
      </c>
    </row>
    <row r="268" spans="1:14" x14ac:dyDescent="0.2">
      <c r="A268" s="1504" t="s">
        <v>100</v>
      </c>
      <c r="B268" s="614">
        <v>2560</v>
      </c>
      <c r="C268" s="616"/>
      <c r="D268" s="466">
        <v>6461</v>
      </c>
      <c r="E268" s="616"/>
      <c r="F268" s="616"/>
      <c r="G268" s="616"/>
      <c r="H268" s="616"/>
      <c r="I268" s="616"/>
      <c r="J268" s="616"/>
      <c r="K268" s="1672">
        <f t="shared" si="22"/>
        <v>6461</v>
      </c>
      <c r="L268" s="466">
        <v>7204</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22358</v>
      </c>
      <c r="E270" s="616"/>
      <c r="F270" s="616"/>
      <c r="G270" s="616"/>
      <c r="H270" s="616"/>
      <c r="I270" s="616"/>
      <c r="J270" s="616"/>
      <c r="K270" s="1670">
        <f>SUM(K263:K269)</f>
        <v>22358</v>
      </c>
      <c r="L270" s="1670">
        <f>SUM(L263:L269)</f>
        <v>21487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32371</v>
      </c>
      <c r="E279" s="616"/>
      <c r="F279" s="616"/>
      <c r="G279" s="616"/>
      <c r="H279" s="616"/>
      <c r="I279" s="616"/>
      <c r="J279" s="616"/>
      <c r="K279" s="1677">
        <f>SUM(K238,K243,K257,K261,K270,K277,K278)</f>
        <v>32371</v>
      </c>
      <c r="L279" s="1677">
        <f>SUM(L238,L243,L257,L261,L270,L277,L278)</f>
        <v>31951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50227</v>
      </c>
      <c r="E295" s="616"/>
      <c r="F295" s="616"/>
      <c r="G295" s="616"/>
      <c r="H295" s="1670">
        <f>H293</f>
        <v>0</v>
      </c>
      <c r="I295" s="616"/>
      <c r="J295" s="616"/>
      <c r="K295" s="1670">
        <f>SUM(K229,K279,K280,K285,K293,K294)</f>
        <v>50227</v>
      </c>
      <c r="L295" s="1670">
        <f>SUM(L229,L279,L280,L285,L293,L294)</f>
        <v>49969</v>
      </c>
    </row>
    <row r="296" spans="1:14" ht="13.5" thickTop="1" x14ac:dyDescent="0.2">
      <c r="A296" s="2154" t="s">
        <v>996</v>
      </c>
      <c r="B296" s="2155"/>
      <c r="C296" s="616"/>
      <c r="D296" s="618"/>
      <c r="E296" s="616"/>
      <c r="F296" s="616"/>
      <c r="G296" s="616"/>
      <c r="H296" s="687"/>
      <c r="I296" s="616"/>
      <c r="J296" s="616"/>
      <c r="K296" s="1684">
        <f>'Revenues 9-14'!G268-'Expenditures 15-22'!K295</f>
        <v>-23142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8858</v>
      </c>
      <c r="F320" s="467"/>
      <c r="G320" s="467"/>
      <c r="H320" s="467"/>
      <c r="I320" s="467"/>
      <c r="J320" s="467"/>
      <c r="K320" s="1671">
        <f t="shared" ref="K320:K327" si="24">SUM(C320:J320)</f>
        <v>8858</v>
      </c>
      <c r="L320" s="467">
        <v>11500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2000</v>
      </c>
      <c r="M321" s="665"/>
      <c r="N321" s="665"/>
    </row>
    <row r="322" spans="1:14" s="674" customFormat="1" x14ac:dyDescent="0.2">
      <c r="A322" s="1519" t="s">
        <v>238</v>
      </c>
      <c r="B322" s="697" t="s">
        <v>284</v>
      </c>
      <c r="C322" s="467"/>
      <c r="D322" s="467"/>
      <c r="E322" s="467">
        <v>17077</v>
      </c>
      <c r="F322" s="467"/>
      <c r="G322" s="467"/>
      <c r="H322" s="467"/>
      <c r="I322" s="467"/>
      <c r="J322" s="467"/>
      <c r="K322" s="1671">
        <f t="shared" si="24"/>
        <v>17077</v>
      </c>
      <c r="L322" s="467">
        <v>18500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42734</v>
      </c>
      <c r="D325" s="467">
        <v>2520</v>
      </c>
      <c r="E325" s="467">
        <v>5085</v>
      </c>
      <c r="F325" s="467"/>
      <c r="G325" s="467"/>
      <c r="H325" s="467"/>
      <c r="I325" s="467"/>
      <c r="J325" s="467"/>
      <c r="K325" s="1671">
        <f t="shared" si="24"/>
        <v>50339</v>
      </c>
      <c r="L325" s="467">
        <v>60287</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450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42734</v>
      </c>
      <c r="D330" s="1670">
        <f t="shared" ref="D330:J330" si="25">SUM(D319:D329)</f>
        <v>2520</v>
      </c>
      <c r="E330" s="1670">
        <f t="shared" si="25"/>
        <v>31020</v>
      </c>
      <c r="F330" s="1670">
        <f t="shared" si="25"/>
        <v>0</v>
      </c>
      <c r="G330" s="1670">
        <f t="shared" si="25"/>
        <v>0</v>
      </c>
      <c r="H330" s="1670">
        <f t="shared" si="25"/>
        <v>0</v>
      </c>
      <c r="I330" s="1670">
        <f t="shared" si="25"/>
        <v>0</v>
      </c>
      <c r="J330" s="1670">
        <f t="shared" si="25"/>
        <v>0</v>
      </c>
      <c r="K330" s="1670">
        <f>SUM(K319:K329)</f>
        <v>76274</v>
      </c>
      <c r="L330" s="1670">
        <f>SUM(L319:L329)</f>
        <v>92737</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42734</v>
      </c>
      <c r="D342" s="1670">
        <f>SUM(D330)</f>
        <v>2520</v>
      </c>
      <c r="E342" s="1670">
        <f>SUM(E330)</f>
        <v>31020</v>
      </c>
      <c r="F342" s="1670">
        <f>SUM(F330)</f>
        <v>0</v>
      </c>
      <c r="G342" s="1670">
        <f>SUM(G330)</f>
        <v>0</v>
      </c>
      <c r="H342" s="1670">
        <f>SUM(H330,H334,H340)</f>
        <v>0</v>
      </c>
      <c r="I342" s="1670">
        <f>SUM(I330)</f>
        <v>0</v>
      </c>
      <c r="J342" s="1670">
        <f>SUM(J330)</f>
        <v>0</v>
      </c>
      <c r="K342" s="1670">
        <f>SUM(K330,K334,K340)</f>
        <v>76274</v>
      </c>
      <c r="L342" s="1677">
        <f>SUM(L330,L340,L341)</f>
        <v>92737</v>
      </c>
    </row>
    <row r="343" spans="1:14" ht="12.75" customHeight="1" thickTop="1" x14ac:dyDescent="0.2">
      <c r="A343" s="2167" t="s">
        <v>996</v>
      </c>
      <c r="B343" s="2168"/>
      <c r="C343" s="616"/>
      <c r="D343" s="616"/>
      <c r="E343" s="616"/>
      <c r="F343" s="616"/>
      <c r="G343" s="616"/>
      <c r="H343" s="616"/>
      <c r="I343" s="616"/>
      <c r="J343" s="616"/>
      <c r="K343" s="1684">
        <f>'Revenues 9-14'!J268-'Expenditures 15-22'!K342</f>
        <v>22458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4" t="s">
        <v>996</v>
      </c>
      <c r="B368" s="2155"/>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
See notes.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13" sqref="A13:H1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483878</v>
      </c>
      <c r="C4" s="1524"/>
      <c r="D4" s="1752">
        <f>B4-C4</f>
        <v>483878</v>
      </c>
      <c r="E4" s="1524">
        <v>496762</v>
      </c>
      <c r="F4" s="1752">
        <f>E4-C4</f>
        <v>496762</v>
      </c>
    </row>
    <row r="5" spans="1:6" ht="13.7" customHeight="1" x14ac:dyDescent="0.2">
      <c r="A5" s="715" t="s">
        <v>870</v>
      </c>
      <c r="B5" s="1750">
        <f>'Revenues 9-14'!D5</f>
        <v>75586</v>
      </c>
      <c r="C5" s="585"/>
      <c r="D5" s="1753">
        <f t="shared" ref="D5:D18" si="0">B5-C5</f>
        <v>75586</v>
      </c>
      <c r="E5" s="585">
        <v>77619</v>
      </c>
      <c r="F5" s="1753">
        <f>E5-C5</f>
        <v>77619</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36288</v>
      </c>
      <c r="C7" s="585"/>
      <c r="D7" s="1753">
        <f t="shared" si="0"/>
        <v>36288</v>
      </c>
      <c r="E7" s="585">
        <v>37258</v>
      </c>
      <c r="F7" s="1753">
        <f t="shared" si="1"/>
        <v>37258</v>
      </c>
    </row>
    <row r="8" spans="1:6" ht="13.7" customHeight="1" x14ac:dyDescent="0.2">
      <c r="A8" s="715" t="s">
        <v>1179</v>
      </c>
      <c r="B8" s="1750">
        <f>'Revenues 9-14'!G5</f>
        <v>12513</v>
      </c>
      <c r="C8" s="585"/>
      <c r="D8" s="1753">
        <f t="shared" si="0"/>
        <v>12513</v>
      </c>
      <c r="E8" s="585">
        <v>12509</v>
      </c>
      <c r="F8" s="1753">
        <f t="shared" si="1"/>
        <v>12509</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15120</v>
      </c>
      <c r="C10" s="585"/>
      <c r="D10" s="1753">
        <f t="shared" si="0"/>
        <v>15120</v>
      </c>
      <c r="E10" s="585">
        <v>15523</v>
      </c>
      <c r="F10" s="1753">
        <f t="shared" si="1"/>
        <v>15523</v>
      </c>
    </row>
    <row r="11" spans="1:6" x14ac:dyDescent="0.2">
      <c r="A11" s="715" t="s">
        <v>409</v>
      </c>
      <c r="B11" s="1750">
        <f>'Revenues 9-14'!J5</f>
        <v>98038</v>
      </c>
      <c r="C11" s="585"/>
      <c r="D11" s="1753">
        <f t="shared" si="0"/>
        <v>98038</v>
      </c>
      <c r="E11" s="585">
        <v>98072</v>
      </c>
      <c r="F11" s="1753">
        <f t="shared" si="1"/>
        <v>98072</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15118</v>
      </c>
      <c r="C13" s="585"/>
      <c r="D13" s="1753">
        <f t="shared" si="0"/>
        <v>15118</v>
      </c>
      <c r="E13" s="585">
        <v>15523</v>
      </c>
      <c r="F13" s="1753">
        <f t="shared" si="1"/>
        <v>15523</v>
      </c>
    </row>
    <row r="14" spans="1:6" ht="13.7" customHeight="1" x14ac:dyDescent="0.2">
      <c r="A14" s="715" t="s">
        <v>410</v>
      </c>
      <c r="B14" s="1750">
        <f>SUM('Revenues 9-14'!C7:D7,'Revenues 9-14'!F7:H7)</f>
        <v>6048</v>
      </c>
      <c r="C14" s="585"/>
      <c r="D14" s="1753">
        <f t="shared" si="0"/>
        <v>6048</v>
      </c>
      <c r="E14" s="585">
        <v>6210</v>
      </c>
      <c r="F14" s="1753">
        <f t="shared" si="1"/>
        <v>6210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12514</v>
      </c>
      <c r="C16" s="585"/>
      <c r="D16" s="1753">
        <f t="shared" si="0"/>
        <v>12514</v>
      </c>
      <c r="E16" s="585">
        <v>12509</v>
      </c>
      <c r="F16" s="1753">
        <f t="shared" si="1"/>
        <v>12509</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755103</v>
      </c>
      <c r="C19" s="1751">
        <f>SUM(C4:C18)</f>
        <v>0</v>
      </c>
      <c r="D19" s="1751">
        <f>SUM(D4:D18)</f>
        <v>755103</v>
      </c>
      <c r="E19" s="1751">
        <f>SUM(E4:E18)</f>
        <v>771985</v>
      </c>
      <c r="F19" s="1751">
        <f>SUM(F4:F18)</f>
        <v>771985</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13" sqref="A13:H1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4" t="s">
        <v>1956</v>
      </c>
      <c r="D2" s="723" t="s">
        <v>1957</v>
      </c>
      <c r="E2" s="723" t="s">
        <v>1958</v>
      </c>
      <c r="F2" s="1884" t="s">
        <v>1959</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5">
        <f>SUM(C17+D17)-E17</f>
        <v>0</v>
      </c>
    </row>
    <row r="18" spans="1:11" ht="12.75" customHeight="1" thickTop="1" thickBot="1" x14ac:dyDescent="0.25">
      <c r="A18" s="2189" t="s">
        <v>6</v>
      </c>
      <c r="B18" s="2190"/>
      <c r="C18" s="726"/>
      <c r="D18" s="585"/>
      <c r="E18" s="726"/>
      <c r="F18" s="1755">
        <f>SUM(C18+D18)-E18</f>
        <v>0</v>
      </c>
    </row>
    <row r="19" spans="1:11" ht="12.75" customHeight="1" thickTop="1" thickBot="1" x14ac:dyDescent="0.25">
      <c r="A19" s="2189" t="s">
        <v>388</v>
      </c>
      <c r="B19" s="2190"/>
      <c r="C19" s="726"/>
      <c r="D19" s="585"/>
      <c r="E19" s="726"/>
      <c r="F19" s="1755">
        <f>SUM(C19+D19)-E19</f>
        <v>0</v>
      </c>
    </row>
    <row r="20" spans="1:11" ht="12.75" customHeight="1" thickTop="1" thickBot="1" x14ac:dyDescent="0.25">
      <c r="A20" s="2189" t="s">
        <v>448</v>
      </c>
      <c r="B20" s="2190"/>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13" sqref="A13:H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1964</v>
      </c>
      <c r="B3" s="2235"/>
      <c r="C3" s="2235"/>
      <c r="D3" s="2235"/>
      <c r="E3" s="2236"/>
      <c r="F3" s="763"/>
      <c r="G3" s="764"/>
      <c r="H3" s="764"/>
      <c r="I3" s="764"/>
      <c r="J3" s="765"/>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6048</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1813</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7"/>
      <c r="G12" s="1758">
        <f>SUM(G5:G11)</f>
        <v>0</v>
      </c>
      <c r="H12" s="1758">
        <f>SUM(H5:H11)</f>
        <v>6048</v>
      </c>
      <c r="I12" s="1758">
        <f>SUM(I5:I11)</f>
        <v>0</v>
      </c>
      <c r="J12" s="1758">
        <f>SUM(J5:J11)</f>
        <v>0</v>
      </c>
      <c r="K12" s="1758">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6048</v>
      </c>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1809</v>
      </c>
      <c r="B19" s="2224"/>
      <c r="C19" s="2224"/>
      <c r="D19" s="2224"/>
      <c r="E19" s="2225"/>
      <c r="F19" s="789" t="s">
        <v>933</v>
      </c>
      <c r="G19" s="782"/>
      <c r="H19" s="782"/>
      <c r="I19" s="782"/>
      <c r="J19" s="765"/>
      <c r="K19" s="795"/>
    </row>
    <row r="20" spans="1:11" x14ac:dyDescent="0.2">
      <c r="A20" s="2226" t="s">
        <v>1814</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1815</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1"/>
      <c r="G23" s="1758">
        <f>SUM(G14:G16,G21,G22)</f>
        <v>0</v>
      </c>
      <c r="H23" s="1758">
        <f>SUM(H14:H16,H21,H22)</f>
        <v>6048</v>
      </c>
      <c r="I23" s="1758">
        <f>SUM(I14:I16,I21,I22)</f>
        <v>0</v>
      </c>
      <c r="J23" s="1758">
        <f>SUM(J14:J16,J21,J22)</f>
        <v>0</v>
      </c>
      <c r="K23" s="1758">
        <f>SUM(K14:K16,K21,K22)</f>
        <v>0</v>
      </c>
    </row>
    <row r="24" spans="1:11" ht="14.25" thickTop="1" thickBot="1" x14ac:dyDescent="0.25">
      <c r="A24" s="2246" t="s">
        <v>1965</v>
      </c>
      <c r="B24" s="2245"/>
      <c r="C24" s="2245"/>
      <c r="D24" s="2245"/>
      <c r="E24" s="224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3" sqref="A13:H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1585778</v>
      </c>
      <c r="D8" s="844"/>
      <c r="E8" s="844">
        <v>6545</v>
      </c>
      <c r="F8" s="1760">
        <f>(C8+D8)-E8</f>
        <v>1579233</v>
      </c>
      <c r="G8" s="843">
        <v>50</v>
      </c>
      <c r="H8" s="765">
        <v>590603</v>
      </c>
      <c r="I8" s="765">
        <v>44203</v>
      </c>
      <c r="J8" s="765">
        <v>6545</v>
      </c>
      <c r="K8" s="1769">
        <f>(H8+I8)-J8</f>
        <v>628261</v>
      </c>
      <c r="L8" s="1769">
        <f>F8-K8</f>
        <v>950972</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442415</v>
      </c>
      <c r="D12" s="844">
        <v>28788</v>
      </c>
      <c r="E12" s="844"/>
      <c r="F12" s="1760">
        <f>(C12+D12)-E12</f>
        <v>471203</v>
      </c>
      <c r="G12" s="843">
        <v>10</v>
      </c>
      <c r="H12" s="765">
        <v>403512</v>
      </c>
      <c r="I12" s="765">
        <v>12096</v>
      </c>
      <c r="J12" s="765"/>
      <c r="K12" s="1769">
        <f>(H12+I12)-J12</f>
        <v>415608</v>
      </c>
      <c r="L12" s="1769">
        <f>F12-K12</f>
        <v>55595</v>
      </c>
    </row>
    <row r="13" spans="1:14" ht="14.25" thickTop="1" thickBot="1" x14ac:dyDescent="0.25">
      <c r="A13" s="848" t="s">
        <v>1122</v>
      </c>
      <c r="B13" s="840">
        <v>252</v>
      </c>
      <c r="C13" s="844">
        <v>233999</v>
      </c>
      <c r="D13" s="844"/>
      <c r="E13" s="844">
        <v>43117</v>
      </c>
      <c r="F13" s="1760">
        <f>(C13+D13)-E13</f>
        <v>190882</v>
      </c>
      <c r="G13" s="843">
        <v>5</v>
      </c>
      <c r="H13" s="765">
        <v>192099</v>
      </c>
      <c r="I13" s="765">
        <v>11972</v>
      </c>
      <c r="J13" s="765">
        <v>43117</v>
      </c>
      <c r="K13" s="1769">
        <f>(H13+I13)-J13</f>
        <v>160954</v>
      </c>
      <c r="L13" s="1769">
        <f>F13-K13</f>
        <v>29928</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2262192</v>
      </c>
      <c r="D16" s="1760">
        <f>SUM(D3,D5:D6,D8:D10,D12:D15)</f>
        <v>28788</v>
      </c>
      <c r="E16" s="1760">
        <f>SUM(E3,E5:E6,E8:E10,E12:E15)</f>
        <v>49662</v>
      </c>
      <c r="F16" s="1760">
        <f>SUM(F3,F5:F6,F8:F10,F12:F15)</f>
        <v>2241318</v>
      </c>
      <c r="G16" s="843"/>
      <c r="H16" s="1760">
        <f>SUM(H3,H6,H8:H10,H12:H14,)</f>
        <v>1186214</v>
      </c>
      <c r="I16" s="1760">
        <f>SUM(I3,I6,I8:I10,I12:I14,)</f>
        <v>68271</v>
      </c>
      <c r="J16" s="1760">
        <f>SUM(J3,J6,J8:J10,J12:J14,)</f>
        <v>49662</v>
      </c>
      <c r="K16" s="1760">
        <f>(H16+I16)-J16</f>
        <v>1204823</v>
      </c>
      <c r="L16" s="1760">
        <f>F16-K16</f>
        <v>1036495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1934</v>
      </c>
      <c r="G17" s="837">
        <v>10</v>
      </c>
      <c r="H17" s="769"/>
      <c r="I17" s="1769">
        <f>F17/G17</f>
        <v>193.4</v>
      </c>
      <c r="J17" s="769"/>
      <c r="K17" s="795"/>
      <c r="L17" s="795"/>
    </row>
    <row r="18" spans="1:12" ht="14.25" thickTop="1" thickBot="1" x14ac:dyDescent="0.25">
      <c r="A18" s="1767" t="s">
        <v>685</v>
      </c>
      <c r="B18" s="1768"/>
      <c r="C18" s="771"/>
      <c r="D18" s="771"/>
      <c r="E18" s="771"/>
      <c r="F18" s="850"/>
      <c r="G18" s="851"/>
      <c r="H18" s="773"/>
      <c r="I18" s="1760">
        <f>SUM(I16,I17)</f>
        <v>68464.399999999994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10" activePane="bottomLeft" state="frozen"/>
      <selection activeCell="A13" sqref="A13:H13"/>
      <selection pane="bottomLeft" activeCell="A13" sqref="A13:H1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1178381</v>
      </c>
      <c r="G8" s="865"/>
    </row>
    <row r="9" spans="1:7" x14ac:dyDescent="0.2">
      <c r="A9" s="869" t="s">
        <v>460</v>
      </c>
      <c r="B9" s="870" t="s">
        <v>1877</v>
      </c>
      <c r="C9" s="871"/>
      <c r="D9" s="869" t="s">
        <v>501</v>
      </c>
      <c r="E9" s="868"/>
      <c r="F9" s="1909">
        <f>'Expenditures 15-22'!K151</f>
        <v>125555</v>
      </c>
      <c r="G9" s="872"/>
    </row>
    <row r="10" spans="1:7" x14ac:dyDescent="0.2">
      <c r="A10" s="869" t="s">
        <v>499</v>
      </c>
      <c r="B10" s="870" t="s">
        <v>1878</v>
      </c>
      <c r="C10" s="871"/>
      <c r="D10" s="869" t="s">
        <v>501</v>
      </c>
      <c r="E10" s="868"/>
      <c r="F10" s="1909">
        <f>'Expenditures 15-22'!K174</f>
        <v>0</v>
      </c>
      <c r="G10" s="872"/>
    </row>
    <row r="11" spans="1:7" x14ac:dyDescent="0.2">
      <c r="A11" s="869" t="s">
        <v>461</v>
      </c>
      <c r="B11" s="870" t="s">
        <v>1879</v>
      </c>
      <c r="C11" s="871"/>
      <c r="D11" s="869" t="s">
        <v>501</v>
      </c>
      <c r="E11" s="868"/>
      <c r="F11" s="1909">
        <f>'Expenditures 15-22'!K210</f>
        <v>104217</v>
      </c>
      <c r="G11" s="872"/>
    </row>
    <row r="12" spans="1:7" x14ac:dyDescent="0.2">
      <c r="A12" s="869" t="s">
        <v>462</v>
      </c>
      <c r="B12" s="870" t="s">
        <v>1880</v>
      </c>
      <c r="C12" s="871"/>
      <c r="D12" s="869" t="s">
        <v>501</v>
      </c>
      <c r="E12" s="868"/>
      <c r="F12" s="1909">
        <f>'Expenditures 15-22'!K295</f>
        <v>50227</v>
      </c>
      <c r="G12" s="872"/>
    </row>
    <row r="13" spans="1:7" x14ac:dyDescent="0.2">
      <c r="A13" s="869" t="s">
        <v>106</v>
      </c>
      <c r="B13" s="870" t="s">
        <v>1881</v>
      </c>
      <c r="C13" s="871"/>
      <c r="D13" s="869" t="s">
        <v>501</v>
      </c>
      <c r="E13" s="868"/>
      <c r="F13" s="1909">
        <f>'Expenditures 15-22'!K342</f>
        <v>76274</v>
      </c>
      <c r="G13" s="873"/>
    </row>
    <row r="14" spans="1:7" ht="12" customHeight="1" thickBot="1" x14ac:dyDescent="0.25">
      <c r="A14" s="1770"/>
      <c r="B14" s="1771"/>
      <c r="C14" s="1772"/>
      <c r="D14" s="1773" t="s">
        <v>501</v>
      </c>
      <c r="E14" s="1774" t="s">
        <v>958</v>
      </c>
      <c r="F14" s="1775">
        <f>SUM(F8:F13)</f>
        <v>1534654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33350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30701</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3074</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978</v>
      </c>
      <c r="G52" s="865"/>
    </row>
    <row r="53" spans="1:7" x14ac:dyDescent="0.2">
      <c r="A53" s="869" t="s">
        <v>459</v>
      </c>
      <c r="B53" s="869" t="s">
        <v>1475</v>
      </c>
      <c r="C53" s="889">
        <f>'Expenditures 15-22'!B102</f>
        <v>4000</v>
      </c>
      <c r="D53" s="888" t="str">
        <f>'Expenditures 15-22'!A102</f>
        <v>Total Payments to Other Govt Units</v>
      </c>
      <c r="E53" s="868"/>
      <c r="F53" s="1913">
        <f>'Expenditures 15-22'!K102</f>
        <v>37536</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28788</v>
      </c>
      <c r="G58" s="865"/>
    </row>
    <row r="59" spans="1:7" x14ac:dyDescent="0.2">
      <c r="A59" s="893" t="s">
        <v>460</v>
      </c>
      <c r="B59" s="856" t="s">
        <v>1884</v>
      </c>
      <c r="C59" s="894" t="s">
        <v>982</v>
      </c>
      <c r="D59" s="856" t="s">
        <v>291</v>
      </c>
      <c r="F59" s="1916">
        <f>'Expenditures 15-22'!I151</f>
        <v>1934</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51</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43</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136455</v>
      </c>
      <c r="G76" s="865"/>
    </row>
    <row r="77" spans="1:8" s="893" customFormat="1" ht="12" customHeight="1" thickTop="1" thickBot="1" x14ac:dyDescent="0.25">
      <c r="A77" s="1779"/>
      <c r="B77" s="1776"/>
      <c r="C77" s="1772"/>
      <c r="D77" s="1777" t="s">
        <v>1900</v>
      </c>
      <c r="E77" s="1774"/>
      <c r="F77" s="1780">
        <f>(F14-F76)</f>
        <v>1398199</v>
      </c>
      <c r="G77" s="869"/>
    </row>
    <row r="78" spans="1:8" s="893" customFormat="1" ht="12" customHeight="1" thickTop="1" x14ac:dyDescent="0.2">
      <c r="A78" s="1781"/>
      <c r="B78" s="1776"/>
      <c r="C78" s="1772"/>
      <c r="D78" s="1777" t="s">
        <v>2062</v>
      </c>
      <c r="E78" s="1774"/>
      <c r="F78" s="898">
        <v>159.9</v>
      </c>
      <c r="G78" s="899"/>
      <c r="H78" s="869"/>
    </row>
    <row r="79" spans="1:8" s="893" customFormat="1" ht="12" customHeight="1" thickBot="1" x14ac:dyDescent="0.25">
      <c r="A79" s="1782"/>
      <c r="B79" s="1776"/>
      <c r="C79" s="1772"/>
      <c r="D79" s="1777" t="s">
        <v>1901</v>
      </c>
      <c r="E79" s="1774" t="s">
        <v>958</v>
      </c>
      <c r="F79" s="1783">
        <f>IF(F78&gt;0,F77/F78," Complete Line 78")</f>
        <v>8744.2088805503445</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60607</v>
      </c>
      <c r="G94" s="912"/>
    </row>
    <row r="95" spans="1:7" x14ac:dyDescent="0.2">
      <c r="A95" s="908" t="s">
        <v>140</v>
      </c>
      <c r="B95" s="908" t="s">
        <v>175</v>
      </c>
      <c r="C95" s="910">
        <v>1700</v>
      </c>
      <c r="D95" s="918" t="str">
        <f>'Revenues 9-14'!A82</f>
        <v>Total District/School Activity Income</v>
      </c>
      <c r="E95" s="906"/>
      <c r="F95" s="1789">
        <f>SUM('Revenues 9-14'!C82,'Revenues 9-14'!D82)</f>
        <v>31448</v>
      </c>
      <c r="G95" s="912"/>
    </row>
    <row r="96" spans="1:7" x14ac:dyDescent="0.2">
      <c r="A96" s="908" t="s">
        <v>459</v>
      </c>
      <c r="B96" s="908" t="s">
        <v>176</v>
      </c>
      <c r="C96" s="910">
        <f>'Revenues 9-14'!B84</f>
        <v>1811</v>
      </c>
      <c r="D96" s="911" t="str">
        <f>'Revenues 9-14'!A84</f>
        <v>Rentals - Regular Textbooks</v>
      </c>
      <c r="E96" s="906"/>
      <c r="F96" s="1789">
        <f>'Revenues 9-14'!C84</f>
        <v>13815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259</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52224</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40915</v>
      </c>
      <c r="G124" s="930"/>
    </row>
    <row r="125" spans="1:7" x14ac:dyDescent="0.2">
      <c r="A125" s="927" t="s">
        <v>664</v>
      </c>
      <c r="B125" s="927" t="s">
        <v>2023</v>
      </c>
      <c r="C125" s="932">
        <v>4200</v>
      </c>
      <c r="D125" s="929" t="str">
        <f>'Revenues 9-14'!A198</f>
        <v>Total Food Service</v>
      </c>
      <c r="E125" s="906"/>
      <c r="F125" s="1789">
        <f>SUM('Revenues 9-14'!C198,'Revenues 9-14'!G198)</f>
        <v>24974</v>
      </c>
      <c r="G125" s="930"/>
    </row>
    <row r="126" spans="1:7" x14ac:dyDescent="0.2">
      <c r="A126" s="927" t="s">
        <v>668</v>
      </c>
      <c r="B126" s="927" t="s">
        <v>2024</v>
      </c>
      <c r="C126" s="932">
        <v>4300</v>
      </c>
      <c r="D126" s="933" t="str">
        <f>'Revenues 9-14'!A204</f>
        <v>Total Title I</v>
      </c>
      <c r="E126" s="906"/>
      <c r="F126" s="1789">
        <f>SUM('Revenues 9-14'!C204,'Revenues 9-14'!D204,'Revenues 9-14'!F204,'Revenues 9-14'!G204)</f>
        <v>10597</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6060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4497</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262</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3072</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7127</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30628</v>
      </c>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286485</v>
      </c>
    </row>
    <row r="175" spans="1:7" ht="12" customHeight="1" x14ac:dyDescent="0.2">
      <c r="A175" s="1770"/>
      <c r="B175" s="1784"/>
      <c r="C175" s="1785"/>
      <c r="D175" s="1786" t="s">
        <v>2057</v>
      </c>
      <c r="E175" s="1787"/>
      <c r="F175" s="1789">
        <f>'PCTC-OEPP 27-28'!F77-F174</f>
        <v>1111714</v>
      </c>
    </row>
    <row r="176" spans="1:7" ht="12" customHeight="1" x14ac:dyDescent="0.2">
      <c r="A176" s="1770"/>
      <c r="B176" s="1784"/>
      <c r="C176" s="1785"/>
      <c r="D176" s="1786" t="s">
        <v>1817</v>
      </c>
      <c r="E176" s="1787"/>
      <c r="F176" s="1789">
        <f>'Cap Outlay Deprec 26'!I18</f>
        <v>68464.399999999994</v>
      </c>
    </row>
    <row r="177" spans="1:7" ht="12" customHeight="1" x14ac:dyDescent="0.2">
      <c r="A177" s="1770"/>
      <c r="B177" s="1784"/>
      <c r="C177" s="1785"/>
      <c r="D177" s="1786" t="s">
        <v>2058</v>
      </c>
      <c r="E177" s="1787"/>
      <c r="F177" s="1789">
        <f>F175+F176</f>
        <v>1180178.3999999999</v>
      </c>
    </row>
    <row r="178" spans="1:7" ht="12" customHeight="1" x14ac:dyDescent="0.2">
      <c r="A178" s="1770"/>
      <c r="B178" s="1790"/>
      <c r="C178" s="1785"/>
      <c r="D178" s="1786" t="str">
        <f>D78</f>
        <v>9 Month ADA from District Average Daily Attendance/Prior General State Aid Inquiry 2018-2019</v>
      </c>
      <c r="E178" s="1787"/>
      <c r="F178" s="1791">
        <f>'PCTC-OEPP 27-28'!F78</f>
        <v>159.9</v>
      </c>
      <c r="G178" s="930"/>
    </row>
    <row r="179" spans="1:7" ht="12" customHeight="1" thickBot="1" x14ac:dyDescent="0.25">
      <c r="A179" s="1770"/>
      <c r="B179" s="1790"/>
      <c r="C179" s="1785"/>
      <c r="D179" s="1786" t="s">
        <v>2059</v>
      </c>
      <c r="E179" s="1787" t="s">
        <v>1545</v>
      </c>
      <c r="F179" s="1792">
        <f>F177/F178</f>
        <v>7380.7279549718569</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3" sqref="A13:H13"/>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2077</v>
      </c>
      <c r="B17" s="1934" t="s">
        <v>2078</v>
      </c>
      <c r="C17" s="1938" t="s">
        <v>2079</v>
      </c>
      <c r="D17" s="1844">
        <v>7620</v>
      </c>
      <c r="E17" s="1540">
        <f t="shared" ref="E17:E141" si="0">IF(D17&lt;=25000,D17,IF(D17&gt;25000,25000,0))</f>
        <v>7620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937" t="s">
        <v>2080</v>
      </c>
      <c r="B18" s="1934" t="s">
        <v>2081</v>
      </c>
      <c r="C18" s="1938" t="s">
        <v>2082</v>
      </c>
      <c r="D18" s="1844">
        <v>11025</v>
      </c>
      <c r="E18" s="1540">
        <f t="shared" ref="E18:E140" si="2">IF(D18&lt;=25000,D18,IF(D18&gt;25000,25000,0))</f>
        <v>11025</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18645</v>
      </c>
      <c r="E141" s="1541">
        <f t="shared" si="0"/>
        <v>18645</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13" sqref="A13:H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24974</v>
      </c>
      <c r="F10" s="974"/>
      <c r="G10" s="975"/>
      <c r="H10" s="162"/>
      <c r="I10" s="162"/>
    </row>
    <row r="11" spans="1:9" s="668" customFormat="1" ht="22.5" customHeight="1" x14ac:dyDescent="0.2">
      <c r="A11" s="2285" t="s">
        <v>1977</v>
      </c>
      <c r="B11" s="2286"/>
      <c r="C11" s="2286"/>
      <c r="D11" s="2287"/>
      <c r="E11" s="977">
        <v>7262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897721</v>
      </c>
      <c r="F19" s="1799"/>
      <c r="G19" s="1801">
        <f>'Expenditures 15-22'!K33-SUM('Expenditures 15-22'!G33,'Expenditures 15-22'!I33)+'Expenditures 15-22'!D229</f>
        <v>897721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7800</v>
      </c>
      <c r="F21" s="1802"/>
      <c r="G21" s="1805">
        <f>'Expenditures 15-22'!K42-SUM('Expenditures 15-22'!G42,'Expenditures 15-22'!I42)+'Expenditures 15-22'!K120-SUM('Expenditures 15-22'!G120,'Expenditures 15-22'!I120)+'Expenditures 15-22'!K180-SUM('Expenditures 15-22'!G180,'Expenditures 15-22'!I180)+'Expenditures 15-22'!D238</f>
        <v>7800</v>
      </c>
      <c r="H21" s="987"/>
      <c r="I21" s="162"/>
    </row>
    <row r="22" spans="1:9" s="668" customFormat="1" ht="12" customHeight="1" x14ac:dyDescent="0.2">
      <c r="A22" s="994" t="s">
        <v>564</v>
      </c>
      <c r="B22" s="995"/>
      <c r="C22" s="993">
        <v>2200</v>
      </c>
      <c r="D22" s="1802"/>
      <c r="E22" s="1804">
        <f>'Expenditures 15-22'!K47-SUM('Expenditures 15-22'!G47,'Expenditures 15-22'!I47)+'Expenditures 15-22'!D243</f>
        <v>7563</v>
      </c>
      <c r="F22" s="1802"/>
      <c r="G22" s="1805">
        <f>'Expenditures 15-22'!K47-SUM('Expenditures 15-22'!G47,'Expenditures 15-22'!I47)+'Expenditures 15-22'!D243</f>
        <v>7563</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153906</v>
      </c>
      <c r="F23" s="1802"/>
      <c r="G23" s="1804">
        <f>'Expenditures 15-22'!K53-SUM('Expenditures 15-22'!G53,'Expenditures 15-22'!I53)+'Expenditures 15-22'!D257+'Expenditures 15-22'!K330-SUM('Expenditures 15-22'!G330,'Expenditures 15-22'!I330)</f>
        <v>153906</v>
      </c>
      <c r="H23" s="987"/>
      <c r="I23" s="162"/>
    </row>
    <row r="24" spans="1:9" s="668" customFormat="1" ht="12" customHeight="1" x14ac:dyDescent="0.2">
      <c r="A24" s="994" t="s">
        <v>566</v>
      </c>
      <c r="B24" s="995"/>
      <c r="C24" s="993">
        <v>2400</v>
      </c>
      <c r="D24" s="1802"/>
      <c r="E24" s="1804">
        <f>'Expenditures 15-22'!K57-SUM('Expenditures 15-22'!G57,'Expenditures 15-22'!I57)+'Expenditures 15-22'!D261</f>
        <v>69882</v>
      </c>
      <c r="F24" s="1802"/>
      <c r="G24" s="1805">
        <f>'Expenditures 15-22'!K57-SUM('Expenditures 15-22'!G57,'Expenditures 15-22'!I57)+'Expenditures 15-22'!D261</f>
        <v>69882</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27184</v>
      </c>
      <c r="E27" s="1804">
        <f>E8</f>
        <v>0</v>
      </c>
      <c r="F27" s="1804">
        <f>'Expenditures 15-22'!K60-SUM('Expenditures 15-22'!G60,'Expenditures 15-22'!I60)+'Expenditures 15-22'!D264-E8</f>
        <v>27184</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105304</v>
      </c>
      <c r="F28" s="1806">
        <f>'Expenditures 15-22'!K61-SUM('Expenditures 15-22'!G61,'Expenditures 15-22'!I61)+'Expenditures 15-22'!K124-SUM('Expenditures 15-22'!G124,'Expenditures 15-22'!I124)+'Expenditures 15-22'!D266-E9</f>
        <v>105304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113766</v>
      </c>
      <c r="F29" s="1802"/>
      <c r="G29" s="1805">
        <f>'Expenditures 15-22'!K62-SUM('Expenditures 15-22'!G62,'Expenditures 15-22'!I62)+'Expenditures 15-22'!K125-SUM('Expenditures 15-22'!G125,'Expenditures 15-22'!I125)+'Expenditures 15-22'!K182-SUM('Expenditures 15-22'!G182,'Expenditures 15-22'!I182)+'Expenditures 15-22'!D267</f>
        <v>113766</v>
      </c>
      <c r="H29" s="985"/>
    </row>
    <row r="30" spans="1:9" ht="12" customHeight="1" x14ac:dyDescent="0.2">
      <c r="A30" s="994" t="s">
        <v>100</v>
      </c>
      <c r="B30" s="997"/>
      <c r="C30" s="993">
        <v>2560</v>
      </c>
      <c r="D30" s="1802"/>
      <c r="E30" s="1804">
        <f>'Expenditures 15-22'!K63-SUM('Expenditures 15-22'!G63,'Expenditures 15-22'!I63)+'Expenditures 15-22'!D268-E10</f>
        <v>57318</v>
      </c>
      <c r="F30" s="1802"/>
      <c r="G30" s="1804">
        <f>'Expenditures 15-22'!K63-SUM('Expenditures 15-22'!G63,'Expenditures 15-22'!I63)+'Expenditures 15-22'!D268-E10</f>
        <v>57318</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978</v>
      </c>
      <c r="F39" s="1802"/>
      <c r="G39" s="1804">
        <f>'Expenditures 15-22'!K75-SUM('Expenditures 15-22'!G75,'Expenditures 15-22'!I75)+'Expenditures 15-22'!K130-SUM('Expenditures 15-22'!G130,'Expenditures 15-22'!I130)+'Expenditures 15-22'!K185-SUM('Expenditures 15-22'!G185,'Expenditures 15-22'!I185)+'Expenditures 15-22'!D280</f>
        <v>978</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27184</v>
      </c>
      <c r="E41" s="1806">
        <f>SUM(E19:E40)</f>
        <v>1414238</v>
      </c>
      <c r="F41" s="1806">
        <f>SUM(F19:F39)</f>
        <v>132488</v>
      </c>
      <c r="G41" s="1806">
        <f>SUM(G19:G40)</f>
        <v>1308934</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27184</v>
      </c>
      <c r="F43" s="1807" t="s">
        <v>473</v>
      </c>
      <c r="G43" s="1808">
        <f>F41</f>
        <v>132488</v>
      </c>
    </row>
    <row r="44" spans="1:7" ht="12" customHeight="1" x14ac:dyDescent="0.2">
      <c r="A44" s="987"/>
      <c r="B44" s="162"/>
      <c r="C44" s="1001"/>
      <c r="D44" s="1807" t="s">
        <v>474</v>
      </c>
      <c r="E44" s="1808">
        <f>E41</f>
        <v>1414238</v>
      </c>
      <c r="F44" s="1807" t="s">
        <v>474</v>
      </c>
      <c r="G44" s="1808">
        <f>G41</f>
        <v>1308934</v>
      </c>
    </row>
    <row r="45" spans="1:7" ht="12" customHeight="1" x14ac:dyDescent="0.2">
      <c r="A45" s="987"/>
      <c r="B45" s="162"/>
      <c r="C45" s="162"/>
      <c r="D45" s="1809" t="s">
        <v>1006</v>
      </c>
      <c r="E45" s="1810">
        <f>(E43/E44)</f>
        <v>1.9221658589289779E-2</v>
      </c>
      <c r="F45" s="1809" t="s">
        <v>1006</v>
      </c>
      <c r="G45" s="1810">
        <f>(G43/G44)</f>
        <v>0.10121824324221083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13" sqref="A13:H13"/>
      <selection pane="bottomLeft" activeCell="L6" sqref="L6"/>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St Rose SD 14-15</v>
      </c>
      <c r="D6" s="2306"/>
      <c r="E6" s="2306"/>
      <c r="F6" s="1852"/>
    </row>
    <row r="7" spans="1:10" ht="11.25" customHeight="1" thickBot="1" x14ac:dyDescent="0.3">
      <c r="A7" s="1850"/>
      <c r="B7" s="1851"/>
      <c r="C7" s="2307">
        <f>COVER!A13</f>
        <v>13014141502</v>
      </c>
      <c r="D7" s="2307"/>
      <c r="E7" s="230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2073</v>
      </c>
      <c r="D14" s="1865" t="s">
        <v>2073</v>
      </c>
      <c r="E14" s="1868"/>
      <c r="F14" s="1867" t="s">
        <v>2083</v>
      </c>
      <c r="H14" s="1878">
        <f t="shared" si="0"/>
        <v>5</v>
      </c>
      <c r="I14" s="1878">
        <f t="shared" si="1"/>
        <v>5</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2073</v>
      </c>
      <c r="D19" s="1865" t="s">
        <v>2073</v>
      </c>
      <c r="E19" s="1868"/>
      <c r="F19" s="1867" t="s">
        <v>2084</v>
      </c>
      <c r="H19" s="1878">
        <f t="shared" si="0"/>
        <v>5</v>
      </c>
      <c r="I19" s="1878">
        <f t="shared" si="1"/>
        <v>5</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c r="F26" s="1867" t="s">
        <v>2085</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2073</v>
      </c>
      <c r="D30" s="1865" t="s">
        <v>2073</v>
      </c>
      <c r="E30" s="1868"/>
      <c r="F30" s="1867" t="s">
        <v>2086</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20</v>
      </c>
      <c r="I34" s="1878">
        <f>SUM(I11:I32)</f>
        <v>20</v>
      </c>
      <c r="J34" s="1878">
        <f>SUM(J11:J32)</f>
        <v>0</v>
      </c>
      <c r="K34" s="1878">
        <f>SUM(H34:J34)</f>
        <v>40</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8"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J20" sqref="J2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St Rose SD 14-15</v>
      </c>
      <c r="J6" s="2316"/>
      <c r="Q6" s="1664"/>
    </row>
    <row r="7" spans="1:17" x14ac:dyDescent="0.2">
      <c r="A7" s="2317" t="s">
        <v>869</v>
      </c>
      <c r="B7" s="2318"/>
      <c r="C7" s="2318"/>
      <c r="D7" s="2318"/>
      <c r="E7" s="2319"/>
      <c r="F7" s="1017"/>
      <c r="G7" s="1009"/>
      <c r="H7" s="1016" t="s">
        <v>372</v>
      </c>
      <c r="I7" s="2320">
        <f>COVER!A13</f>
        <v>13014141502</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62527</v>
      </c>
      <c r="F12" s="1039"/>
      <c r="G12" s="1811">
        <f t="shared" ref="G12:G18" si="0">SUM(E12:F12)</f>
        <v>62527</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62527</v>
      </c>
      <c r="F19" s="1813">
        <f t="shared" si="2"/>
        <v>0</v>
      </c>
      <c r="G19" s="1813">
        <f t="shared" si="2"/>
        <v>62527</v>
      </c>
      <c r="H19" s="1813">
        <f t="shared" si="2"/>
        <v>0</v>
      </c>
      <c r="I19" s="1813">
        <f t="shared" si="2"/>
        <v>0</v>
      </c>
      <c r="J19" s="1813">
        <f t="shared" si="2"/>
        <v>0</v>
      </c>
    </row>
    <row r="20" spans="1:10" ht="13.5" thickTop="1" x14ac:dyDescent="0.2">
      <c r="A20" s="1035">
        <v>9</v>
      </c>
      <c r="B20" s="2327" t="s">
        <v>1981</v>
      </c>
      <c r="C20" s="2327"/>
      <c r="D20" s="2328"/>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3" sqref="A13:H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2087</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St Rose SD 14-15</v>
      </c>
    </row>
    <row r="65" spans="2:2" x14ac:dyDescent="0.2">
      <c r="B65" s="1070">
        <f>COVER!A13</f>
        <v>13014141502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13" sqref="A13:H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13" sqref="A13:H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1142885</v>
      </c>
      <c r="C8" s="1815">
        <f>'Acct Summary 7-8'!D8</f>
        <v>90719</v>
      </c>
      <c r="D8" s="1815">
        <f>'Acct Summary 7-8'!F8</f>
        <v>122860</v>
      </c>
      <c r="E8" s="1815">
        <f>'Acct Summary 7-8'!I8</f>
        <v>15884</v>
      </c>
      <c r="F8" s="1815">
        <f>SUM(B8:E8)</f>
        <v>1372348</v>
      </c>
    </row>
    <row r="9" spans="1:8" s="1079" customFormat="1" ht="14.25" customHeight="1" thickBot="1" x14ac:dyDescent="0.25">
      <c r="A9" s="1078" t="s">
        <v>1369</v>
      </c>
      <c r="B9" s="1816">
        <f>'Acct Summary 7-8'!C17</f>
        <v>1178381</v>
      </c>
      <c r="C9" s="1816">
        <f>'Acct Summary 7-8'!D17</f>
        <v>125555</v>
      </c>
      <c r="D9" s="1816">
        <f>'Acct Summary 7-8'!F17</f>
        <v>104217</v>
      </c>
      <c r="E9" s="1815"/>
      <c r="F9" s="1815">
        <f>SUM(B9:E9)</f>
        <v>1408153</v>
      </c>
    </row>
    <row r="10" spans="1:8" s="1079" customFormat="1" ht="14.25" thickTop="1" thickBot="1" x14ac:dyDescent="0.25">
      <c r="A10" s="1080" t="s">
        <v>1370</v>
      </c>
      <c r="B10" s="1817">
        <f>(B8-B9)</f>
        <v>-35496</v>
      </c>
      <c r="C10" s="1817">
        <f>(C8-C9)</f>
        <v>-34836</v>
      </c>
      <c r="D10" s="1817">
        <f>(D8-D9)</f>
        <v>18643</v>
      </c>
      <c r="E10" s="1816">
        <f>(E8-E9)</f>
        <v>15884</v>
      </c>
      <c r="F10" s="1818">
        <f>SUM(F8-F9)</f>
        <v>-35805</v>
      </c>
    </row>
    <row r="11" spans="1:8" s="1079" customFormat="1" ht="14.25" thickTop="1" thickBot="1" x14ac:dyDescent="0.25">
      <c r="A11" s="1081" t="s">
        <v>1985</v>
      </c>
      <c r="B11" s="1819">
        <f>'Acct Summary 7-8'!C81</f>
        <v>347440</v>
      </c>
      <c r="C11" s="1819">
        <f>'Acct Summary 7-8'!D81</f>
        <v>123716</v>
      </c>
      <c r="D11" s="1819">
        <f>'Acct Summary 7-8'!F81</f>
        <v>222436</v>
      </c>
      <c r="E11" s="1819">
        <f>'Acct Summary 7-8'!I81</f>
        <v>16216</v>
      </c>
      <c r="F11" s="1820">
        <f>SUM(B11:E11)</f>
        <v>709808</v>
      </c>
    </row>
    <row r="12" spans="1:8" ht="16.5" customHeight="1" thickTop="1" x14ac:dyDescent="0.2">
      <c r="A12" s="1082"/>
      <c r="B12" s="1083"/>
      <c r="C12" s="2339" t="str">
        <f>IF(AND(F10&lt;0,F11&gt;=0,ABS(F10*3)&gt;ABS(F11)),A16,IF(AND(F10&lt;0,F11&gt;0,ABS(F10*3)&lt;=ABS(F11)),A17,IF(AND(F10&lt;0,F11&lt;0),A16,IF(F11=0,A19,A18))))</f>
        <v>Unbalanced -  however, a deficit reduction plan is not required at this time.</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7" colorId="8" zoomScale="110" zoomScaleNormal="110" workbookViewId="0">
      <selection activeCell="A13" sqref="A13:H1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13014141502</v>
      </c>
    </row>
    <row r="3" spans="1:2" x14ac:dyDescent="0.2">
      <c r="A3" t="s">
        <v>956</v>
      </c>
      <c r="B3" s="138" t="str">
        <f>COVER!A15</f>
        <v>Clinton</v>
      </c>
    </row>
    <row r="4" spans="1:2" x14ac:dyDescent="0.2">
      <c r="A4" t="s">
        <v>1007</v>
      </c>
      <c r="B4" s="138" t="str">
        <f>COVER!A17</f>
        <v>St Rose SD 14-15</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No</v>
      </c>
    </row>
    <row r="15" spans="1:2" x14ac:dyDescent="0.2">
      <c r="A15" t="s">
        <v>577</v>
      </c>
      <c r="B15" s="138" t="str">
        <f>COVER!T23</f>
        <v>066-005248</v>
      </c>
    </row>
    <row r="16" spans="1:2" x14ac:dyDescent="0.2">
      <c r="A16" t="s">
        <v>422</v>
      </c>
      <c r="B16" s="138" t="str">
        <f>COVER!T13</f>
        <v>Moore &amp; Simonin, PC</v>
      </c>
    </row>
    <row r="17" spans="1:2" x14ac:dyDescent="0.2">
      <c r="A17" t="s">
        <v>884</v>
      </c>
      <c r="B17" s="138" t="str">
        <f>COVER!T15</f>
        <v>Robert E. Moore, CPA</v>
      </c>
    </row>
    <row r="18" spans="1:2" x14ac:dyDescent="0.2">
      <c r="A18" t="s">
        <v>1150</v>
      </c>
      <c r="B18" s="138" t="str">
        <f>COVER!T17</f>
        <v>3636 North Belt West</v>
      </c>
    </row>
    <row r="19" spans="1:2" x14ac:dyDescent="0.2">
      <c r="A19" t="s">
        <v>886</v>
      </c>
      <c r="B19" s="138" t="str">
        <f>COVER!T25</f>
        <v>mooresimonin@mrsaccountants.com</v>
      </c>
    </row>
    <row r="20" spans="1:2" x14ac:dyDescent="0.2">
      <c r="A20" t="s">
        <v>887</v>
      </c>
      <c r="B20" s="138" t="str">
        <f>COVER!T19</f>
        <v>Belleville</v>
      </c>
    </row>
    <row r="21" spans="1:2" x14ac:dyDescent="0.2">
      <c r="A21" t="s">
        <v>479</v>
      </c>
      <c r="B21" s="138" t="str">
        <f>COVER!X19</f>
        <v>IL</v>
      </c>
    </row>
    <row r="22" spans="1:2" x14ac:dyDescent="0.2">
      <c r="A22" t="s">
        <v>888</v>
      </c>
      <c r="B22" s="138">
        <f>COVER!Z19</f>
        <v>62226</v>
      </c>
    </row>
    <row r="23" spans="1:2" x14ac:dyDescent="0.2">
      <c r="A23" t="s">
        <v>1152</v>
      </c>
      <c r="B23" s="138" t="str">
        <f>COVER!T21</f>
        <v>618-233-5049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250887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347440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347440</v>
      </c>
      <c r="D92" s="2" t="str">
        <f t="shared" si="0"/>
        <v>Error?</v>
      </c>
    </row>
    <row r="93" spans="1:4" x14ac:dyDescent="0.2">
      <c r="A93" s="5">
        <v>32</v>
      </c>
      <c r="B93" s="138">
        <f>'Assets-Liab 5-6'!C41</f>
        <v>347440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123716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123716</v>
      </c>
      <c r="D123" s="2" t="str">
        <f t="shared" si="0"/>
        <v>Error?</v>
      </c>
    </row>
    <row r="124" spans="1:4" x14ac:dyDescent="0.2">
      <c r="A124" s="5">
        <v>63</v>
      </c>
      <c r="B124" s="138">
        <f>'Assets-Liab 5-6'!D41</f>
        <v>123716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222436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222436</v>
      </c>
      <c r="D170" s="2" t="str">
        <f t="shared" si="1"/>
        <v>Error?</v>
      </c>
    </row>
    <row r="171" spans="1:4" x14ac:dyDescent="0.2">
      <c r="A171" s="5">
        <v>110</v>
      </c>
      <c r="B171" s="138">
        <f>'Assets-Liab 5-6'!F41</f>
        <v>222436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209200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114032</v>
      </c>
      <c r="D189" s="2" t="str">
        <f t="shared" si="1"/>
        <v>Error?</v>
      </c>
    </row>
    <row r="190" spans="1:4" x14ac:dyDescent="0.2">
      <c r="A190" s="5">
        <v>129</v>
      </c>
      <c r="B190" s="138">
        <f>'Assets-Liab 5-6'!G41</f>
        <v>209200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1579233</v>
      </c>
      <c r="D273" s="2" t="str">
        <f t="shared" si="3"/>
        <v>Error?</v>
      </c>
    </row>
    <row r="274" spans="1:4" x14ac:dyDescent="0.2">
      <c r="A274" s="5">
        <v>213</v>
      </c>
      <c r="B274" s="138">
        <f>'Assets-Liab 5-6'!M17</f>
        <v>0</v>
      </c>
      <c r="D274" s="2" t="str">
        <f t="shared" si="3"/>
        <v>Error?</v>
      </c>
    </row>
    <row r="275" spans="1:4" x14ac:dyDescent="0.2">
      <c r="A275" s="5">
        <v>214</v>
      </c>
      <c r="B275" s="138">
        <f>'Assets-Liab 5-6'!M18</f>
        <v>662085</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2241318</v>
      </c>
      <c r="C279" s="2" t="s">
        <v>573</v>
      </c>
      <c r="D279" s="2" t="str">
        <f t="shared" si="3"/>
        <v>Error?</v>
      </c>
    </row>
    <row r="280" spans="1:4" x14ac:dyDescent="0.2">
      <c r="A280" s="5">
        <v>219</v>
      </c>
      <c r="B280" s="138">
        <f>'Assets-Liab 5-6'!M40</f>
        <v>2241318</v>
      </c>
      <c r="D280" s="2" t="str">
        <f t="shared" si="3"/>
        <v>Error?</v>
      </c>
    </row>
    <row r="281" spans="1:4" x14ac:dyDescent="0.2">
      <c r="A281" s="5">
        <v>220</v>
      </c>
      <c r="B281" s="138">
        <f>'Assets-Liab 5-6'!M41</f>
        <v>2241318</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686343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13280</v>
      </c>
      <c r="D718" s="2" t="str">
        <f t="shared" si="10"/>
        <v>Error?</v>
      </c>
    </row>
    <row r="719" spans="1:4" x14ac:dyDescent="0.2">
      <c r="A719" s="5">
        <v>658</v>
      </c>
      <c r="B719" s="138">
        <f>'Expenditures 15-22'!C15</f>
        <v>2970</v>
      </c>
      <c r="D719" s="2" t="str">
        <f t="shared" si="10"/>
        <v>Error?</v>
      </c>
    </row>
    <row r="720" spans="1:4" x14ac:dyDescent="0.2">
      <c r="A720" s="5">
        <v>659</v>
      </c>
      <c r="B720" s="138">
        <f>'Expenditures 15-22'!C33</f>
        <v>814647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2000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2000</v>
      </c>
      <c r="C731" s="2" t="s">
        <v>573</v>
      </c>
      <c r="D731" s="2" t="str">
        <f t="shared" si="10"/>
        <v>Error?</v>
      </c>
    </row>
    <row r="732" spans="1:4" x14ac:dyDescent="0.2">
      <c r="A732" s="5">
        <v>671</v>
      </c>
      <c r="B732" s="138">
        <f>'Expenditures 15-22'!C49</f>
        <v>600</v>
      </c>
      <c r="D732" s="2" t="str">
        <f t="shared" si="10"/>
        <v>Error?</v>
      </c>
    </row>
    <row r="733" spans="1:4" x14ac:dyDescent="0.2">
      <c r="A733" s="5">
        <v>672</v>
      </c>
      <c r="B733" s="138">
        <f>'Expenditures 15-22'!C50</f>
        <v>54202</v>
      </c>
      <c r="D733" s="2" t="str">
        <f t="shared" si="10"/>
        <v>Error?</v>
      </c>
    </row>
    <row r="734" spans="1:4" x14ac:dyDescent="0.2">
      <c r="A734" s="5">
        <v>673</v>
      </c>
      <c r="B734" s="138">
        <f>'Expenditures 15-22'!C53</f>
        <v>54802</v>
      </c>
      <c r="C734" s="2" t="s">
        <v>573</v>
      </c>
      <c r="D734" s="2" t="str">
        <f t="shared" si="10"/>
        <v>Error?</v>
      </c>
    </row>
    <row r="735" spans="1:4" x14ac:dyDescent="0.2">
      <c r="A735" s="5">
        <v>674</v>
      </c>
      <c r="B735" s="138">
        <f>'Expenditures 15-22'!C55</f>
        <v>59511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59511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12283</v>
      </c>
      <c r="D739" s="2" t="str">
        <f t="shared" si="10"/>
        <v>Error?</v>
      </c>
    </row>
    <row r="740" spans="1:4" x14ac:dyDescent="0.2">
      <c r="A740" s="5">
        <v>679</v>
      </c>
      <c r="B740" s="138">
        <f>'Expenditures 15-22'!C61</f>
        <v>3288</v>
      </c>
      <c r="D740" s="2" t="str">
        <f t="shared" si="10"/>
        <v>Error?</v>
      </c>
    </row>
    <row r="741" spans="1:4" x14ac:dyDescent="0.2">
      <c r="A741" s="5">
        <v>680</v>
      </c>
      <c r="B741" s="138">
        <f>'Expenditures 15-22'!C62</f>
        <v>2525</v>
      </c>
      <c r="D741" s="2" t="str">
        <f t="shared" si="10"/>
        <v>Error?</v>
      </c>
    </row>
    <row r="742" spans="1:4" x14ac:dyDescent="0.2">
      <c r="A742" s="5">
        <v>681</v>
      </c>
      <c r="B742" s="138">
        <f>'Expenditures 15-22'!C63</f>
        <v>37334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55430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171743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986390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10802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109</v>
      </c>
      <c r="D776" s="2" t="str">
        <f t="shared" si="11"/>
        <v>Error?</v>
      </c>
    </row>
    <row r="777" spans="1:4" x14ac:dyDescent="0.2">
      <c r="A777" s="5">
        <v>716</v>
      </c>
      <c r="B777" s="138">
        <f>'Expenditures 15-22'!D15</f>
        <v>104</v>
      </c>
      <c r="D777" s="2" t="str">
        <f t="shared" si="11"/>
        <v>Error?</v>
      </c>
    </row>
    <row r="778" spans="1:4" x14ac:dyDescent="0.2">
      <c r="A778" s="5">
        <v>717</v>
      </c>
      <c r="B778" s="138">
        <f>'Expenditures 15-22'!D33</f>
        <v>13910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56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813</v>
      </c>
      <c r="D791" s="2" t="str">
        <f t="shared" si="11"/>
        <v>Error?</v>
      </c>
    </row>
    <row r="792" spans="1:4" x14ac:dyDescent="0.2">
      <c r="A792" s="5">
        <v>731</v>
      </c>
      <c r="B792" s="138">
        <f>'Expenditures 15-22'!D53</f>
        <v>813</v>
      </c>
      <c r="C792" s="2" t="s">
        <v>573</v>
      </c>
      <c r="D792" s="2" t="str">
        <f t="shared" si="11"/>
        <v>Error?</v>
      </c>
    </row>
    <row r="793" spans="1:4" x14ac:dyDescent="0.2">
      <c r="A793" s="5">
        <v>732</v>
      </c>
      <c r="B793" s="138">
        <f>'Expenditures 15-22'!D55</f>
        <v>425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425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445</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445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1739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15649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3276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7406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12912</v>
      </c>
      <c r="C836" s="2" t="s">
        <v>573</v>
      </c>
      <c r="D836" s="2" t="str">
        <f t="shared" si="12"/>
        <v>Error?</v>
      </c>
    </row>
    <row r="837" spans="1:4" x14ac:dyDescent="0.2">
      <c r="A837" s="5">
        <v>776</v>
      </c>
      <c r="B837" s="138">
        <f>'Expenditures 15-22'!E36</f>
        <v>7620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7620</v>
      </c>
      <c r="C843" s="2" t="s">
        <v>573</v>
      </c>
      <c r="D843" s="2" t="str">
        <f t="shared" si="12"/>
        <v>Error?</v>
      </c>
    </row>
    <row r="844" spans="1:4" x14ac:dyDescent="0.2">
      <c r="A844" s="5">
        <v>783</v>
      </c>
      <c r="B844" s="138">
        <f>'Expenditures 15-22'!E44</f>
        <v>2116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315</v>
      </c>
      <c r="D846" s="2" t="str">
        <f t="shared" si="12"/>
        <v>Error?</v>
      </c>
    </row>
    <row r="847" spans="1:4" x14ac:dyDescent="0.2">
      <c r="A847" s="5">
        <v>786</v>
      </c>
      <c r="B847" s="138">
        <f>'Expenditures 15-22'!E47</f>
        <v>2431</v>
      </c>
      <c r="C847" s="2" t="s">
        <v>573</v>
      </c>
      <c r="D847" s="2" t="str">
        <f t="shared" si="12"/>
        <v>Error?</v>
      </c>
    </row>
    <row r="848" spans="1:4" x14ac:dyDescent="0.2">
      <c r="A848" s="5">
        <v>787</v>
      </c>
      <c r="B848" s="138">
        <f>'Expenditures 15-22'!E49</f>
        <v>8585</v>
      </c>
      <c r="D848" s="2" t="str">
        <f t="shared" si="12"/>
        <v>Error?</v>
      </c>
    </row>
    <row r="849" spans="1:4" x14ac:dyDescent="0.2">
      <c r="A849" s="5">
        <v>788</v>
      </c>
      <c r="B849" s="138">
        <f>'Expenditures 15-22'!E50</f>
        <v>4995</v>
      </c>
      <c r="D849" s="2" t="str">
        <f t="shared" si="12"/>
        <v>Error?</v>
      </c>
    </row>
    <row r="850" spans="1:4" x14ac:dyDescent="0.2">
      <c r="A850" s="5">
        <v>789</v>
      </c>
      <c r="B850" s="138">
        <f>'Expenditures 15-22'!E53</f>
        <v>13580</v>
      </c>
      <c r="C850" s="2" t="s">
        <v>573</v>
      </c>
      <c r="D850" s="2" t="str">
        <f t="shared" si="12"/>
        <v>Error?</v>
      </c>
    </row>
    <row r="851" spans="1:4" x14ac:dyDescent="0.2">
      <c r="A851" s="5">
        <v>790</v>
      </c>
      <c r="B851" s="138">
        <f>'Expenditures 15-22'!E55</f>
        <v>3845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3845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12766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709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13475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40951</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55342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31757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2293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35457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180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180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3051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3051</v>
      </c>
      <c r="C905" s="2" t="s">
        <v>573</v>
      </c>
      <c r="D905" s="2" t="str">
        <f t="shared" si="13"/>
        <v>Error?</v>
      </c>
    </row>
    <row r="906" spans="1:4" x14ac:dyDescent="0.2">
      <c r="A906" s="5">
        <v>845</v>
      </c>
      <c r="B906" s="138">
        <f>'Expenditures 15-22'!F49</f>
        <v>1058</v>
      </c>
      <c r="D906" s="2" t="str">
        <f t="shared" si="13"/>
        <v>Error?</v>
      </c>
    </row>
    <row r="907" spans="1:4" x14ac:dyDescent="0.2">
      <c r="A907" s="5">
        <v>846</v>
      </c>
      <c r="B907" s="138">
        <f>'Expenditures 15-22'!F50</f>
        <v>1075</v>
      </c>
      <c r="D907" s="2" t="str">
        <f t="shared" si="13"/>
        <v>Error?</v>
      </c>
    </row>
    <row r="908" spans="1:4" x14ac:dyDescent="0.2">
      <c r="A908" s="5">
        <v>847</v>
      </c>
      <c r="B908" s="138">
        <f>'Expenditures 15-22'!F53</f>
        <v>2133</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37788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37788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43152</v>
      </c>
      <c r="C929" s="2" t="s">
        <v>573</v>
      </c>
      <c r="D929" s="2" t="str">
        <f t="shared" si="13"/>
        <v>Error?</v>
      </c>
    </row>
    <row r="930" spans="1:4" x14ac:dyDescent="0.2">
      <c r="A930" s="5">
        <v>869</v>
      </c>
      <c r="B930" s="138">
        <f>'Expenditures 15-22'!F75</f>
        <v>978</v>
      </c>
      <c r="D930" s="2" t="str">
        <f t="shared" si="13"/>
        <v>Error?</v>
      </c>
    </row>
    <row r="931" spans="1:4" x14ac:dyDescent="0.2">
      <c r="A931" s="5">
        <v>870</v>
      </c>
      <c r="B931" s="138">
        <f>'Expenditures 15-22'!F114</f>
        <v>79587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2939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2939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975</v>
      </c>
      <c r="D1022" s="2" t="str">
        <f t="shared" si="14"/>
        <v>Error?</v>
      </c>
    </row>
    <row r="1023" spans="1:4" x14ac:dyDescent="0.2">
      <c r="A1023" s="5">
        <v>962</v>
      </c>
      <c r="B1023" s="138">
        <f>'Expenditures 15-22'!H50</f>
        <v>1442</v>
      </c>
      <c r="D1023" s="2" t="str">
        <f t="shared" ref="D1023:D1086" si="15">IF(ISBLANK(B1023),"OK",IF(A1023-B1023=0,"OK","Error?"))</f>
        <v>Error?</v>
      </c>
    </row>
    <row r="1024" spans="1:4" x14ac:dyDescent="0.2">
      <c r="A1024" s="5">
        <v>963</v>
      </c>
      <c r="B1024" s="138">
        <f>'Expenditures 15-22'!H53</f>
        <v>2417</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2417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36057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41413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732178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26027</v>
      </c>
      <c r="C1106" s="2" t="s">
        <v>573</v>
      </c>
      <c r="D1106" s="2" t="str">
        <f t="shared" si="16"/>
        <v>Error?</v>
      </c>
    </row>
    <row r="1107" spans="1:4" x14ac:dyDescent="0.2">
      <c r="A1107" s="5">
        <v>1046</v>
      </c>
      <c r="B1107" s="138">
        <f>'Expenditures 15-22'!K15</f>
        <v>3074</v>
      </c>
      <c r="C1107" s="2" t="s">
        <v>573</v>
      </c>
      <c r="D1107" s="2" t="str">
        <f t="shared" si="16"/>
        <v>Error?</v>
      </c>
    </row>
    <row r="1108" spans="1:4" x14ac:dyDescent="0.2">
      <c r="A1108" s="5">
        <v>1047</v>
      </c>
      <c r="B1108" s="138">
        <f>'Expenditures 15-22'!K33</f>
        <v>879865</v>
      </c>
      <c r="C1108" s="2" t="s">
        <v>573</v>
      </c>
      <c r="D1108" s="2" t="str">
        <f t="shared" si="16"/>
        <v>Error?</v>
      </c>
    </row>
    <row r="1109" spans="1:4" x14ac:dyDescent="0.2">
      <c r="A1109" s="5">
        <v>1048</v>
      </c>
      <c r="B1109" s="138">
        <f>'Expenditures 15-22'!K36</f>
        <v>7620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180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7800</v>
      </c>
      <c r="C1115" s="2" t="s">
        <v>573</v>
      </c>
      <c r="D1115" s="2" t="str">
        <f t="shared" si="16"/>
        <v>Error?</v>
      </c>
    </row>
    <row r="1116" spans="1:4" x14ac:dyDescent="0.2">
      <c r="A1116" s="5">
        <v>1055</v>
      </c>
      <c r="B1116" s="138">
        <f>'Expenditures 15-22'!K44</f>
        <v>4172</v>
      </c>
      <c r="C1116" s="2" t="s">
        <v>573</v>
      </c>
      <c r="D1116" s="2" t="str">
        <f t="shared" si="16"/>
        <v>Error?</v>
      </c>
    </row>
    <row r="1117" spans="1:4" x14ac:dyDescent="0.2">
      <c r="A1117" s="5">
        <v>1056</v>
      </c>
      <c r="B1117" s="138">
        <f>'Expenditures 15-22'!K45</f>
        <v>3051</v>
      </c>
      <c r="C1117" s="2" t="s">
        <v>573</v>
      </c>
      <c r="D1117" s="2" t="str">
        <f t="shared" si="16"/>
        <v>Error?</v>
      </c>
    </row>
    <row r="1118" spans="1:4" x14ac:dyDescent="0.2">
      <c r="A1118" s="5">
        <v>1057</v>
      </c>
      <c r="B1118" s="138">
        <f>'Expenditures 15-22'!K46</f>
        <v>315</v>
      </c>
      <c r="C1118" s="2" t="s">
        <v>573</v>
      </c>
      <c r="D1118" s="2" t="str">
        <f t="shared" si="16"/>
        <v>Error?</v>
      </c>
    </row>
    <row r="1119" spans="1:4" x14ac:dyDescent="0.2">
      <c r="A1119" s="5">
        <v>1058</v>
      </c>
      <c r="B1119" s="138">
        <f>'Expenditures 15-22'!K47</f>
        <v>7538</v>
      </c>
      <c r="C1119" s="2" t="s">
        <v>573</v>
      </c>
      <c r="D1119" s="2" t="str">
        <f t="shared" si="16"/>
        <v>Error?</v>
      </c>
    </row>
    <row r="1120" spans="1:4" x14ac:dyDescent="0.2">
      <c r="A1120" s="5">
        <v>1059</v>
      </c>
      <c r="B1120" s="138">
        <f>'Expenditures 15-22'!K49</f>
        <v>11218</v>
      </c>
      <c r="C1120" s="2" t="s">
        <v>573</v>
      </c>
      <c r="D1120" s="2" t="str">
        <f t="shared" si="16"/>
        <v>Error?</v>
      </c>
    </row>
    <row r="1121" spans="1:4" x14ac:dyDescent="0.2">
      <c r="A1121" s="5">
        <v>1060</v>
      </c>
      <c r="B1121" s="138">
        <f>'Expenditures 15-22'!K50</f>
        <v>62527</v>
      </c>
      <c r="C1121" s="2" t="s">
        <v>573</v>
      </c>
      <c r="D1121" s="2" t="str">
        <f t="shared" si="16"/>
        <v>Error?</v>
      </c>
    </row>
    <row r="1122" spans="1:4" x14ac:dyDescent="0.2">
      <c r="A1122" s="5">
        <v>1061</v>
      </c>
      <c r="B1122" s="138">
        <f>'Expenditures 15-22'!K53</f>
        <v>73745</v>
      </c>
      <c r="C1122" s="2" t="s">
        <v>573</v>
      </c>
      <c r="D1122" s="2" t="str">
        <f t="shared" si="16"/>
        <v>Error?</v>
      </c>
    </row>
    <row r="1123" spans="1:4" x14ac:dyDescent="0.2">
      <c r="A1123" s="5">
        <v>1062</v>
      </c>
      <c r="B1123" s="138">
        <f>'Expenditures 15-22'!K55</f>
        <v>63781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63781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25049</v>
      </c>
      <c r="C1127" s="2" t="s">
        <v>573</v>
      </c>
      <c r="D1127" s="2" t="str">
        <f t="shared" si="16"/>
        <v>Error?</v>
      </c>
    </row>
    <row r="1128" spans="1:4" x14ac:dyDescent="0.2">
      <c r="A1128" s="5">
        <v>1067</v>
      </c>
      <c r="B1128" s="138">
        <f>'Expenditures 15-22'!K61</f>
        <v>3288</v>
      </c>
      <c r="C1128" s="2" t="s">
        <v>573</v>
      </c>
      <c r="D1128" s="2" t="str">
        <f t="shared" si="16"/>
        <v>Error?</v>
      </c>
    </row>
    <row r="1129" spans="1:4" x14ac:dyDescent="0.2">
      <c r="A1129" s="5">
        <v>1068</v>
      </c>
      <c r="B1129" s="138">
        <f>'Expenditures 15-22'!K62</f>
        <v>2970</v>
      </c>
      <c r="C1129" s="2" t="s">
        <v>573</v>
      </c>
      <c r="D1129" s="2" t="str">
        <f t="shared" si="16"/>
        <v>Error?</v>
      </c>
    </row>
    <row r="1130" spans="1:4" x14ac:dyDescent="0.2">
      <c r="A1130" s="5">
        <v>1069</v>
      </c>
      <c r="B1130" s="138">
        <f>'Expenditures 15-22'!K63</f>
        <v>75831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107138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260002</v>
      </c>
      <c r="C1143" s="2" t="s">
        <v>573</v>
      </c>
      <c r="D1143" s="2" t="str">
        <f t="shared" si="16"/>
        <v>Error?</v>
      </c>
    </row>
    <row r="1144" spans="1:4" x14ac:dyDescent="0.2">
      <c r="A1144" s="5">
        <v>1083</v>
      </c>
      <c r="B1144" s="138">
        <f>'Expenditures 15-22'!K75</f>
        <v>978</v>
      </c>
      <c r="C1144" s="2" t="s">
        <v>573</v>
      </c>
      <c r="D1144" s="2" t="str">
        <f t="shared" si="16"/>
        <v>Error?</v>
      </c>
    </row>
    <row r="1145" spans="1:4" x14ac:dyDescent="0.2">
      <c r="A1145" s="5">
        <v>1084</v>
      </c>
      <c r="B1145" s="138">
        <f>'Expenditures 15-22'!K102</f>
        <v>37536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1178381</v>
      </c>
      <c r="C1152" s="2" t="s">
        <v>573</v>
      </c>
      <c r="D1152" s="2" t="str">
        <f t="shared" si="17"/>
        <v>Error?</v>
      </c>
    </row>
    <row r="1153" spans="1:4" x14ac:dyDescent="0.2">
      <c r="A1153" s="5">
        <v>1092</v>
      </c>
      <c r="B1153" s="138">
        <f>'Expenditures 15-22'!K115</f>
        <v>-35496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35585</v>
      </c>
      <c r="D1221" s="2" t="str">
        <f t="shared" si="18"/>
        <v>Error?</v>
      </c>
    </row>
    <row r="1222" spans="1:4" x14ac:dyDescent="0.2">
      <c r="A1222" s="10">
        <v>1161</v>
      </c>
      <c r="D1222" s="2" t="str">
        <f t="shared" si="18"/>
        <v>OK</v>
      </c>
    </row>
    <row r="1223" spans="1:4" x14ac:dyDescent="0.2">
      <c r="A1223" s="5">
        <v>1162</v>
      </c>
      <c r="B1223" s="138">
        <f>'Expenditures 15-22'!C127</f>
        <v>35585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35585</v>
      </c>
      <c r="C1225" s="2" t="s">
        <v>573</v>
      </c>
      <c r="D1225" s="2" t="str">
        <f t="shared" si="18"/>
        <v>Error?</v>
      </c>
    </row>
    <row r="1226" spans="1:4" x14ac:dyDescent="0.2">
      <c r="A1226" s="5">
        <v>1165</v>
      </c>
      <c r="B1226" s="138">
        <f>'Expenditures 15-22'!C151</f>
        <v>35585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6174</v>
      </c>
      <c r="D1229" s="2" t="str">
        <f t="shared" si="18"/>
        <v>Error?</v>
      </c>
    </row>
    <row r="1230" spans="1:4" x14ac:dyDescent="0.2">
      <c r="A1230" s="10">
        <v>1169</v>
      </c>
      <c r="D1230" s="2" t="str">
        <f t="shared" si="18"/>
        <v>OK</v>
      </c>
    </row>
    <row r="1231" spans="1:4" x14ac:dyDescent="0.2">
      <c r="A1231" s="5">
        <v>1170</v>
      </c>
      <c r="B1231" s="138">
        <f>'Expenditures 15-22'!D127</f>
        <v>6174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6174</v>
      </c>
      <c r="C1233" s="2" t="s">
        <v>573</v>
      </c>
      <c r="D1233" s="2" t="str">
        <f t="shared" si="18"/>
        <v>Error?</v>
      </c>
    </row>
    <row r="1234" spans="1:4" x14ac:dyDescent="0.2">
      <c r="A1234" s="5">
        <v>1173</v>
      </c>
      <c r="B1234" s="138">
        <f>'Expenditures 15-22'!D151</f>
        <v>6174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24908</v>
      </c>
      <c r="D1237" s="2" t="str">
        <f t="shared" si="18"/>
        <v>Error?</v>
      </c>
    </row>
    <row r="1238" spans="1:4" x14ac:dyDescent="0.2">
      <c r="A1238" s="10">
        <v>1177</v>
      </c>
      <c r="D1238" s="2" t="str">
        <f t="shared" si="18"/>
        <v>OK</v>
      </c>
    </row>
    <row r="1239" spans="1:4" x14ac:dyDescent="0.2">
      <c r="A1239" s="5">
        <v>1178</v>
      </c>
      <c r="B1239" s="138">
        <f>'Expenditures 15-22'!E127</f>
        <v>24908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24908</v>
      </c>
      <c r="C1241" s="2" t="s">
        <v>573</v>
      </c>
      <c r="D1241" s="2" t="str">
        <f t="shared" si="18"/>
        <v>Error?</v>
      </c>
    </row>
    <row r="1242" spans="1:4" x14ac:dyDescent="0.2">
      <c r="A1242" s="5">
        <v>1181</v>
      </c>
      <c r="B1242" s="138">
        <f>'Expenditures 15-22'!E151</f>
        <v>24908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28166</v>
      </c>
      <c r="D1245" s="2" t="str">
        <f t="shared" si="18"/>
        <v>Error?</v>
      </c>
    </row>
    <row r="1246" spans="1:4" x14ac:dyDescent="0.2">
      <c r="A1246" s="10">
        <v>1185</v>
      </c>
      <c r="D1246" s="2" t="str">
        <f t="shared" si="18"/>
        <v>OK</v>
      </c>
    </row>
    <row r="1247" spans="1:4" x14ac:dyDescent="0.2">
      <c r="A1247" s="5">
        <v>1186</v>
      </c>
      <c r="B1247" s="138">
        <f>'Expenditures 15-22'!F127</f>
        <v>28166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28166</v>
      </c>
      <c r="C1249" s="2" t="s">
        <v>573</v>
      </c>
      <c r="D1249" s="2" t="str">
        <f t="shared" si="18"/>
        <v>Error?</v>
      </c>
    </row>
    <row r="1250" spans="1:4" x14ac:dyDescent="0.2">
      <c r="A1250" s="5">
        <v>1189</v>
      </c>
      <c r="B1250" s="138">
        <f>'Expenditures 15-22'!F151</f>
        <v>28166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28788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28788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28788</v>
      </c>
      <c r="C1258" s="2" t="s">
        <v>573</v>
      </c>
      <c r="D1258" s="2" t="str">
        <f t="shared" si="18"/>
        <v>Error?</v>
      </c>
    </row>
    <row r="1259" spans="1:4" x14ac:dyDescent="0.2">
      <c r="A1259" s="5">
        <v>1198</v>
      </c>
      <c r="B1259" s="138">
        <f>'Expenditures 15-22'!G151</f>
        <v>28788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125555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125555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125555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125555</v>
      </c>
      <c r="C1288" s="2" t="s">
        <v>573</v>
      </c>
      <c r="D1288" s="2" t="str">
        <f t="shared" si="19"/>
        <v>Error?</v>
      </c>
    </row>
    <row r="1289" spans="1:4" x14ac:dyDescent="0.2">
      <c r="A1289" s="5">
        <v>1228</v>
      </c>
      <c r="B1289" s="138">
        <f>'Expenditures 15-22'!K152</f>
        <v>-34836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46885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46885</v>
      </c>
      <c r="C1339" s="2" t="s">
        <v>573</v>
      </c>
      <c r="D1339" s="2" t="str">
        <f t="shared" si="19"/>
        <v>Error?</v>
      </c>
    </row>
    <row r="1340" spans="1:4" x14ac:dyDescent="0.2">
      <c r="A1340" s="5">
        <v>1279</v>
      </c>
      <c r="B1340" s="138">
        <f>'Expenditures 15-22'!C210</f>
        <v>46885</v>
      </c>
      <c r="C1340" s="2" t="s">
        <v>573</v>
      </c>
      <c r="D1340" s="2" t="str">
        <f t="shared" si="19"/>
        <v>Error?</v>
      </c>
    </row>
    <row r="1341" spans="1:4" x14ac:dyDescent="0.2">
      <c r="A1341" s="5">
        <v>1280</v>
      </c>
      <c r="B1341" s="138">
        <f>'Expenditures 15-22'!D182</f>
        <v>132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132</v>
      </c>
      <c r="C1345" s="2" t="s">
        <v>573</v>
      </c>
      <c r="D1345" s="2" t="str">
        <f t="shared" si="20"/>
        <v>Error?</v>
      </c>
    </row>
    <row r="1346" spans="1:4" x14ac:dyDescent="0.2">
      <c r="A1346" s="5">
        <v>1285</v>
      </c>
      <c r="B1346" s="138">
        <f>'Expenditures 15-22'!D210</f>
        <v>132</v>
      </c>
      <c r="C1346" s="2" t="s">
        <v>573</v>
      </c>
      <c r="D1346" s="2" t="str">
        <f t="shared" si="20"/>
        <v>Error?</v>
      </c>
    </row>
    <row r="1347" spans="1:4" x14ac:dyDescent="0.2">
      <c r="A1347" s="5">
        <v>1286</v>
      </c>
      <c r="B1347" s="138">
        <f>'Expenditures 15-22'!E182</f>
        <v>16793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16793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16793</v>
      </c>
      <c r="C1353" s="2" t="s">
        <v>573</v>
      </c>
      <c r="D1353" s="2" t="str">
        <f t="shared" si="20"/>
        <v>Error?</v>
      </c>
    </row>
    <row r="1354" spans="1:4" x14ac:dyDescent="0.2">
      <c r="A1354" s="5">
        <v>1293</v>
      </c>
      <c r="B1354" s="138">
        <f>'Expenditures 15-22'!F182</f>
        <v>40407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40407</v>
      </c>
      <c r="C1358" s="2" t="s">
        <v>573</v>
      </c>
      <c r="D1358" s="2" t="str">
        <f t="shared" si="20"/>
        <v>Error?</v>
      </c>
    </row>
    <row r="1359" spans="1:4" x14ac:dyDescent="0.2">
      <c r="A1359" s="5">
        <v>1298</v>
      </c>
      <c r="B1359" s="138">
        <f>'Expenditures 15-22'!F210</f>
        <v>40407</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104217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104217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104217</v>
      </c>
      <c r="C1388" s="2" t="s">
        <v>573</v>
      </c>
      <c r="D1388" s="2" t="str">
        <f t="shared" si="20"/>
        <v>Error?</v>
      </c>
    </row>
    <row r="1389" spans="1:4" x14ac:dyDescent="0.2">
      <c r="A1389" s="5">
        <v>1328</v>
      </c>
      <c r="B1389" s="138">
        <f>'Expenditures 15-22'!K211</f>
        <v>18643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629</v>
      </c>
      <c r="D1408" s="2" t="str">
        <f t="shared" si="21"/>
        <v>Error?</v>
      </c>
    </row>
    <row r="1409" spans="1:4" x14ac:dyDescent="0.2">
      <c r="A1409" s="5">
        <v>1348</v>
      </c>
      <c r="B1409" s="138">
        <f>'Expenditures 15-22'!D224</f>
        <v>43</v>
      </c>
      <c r="D1409" s="2" t="str">
        <f t="shared" si="21"/>
        <v>Error?</v>
      </c>
    </row>
    <row r="1410" spans="1:4" x14ac:dyDescent="0.2">
      <c r="A1410" s="5">
        <v>1349</v>
      </c>
      <c r="B1410" s="138">
        <f>'Expenditures 15-22'!D229</f>
        <v>17856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25</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529</v>
      </c>
      <c r="D1423" s="2" t="str">
        <f t="shared" si="21"/>
        <v>Error?</v>
      </c>
    </row>
    <row r="1424" spans="1:4" x14ac:dyDescent="0.2">
      <c r="A1424" s="5">
        <v>1363</v>
      </c>
      <c r="B1424" s="138">
        <f>'Expenditures 15-22'!D257</f>
        <v>3887</v>
      </c>
      <c r="C1424" s="2" t="s">
        <v>573</v>
      </c>
      <c r="D1424" s="2" t="str">
        <f t="shared" si="21"/>
        <v>Error?</v>
      </c>
    </row>
    <row r="1425" spans="1:4" x14ac:dyDescent="0.2">
      <c r="A1425" s="5">
        <v>1364</v>
      </c>
      <c r="B1425" s="138">
        <f>'Expenditures 15-22'!D259</f>
        <v>6101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6101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2135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7183</v>
      </c>
      <c r="D1431" s="2" t="str">
        <f t="shared" si="21"/>
        <v>Error?</v>
      </c>
    </row>
    <row r="1432" spans="1:4" x14ac:dyDescent="0.2">
      <c r="A1432" s="5">
        <v>1371</v>
      </c>
      <c r="B1432" s="138">
        <f>'Expenditures 15-22'!D267</f>
        <v>6579</v>
      </c>
      <c r="D1432" s="2" t="str">
        <f t="shared" si="21"/>
        <v>Error?</v>
      </c>
    </row>
    <row r="1433" spans="1:4" x14ac:dyDescent="0.2">
      <c r="A1433" s="5">
        <v>1372</v>
      </c>
      <c r="B1433" s="138">
        <f>'Expenditures 15-22'!D268</f>
        <v>6461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22358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32371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50227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629</v>
      </c>
      <c r="C1472" s="2" t="s">
        <v>573</v>
      </c>
      <c r="D1472" s="2" t="str">
        <f t="shared" si="22"/>
        <v>Error?</v>
      </c>
    </row>
    <row r="1473" spans="1:4" x14ac:dyDescent="0.2">
      <c r="A1473" s="5">
        <v>1412</v>
      </c>
      <c r="B1473" s="138">
        <f>'Expenditures 15-22'!K224</f>
        <v>43</v>
      </c>
      <c r="C1473" s="2" t="s">
        <v>573</v>
      </c>
      <c r="D1473" s="2" t="str">
        <f t="shared" si="22"/>
        <v>Error?</v>
      </c>
    </row>
    <row r="1474" spans="1:4" x14ac:dyDescent="0.2">
      <c r="A1474" s="5">
        <v>1413</v>
      </c>
      <c r="B1474" s="138">
        <f>'Expenditures 15-22'!K229</f>
        <v>17856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25</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529</v>
      </c>
      <c r="C1487" s="2" t="s">
        <v>573</v>
      </c>
      <c r="D1487" s="2" t="str">
        <f t="shared" si="22"/>
        <v>Error?</v>
      </c>
    </row>
    <row r="1488" spans="1:4" x14ac:dyDescent="0.2">
      <c r="A1488" s="5">
        <v>1427</v>
      </c>
      <c r="B1488" s="138">
        <f>'Expenditures 15-22'!K257</f>
        <v>3887</v>
      </c>
      <c r="C1488" s="2" t="s">
        <v>573</v>
      </c>
      <c r="D1488" s="2" t="str">
        <f t="shared" si="22"/>
        <v>Error?</v>
      </c>
    </row>
    <row r="1489" spans="1:4" x14ac:dyDescent="0.2">
      <c r="A1489" s="5">
        <v>1428</v>
      </c>
      <c r="B1489" s="138">
        <f>'Expenditures 15-22'!K259</f>
        <v>6101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6101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2135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7183</v>
      </c>
      <c r="C1495" s="2" t="s">
        <v>573</v>
      </c>
      <c r="D1495" s="2" t="str">
        <f t="shared" si="22"/>
        <v>Error?</v>
      </c>
    </row>
    <row r="1496" spans="1:4" x14ac:dyDescent="0.2">
      <c r="A1496" s="5">
        <v>1435</v>
      </c>
      <c r="B1496" s="138">
        <f>'Expenditures 15-22'!K267</f>
        <v>6579</v>
      </c>
      <c r="C1496" s="2" t="s">
        <v>573</v>
      </c>
      <c r="D1496" s="2" t="str">
        <f t="shared" si="22"/>
        <v>Error?</v>
      </c>
    </row>
    <row r="1497" spans="1:4" x14ac:dyDescent="0.2">
      <c r="A1497" s="5">
        <v>1436</v>
      </c>
      <c r="B1497" s="138">
        <f>'Expenditures 15-22'!K268</f>
        <v>6461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22358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32371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50227</v>
      </c>
      <c r="C1517" s="2" t="s">
        <v>573</v>
      </c>
      <c r="D1517" s="2" t="str">
        <f t="shared" si="22"/>
        <v>Error?</v>
      </c>
    </row>
    <row r="1518" spans="1:4" x14ac:dyDescent="0.2">
      <c r="A1518" s="5">
        <v>1457</v>
      </c>
      <c r="B1518" s="138">
        <f>'Expenditures 15-22'!K296</f>
        <v>-23142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232936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347440</v>
      </c>
      <c r="C1630" s="2" t="s">
        <v>573</v>
      </c>
      <c r="D1630" s="2" t="str">
        <f t="shared" si="24"/>
        <v>Error?</v>
      </c>
    </row>
    <row r="1631" spans="1:4" x14ac:dyDescent="0.2">
      <c r="A1631" s="5">
        <v>1570</v>
      </c>
      <c r="B1631" s="138">
        <f>'Acct Summary 7-8'!D79</f>
        <v>158552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123716</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203793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222436</v>
      </c>
      <c r="C1672" s="2" t="s">
        <v>573</v>
      </c>
      <c r="D1672" s="2" t="str">
        <f t="shared" si="25"/>
        <v>Error?</v>
      </c>
    </row>
    <row r="1673" spans="1:4" x14ac:dyDescent="0.2">
      <c r="A1673" s="5">
        <v>1612</v>
      </c>
      <c r="B1673" s="138">
        <f>'Acct Summary 7-8'!G79</f>
        <v>232342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209200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483878</v>
      </c>
      <c r="C1744" s="2" t="s">
        <v>573</v>
      </c>
      <c r="D1744" s="2" t="str">
        <f t="shared" si="26"/>
        <v>Error?</v>
      </c>
    </row>
    <row r="1745" spans="1:5" x14ac:dyDescent="0.2">
      <c r="A1745" s="5">
        <v>1684</v>
      </c>
      <c r="B1745" s="138">
        <f>'Tax Sched 23'!B5</f>
        <v>75586</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36288</v>
      </c>
      <c r="C1747" s="2" t="s">
        <v>573</v>
      </c>
      <c r="D1747" s="2" t="str">
        <f t="shared" si="26"/>
        <v>Error?</v>
      </c>
    </row>
    <row r="1748" spans="1:5" x14ac:dyDescent="0.2">
      <c r="A1748" s="5">
        <v>1687</v>
      </c>
      <c r="B1748" s="138">
        <f>'Tax Sched 23'!B8</f>
        <v>12513</v>
      </c>
      <c r="C1748" s="2" t="s">
        <v>573</v>
      </c>
      <c r="D1748" s="2" t="str">
        <f t="shared" si="26"/>
        <v>Error?</v>
      </c>
    </row>
    <row r="1749" spans="1:5" x14ac:dyDescent="0.2">
      <c r="A1749" s="5">
        <v>1688</v>
      </c>
      <c r="B1749" s="138">
        <f>'Tax Sched 23'!B10</f>
        <v>15120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98038</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6048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755103</v>
      </c>
      <c r="C1759" s="2" t="s">
        <v>573</v>
      </c>
      <c r="D1759" s="2" t="str">
        <f t="shared" si="26"/>
        <v>Error?</v>
      </c>
    </row>
    <row r="1760" spans="1:5" x14ac:dyDescent="0.2">
      <c r="A1760" s="5">
        <v>1699</v>
      </c>
      <c r="B1760" s="138">
        <f>'Tax Sched 23'!D4</f>
        <v>483878</v>
      </c>
      <c r="C1760" s="2" t="s">
        <v>573</v>
      </c>
      <c r="D1760" s="2" t="str">
        <f t="shared" si="26"/>
        <v>Error?</v>
      </c>
    </row>
    <row r="1761" spans="1:5" x14ac:dyDescent="0.2">
      <c r="A1761" s="5">
        <v>1700</v>
      </c>
      <c r="B1761" s="138">
        <f>'Tax Sched 23'!D5</f>
        <v>75586</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36288</v>
      </c>
      <c r="C1763" s="2" t="s">
        <v>573</v>
      </c>
      <c r="D1763" s="2" t="str">
        <f t="shared" si="26"/>
        <v>Error?</v>
      </c>
    </row>
    <row r="1764" spans="1:5" x14ac:dyDescent="0.2">
      <c r="A1764" s="5">
        <v>1703</v>
      </c>
      <c r="B1764" s="138">
        <f>'Tax Sched 23'!D8</f>
        <v>12513</v>
      </c>
      <c r="C1764" s="2" t="s">
        <v>573</v>
      </c>
      <c r="D1764" s="2" t="str">
        <f t="shared" si="26"/>
        <v>Error?</v>
      </c>
    </row>
    <row r="1765" spans="1:5" x14ac:dyDescent="0.2">
      <c r="A1765" s="5">
        <v>1704</v>
      </c>
      <c r="B1765" s="138">
        <f>'Tax Sched 23'!D10</f>
        <v>15120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98038</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6048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755103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496762</v>
      </c>
      <c r="C1792" s="2" t="s">
        <v>573</v>
      </c>
      <c r="D1792" s="2" t="str">
        <f t="shared" si="27"/>
        <v>Error?</v>
      </c>
    </row>
    <row r="1793" spans="1:4" x14ac:dyDescent="0.2">
      <c r="A1793" s="5">
        <v>1732</v>
      </c>
      <c r="B1793" s="138">
        <f>'Tax Sched 23'!F5</f>
        <v>77619</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37258</v>
      </c>
      <c r="C1795" s="2" t="s">
        <v>573</v>
      </c>
      <c r="D1795" s="2" t="str">
        <f t="shared" si="27"/>
        <v>Error?</v>
      </c>
    </row>
    <row r="1796" spans="1:4" x14ac:dyDescent="0.2">
      <c r="A1796" s="5">
        <v>1735</v>
      </c>
      <c r="B1796" s="138">
        <f>'Tax Sched 23'!F8</f>
        <v>12509</v>
      </c>
      <c r="C1796" s="2" t="s">
        <v>573</v>
      </c>
      <c r="D1796" s="2" t="str">
        <f t="shared" si="27"/>
        <v>Error?</v>
      </c>
    </row>
    <row r="1797" spans="1:4" x14ac:dyDescent="0.2">
      <c r="A1797" s="5">
        <v>1736</v>
      </c>
      <c r="B1797" s="138">
        <f>'Tax Sched 23'!F10</f>
        <v>15523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98072</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6210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771985</v>
      </c>
      <c r="C1807" s="2" t="s">
        <v>573</v>
      </c>
      <c r="D1807" s="2" t="str">
        <f t="shared" si="27"/>
        <v>Error?</v>
      </c>
    </row>
    <row r="1808" spans="1:4" x14ac:dyDescent="0.2">
      <c r="A1808" s="5">
        <v>1747</v>
      </c>
      <c r="B1808" s="138">
        <f>'Tax Sched 23'!E4</f>
        <v>496762</v>
      </c>
      <c r="D1808" s="2" t="str">
        <f t="shared" si="27"/>
        <v>Error?</v>
      </c>
    </row>
    <row r="1809" spans="1:4" x14ac:dyDescent="0.2">
      <c r="A1809" s="5">
        <v>1748</v>
      </c>
      <c r="B1809" s="138">
        <f>'Tax Sched 23'!E5</f>
        <v>77619</v>
      </c>
      <c r="D1809" s="2" t="str">
        <f t="shared" si="27"/>
        <v>Error?</v>
      </c>
    </row>
    <row r="1810" spans="1:4" x14ac:dyDescent="0.2">
      <c r="A1810" s="5">
        <v>1749</v>
      </c>
      <c r="B1810" s="138">
        <f>'Tax Sched 23'!E6</f>
        <v>0</v>
      </c>
      <c r="D1810" s="2" t="str">
        <f t="shared" si="27"/>
        <v>Error?</v>
      </c>
    </row>
    <row r="1811" spans="1:4" x14ac:dyDescent="0.2">
      <c r="A1811" s="5">
        <v>1750</v>
      </c>
      <c r="B1811" s="138">
        <f>'Tax Sched 23'!E7</f>
        <v>37258</v>
      </c>
      <c r="D1811" s="2" t="str">
        <f t="shared" si="27"/>
        <v>Error?</v>
      </c>
    </row>
    <row r="1812" spans="1:4" x14ac:dyDescent="0.2">
      <c r="A1812" s="5">
        <v>1751</v>
      </c>
      <c r="B1812" s="138">
        <f>'Tax Sched 23'!E8</f>
        <v>12509</v>
      </c>
      <c r="D1812" s="2" t="str">
        <f t="shared" si="27"/>
        <v>Error?</v>
      </c>
    </row>
    <row r="1813" spans="1:4" x14ac:dyDescent="0.2">
      <c r="A1813" s="5">
        <v>1752</v>
      </c>
      <c r="B1813" s="138">
        <f>'Tax Sched 23'!E10</f>
        <v>15523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98072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6210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771985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6048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6048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6048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1585778</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442415</v>
      </c>
      <c r="D2011" s="2" t="str">
        <f t="shared" si="30"/>
        <v>Error?</v>
      </c>
    </row>
    <row r="2012" spans="1:4" x14ac:dyDescent="0.2">
      <c r="A2012" s="5">
        <v>1951</v>
      </c>
      <c r="B2012" s="138">
        <f>'Cap Outlay Deprec 26'!C13</f>
        <v>233999</v>
      </c>
      <c r="D2012" s="2" t="str">
        <f t="shared" si="30"/>
        <v>Error?</v>
      </c>
    </row>
    <row r="2013" spans="1:4" x14ac:dyDescent="0.2">
      <c r="A2013" s="5">
        <v>1952</v>
      </c>
      <c r="B2013" s="138">
        <f>'Cap Outlay Deprec 26'!C16</f>
        <v>2262192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28788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28788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6545</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43117</v>
      </c>
      <c r="D2024" s="2" t="str">
        <f t="shared" si="30"/>
        <v>Error?</v>
      </c>
    </row>
    <row r="2025" spans="1:4" x14ac:dyDescent="0.2">
      <c r="A2025" s="5">
        <v>1964</v>
      </c>
      <c r="B2025" s="138">
        <f>'Cap Outlay Deprec 26'!E16</f>
        <v>49662</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1579233</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471203</v>
      </c>
      <c r="C2029" s="2" t="s">
        <v>573</v>
      </c>
      <c r="D2029" s="2" t="str">
        <f t="shared" si="30"/>
        <v>Error?</v>
      </c>
    </row>
    <row r="2030" spans="1:4" x14ac:dyDescent="0.2">
      <c r="A2030" s="5">
        <v>1969</v>
      </c>
      <c r="B2030" s="138">
        <f>'Cap Outlay Deprec 26'!F13</f>
        <v>190882</v>
      </c>
      <c r="C2030" s="2" t="s">
        <v>573</v>
      </c>
      <c r="D2030" s="2" t="str">
        <f t="shared" si="30"/>
        <v>Error?</v>
      </c>
    </row>
    <row r="2031" spans="1:4" x14ac:dyDescent="0.2">
      <c r="A2031" s="5">
        <v>1970</v>
      </c>
      <c r="B2031" s="138">
        <f>'Cap Outlay Deprec 26'!F16</f>
        <v>2241318</v>
      </c>
      <c r="C2031" s="2" t="s">
        <v>573</v>
      </c>
      <c r="D2031" s="2" t="str">
        <f t="shared" si="30"/>
        <v>Error?</v>
      </c>
    </row>
    <row r="2032" spans="1:4" x14ac:dyDescent="0.2">
      <c r="A2032" s="10">
        <v>1971</v>
      </c>
      <c r="D2032" s="2" t="str">
        <f t="shared" si="30"/>
        <v>OK</v>
      </c>
    </row>
    <row r="2033" spans="1:4" x14ac:dyDescent="0.2">
      <c r="A2033" s="5">
        <v>1972</v>
      </c>
      <c r="B2033" s="138">
        <f>'Cap Outlay Deprec 26'!H8</f>
        <v>590603</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403512</v>
      </c>
      <c r="D2035" s="2" t="str">
        <f t="shared" si="30"/>
        <v>Error?</v>
      </c>
    </row>
    <row r="2036" spans="1:4" x14ac:dyDescent="0.2">
      <c r="A2036" s="5">
        <v>1975</v>
      </c>
      <c r="B2036" s="138">
        <f>'Cap Outlay Deprec 26'!H13</f>
        <v>192099</v>
      </c>
      <c r="D2036" s="2" t="str">
        <f t="shared" si="30"/>
        <v>Error?</v>
      </c>
    </row>
    <row r="2037" spans="1:4" x14ac:dyDescent="0.2">
      <c r="A2037" s="5">
        <v>1976</v>
      </c>
      <c r="B2037" s="138">
        <f>'Cap Outlay Deprec 26'!H16</f>
        <v>1186214</v>
      </c>
      <c r="C2037" s="2" t="s">
        <v>573</v>
      </c>
      <c r="D2037" s="2" t="str">
        <f t="shared" si="30"/>
        <v>Error?</v>
      </c>
    </row>
    <row r="2038" spans="1:4" x14ac:dyDescent="0.2">
      <c r="A2038" s="10">
        <v>1977</v>
      </c>
      <c r="D2038" s="2" t="str">
        <f t="shared" si="30"/>
        <v>OK</v>
      </c>
    </row>
    <row r="2039" spans="1:4" x14ac:dyDescent="0.2">
      <c r="A2039" s="5">
        <v>1978</v>
      </c>
      <c r="B2039" s="138">
        <f>'Cap Outlay Deprec 26'!I8</f>
        <v>44203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12096</v>
      </c>
      <c r="D2041" s="2" t="str">
        <f t="shared" si="30"/>
        <v>Error?</v>
      </c>
    </row>
    <row r="2042" spans="1:4" x14ac:dyDescent="0.2">
      <c r="A2042" s="5">
        <v>1981</v>
      </c>
      <c r="B2042" s="138">
        <f>'Cap Outlay Deprec 26'!I13</f>
        <v>11972</v>
      </c>
      <c r="D2042" s="2" t="str">
        <f t="shared" si="30"/>
        <v>Error?</v>
      </c>
    </row>
    <row r="2043" spans="1:4" x14ac:dyDescent="0.2">
      <c r="A2043" s="5">
        <v>1982</v>
      </c>
      <c r="B2043" s="138">
        <f>'Cap Outlay Deprec 26'!I16</f>
        <v>68271</v>
      </c>
      <c r="C2043" s="2" t="s">
        <v>573</v>
      </c>
      <c r="D2043" s="2" t="str">
        <f t="shared" si="30"/>
        <v>Error?</v>
      </c>
    </row>
    <row r="2044" spans="1:4" x14ac:dyDescent="0.2">
      <c r="A2044" s="10">
        <v>1983</v>
      </c>
      <c r="D2044" s="2" t="str">
        <f t="shared" si="30"/>
        <v>OK</v>
      </c>
    </row>
    <row r="2045" spans="1:4" x14ac:dyDescent="0.2">
      <c r="A2045" s="5">
        <v>1984</v>
      </c>
      <c r="B2045" s="138">
        <f>'Cap Outlay Deprec 26'!J8</f>
        <v>6545</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43117</v>
      </c>
      <c r="D2048" s="2" t="str">
        <f t="shared" si="31"/>
        <v>Error?</v>
      </c>
    </row>
    <row r="2049" spans="1:4" x14ac:dyDescent="0.2">
      <c r="A2049" s="5">
        <v>1988</v>
      </c>
      <c r="B2049" s="138">
        <f>'Cap Outlay Deprec 26'!J16</f>
        <v>49662</v>
      </c>
      <c r="C2049" s="2" t="s">
        <v>573</v>
      </c>
      <c r="D2049" s="2" t="str">
        <f t="shared" si="31"/>
        <v>Error?</v>
      </c>
    </row>
    <row r="2050" spans="1:4" x14ac:dyDescent="0.2">
      <c r="A2050" s="10">
        <v>1989</v>
      </c>
      <c r="D2050" s="2" t="str">
        <f t="shared" si="31"/>
        <v>OK</v>
      </c>
    </row>
    <row r="2051" spans="1:4" x14ac:dyDescent="0.2">
      <c r="A2051" s="5">
        <v>1990</v>
      </c>
      <c r="B2051" s="138">
        <f>'Cap Outlay Deprec 26'!K8</f>
        <v>628261</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415608</v>
      </c>
      <c r="C2053" s="2" t="s">
        <v>573</v>
      </c>
      <c r="D2053" s="2" t="str">
        <f t="shared" si="31"/>
        <v>Error?</v>
      </c>
    </row>
    <row r="2054" spans="1:4" x14ac:dyDescent="0.2">
      <c r="A2054" s="5">
        <v>1993</v>
      </c>
      <c r="B2054" s="138">
        <f>'Cap Outlay Deprec 26'!K13</f>
        <v>160954</v>
      </c>
      <c r="C2054" s="2" t="s">
        <v>573</v>
      </c>
      <c r="D2054" s="2" t="str">
        <f t="shared" si="31"/>
        <v>Error?</v>
      </c>
    </row>
    <row r="2055" spans="1:4" x14ac:dyDescent="0.2">
      <c r="A2055" s="5">
        <v>1994</v>
      </c>
      <c r="B2055" s="138">
        <f>'Cap Outlay Deprec 26'!K16</f>
        <v>1204823</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950972</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55595</v>
      </c>
      <c r="C2059" s="2" t="s">
        <v>573</v>
      </c>
      <c r="D2059" s="2" t="str">
        <f t="shared" si="31"/>
        <v>Error?</v>
      </c>
    </row>
    <row r="2060" spans="1:4" x14ac:dyDescent="0.2">
      <c r="A2060" s="5">
        <v>1999</v>
      </c>
      <c r="B2060" s="138">
        <f>'Cap Outlay Deprec 26'!L13</f>
        <v>29928</v>
      </c>
      <c r="C2060" s="2" t="s">
        <v>573</v>
      </c>
      <c r="D2060" s="2" t="str">
        <f t="shared" si="31"/>
        <v>Error?</v>
      </c>
    </row>
    <row r="2061" spans="1:4" x14ac:dyDescent="0.2">
      <c r="A2061" s="5">
        <v>2000</v>
      </c>
      <c r="B2061" s="138">
        <f>'Cap Outlay Deprec 26'!L16</f>
        <v>1036495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36057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37536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95168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660890</v>
      </c>
      <c r="C2551" s="2" t="s">
        <v>573</v>
      </c>
      <c r="D2551" s="2" t="str">
        <f t="shared" si="38"/>
        <v>Error?</v>
      </c>
    </row>
    <row r="2552" spans="1:4" x14ac:dyDescent="0.2">
      <c r="A2552" s="10">
        <v>2491</v>
      </c>
      <c r="D2552" s="2" t="str">
        <f t="shared" si="38"/>
        <v>OK</v>
      </c>
    </row>
    <row r="2553" spans="1:4" x14ac:dyDescent="0.2">
      <c r="A2553" s="5">
        <v>2492</v>
      </c>
      <c r="B2553" s="138">
        <f>'Acct Summary 7-8'!C6</f>
        <v>383262</v>
      </c>
      <c r="C2553" s="2" t="s">
        <v>573</v>
      </c>
      <c r="D2553" s="2" t="str">
        <f t="shared" si="38"/>
        <v>Error?</v>
      </c>
    </row>
    <row r="2554" spans="1:4" x14ac:dyDescent="0.2">
      <c r="A2554" s="5">
        <v>2493</v>
      </c>
      <c r="B2554" s="138">
        <f>'Acct Summary 7-8'!C7</f>
        <v>98733</v>
      </c>
      <c r="C2554" s="2" t="s">
        <v>573</v>
      </c>
      <c r="D2554" s="2" t="str">
        <f t="shared" si="38"/>
        <v>Error?</v>
      </c>
    </row>
    <row r="2555" spans="1:4" x14ac:dyDescent="0.2">
      <c r="A2555" s="5">
        <v>2494</v>
      </c>
      <c r="B2555" s="138">
        <f>'Acct Summary 7-8'!C8</f>
        <v>1142885</v>
      </c>
      <c r="C2555" s="2" t="s">
        <v>573</v>
      </c>
      <c r="D2555" s="2" t="str">
        <f t="shared" si="38"/>
        <v>Error?</v>
      </c>
    </row>
    <row r="2556" spans="1:4" x14ac:dyDescent="0.2">
      <c r="A2556" s="5">
        <v>2495</v>
      </c>
      <c r="B2556" s="138">
        <f>'Acct Summary 7-8'!C12</f>
        <v>879865</v>
      </c>
      <c r="C2556" s="2" t="s">
        <v>573</v>
      </c>
      <c r="D2556" s="2" t="str">
        <f t="shared" si="38"/>
        <v>Error?</v>
      </c>
    </row>
    <row r="2557" spans="1:4" x14ac:dyDescent="0.2">
      <c r="A2557" s="5">
        <v>2496</v>
      </c>
      <c r="B2557" s="138">
        <f>'Acct Summary 7-8'!C13</f>
        <v>260002</v>
      </c>
      <c r="C2557" s="2" t="s">
        <v>573</v>
      </c>
      <c r="D2557" s="2" t="str">
        <f t="shared" si="38"/>
        <v>Error?</v>
      </c>
    </row>
    <row r="2558" spans="1:4" x14ac:dyDescent="0.2">
      <c r="A2558" s="5">
        <v>2497</v>
      </c>
      <c r="B2558" s="138">
        <f>'Acct Summary 7-8'!C14</f>
        <v>978</v>
      </c>
      <c r="C2558" s="2" t="s">
        <v>573</v>
      </c>
      <c r="D2558" s="2" t="str">
        <f t="shared" si="38"/>
        <v>Error?</v>
      </c>
    </row>
    <row r="2559" spans="1:4" x14ac:dyDescent="0.2">
      <c r="A2559" s="5">
        <v>2498</v>
      </c>
      <c r="B2559" s="138">
        <f>'Acct Summary 7-8'!C15</f>
        <v>37536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1178381</v>
      </c>
      <c r="C2561" s="2" t="s">
        <v>573</v>
      </c>
      <c r="D2561" s="2" t="str">
        <f t="shared" si="39"/>
        <v>Error?</v>
      </c>
    </row>
    <row r="2562" spans="1:4" x14ac:dyDescent="0.2">
      <c r="A2562" s="5">
        <v>2501</v>
      </c>
      <c r="B2562" s="138">
        <f>'Acct Summary 7-8'!C20</f>
        <v>-35496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90719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90719</v>
      </c>
      <c r="C2568" s="2" t="s">
        <v>573</v>
      </c>
      <c r="D2568" s="2" t="str">
        <f t="shared" si="39"/>
        <v>Error?</v>
      </c>
    </row>
    <row r="2569" spans="1:4" x14ac:dyDescent="0.2">
      <c r="A2569" s="5">
        <v>2508</v>
      </c>
      <c r="B2569" s="138">
        <f>'Acct Summary 7-8'!D13</f>
        <v>125555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125555</v>
      </c>
      <c r="C2573" s="2" t="s">
        <v>573</v>
      </c>
      <c r="D2573" s="2" t="str">
        <f t="shared" si="39"/>
        <v>Error?</v>
      </c>
    </row>
    <row r="2574" spans="1:4" x14ac:dyDescent="0.2">
      <c r="A2574" s="5">
        <v>2513</v>
      </c>
      <c r="B2574" s="138">
        <f>'Acct Summary 7-8'!D20</f>
        <v>-34836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70636</v>
      </c>
      <c r="C2591" s="2" t="s">
        <v>573</v>
      </c>
      <c r="D2591" s="2" t="str">
        <f t="shared" si="39"/>
        <v>Error?</v>
      </c>
    </row>
    <row r="2592" spans="1:4" x14ac:dyDescent="0.2">
      <c r="A2592" s="10">
        <v>2531</v>
      </c>
      <c r="D2592" s="2" t="str">
        <f t="shared" si="39"/>
        <v>OK</v>
      </c>
    </row>
    <row r="2593" spans="1:4" x14ac:dyDescent="0.2">
      <c r="A2593" s="5">
        <v>2532</v>
      </c>
      <c r="B2593" s="138">
        <f>'Acct Summary 7-8'!F6</f>
        <v>52224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122860</v>
      </c>
      <c r="C2595" s="2" t="s">
        <v>573</v>
      </c>
      <c r="D2595" s="2" t="str">
        <f t="shared" si="39"/>
        <v>Error?</v>
      </c>
    </row>
    <row r="2596" spans="1:4" x14ac:dyDescent="0.2">
      <c r="A2596" s="5">
        <v>2535</v>
      </c>
      <c r="B2596" s="138">
        <f>'Acct Summary 7-8'!F13</f>
        <v>104217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104217</v>
      </c>
      <c r="C2600" s="2" t="s">
        <v>573</v>
      </c>
      <c r="D2600" s="2" t="str">
        <f t="shared" si="39"/>
        <v>Error?</v>
      </c>
    </row>
    <row r="2601" spans="1:4" x14ac:dyDescent="0.2">
      <c r="A2601" s="5">
        <v>2540</v>
      </c>
      <c r="B2601" s="138">
        <f>'Acct Summary 7-8'!F20</f>
        <v>18643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27085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27085</v>
      </c>
      <c r="C2606" s="2" t="s">
        <v>573</v>
      </c>
      <c r="D2606" s="2" t="str">
        <f t="shared" si="39"/>
        <v>Error?</v>
      </c>
    </row>
    <row r="2607" spans="1:4" x14ac:dyDescent="0.2">
      <c r="A2607" s="5">
        <v>2546</v>
      </c>
      <c r="B2607" s="138">
        <f>'Acct Summary 7-8'!G12</f>
        <v>17856</v>
      </c>
      <c r="C2607" s="2" t="s">
        <v>573</v>
      </c>
      <c r="D2607" s="2" t="str">
        <f t="shared" si="39"/>
        <v>Error?</v>
      </c>
    </row>
    <row r="2608" spans="1:4" x14ac:dyDescent="0.2">
      <c r="A2608" s="5">
        <v>2547</v>
      </c>
      <c r="B2608" s="138">
        <f>'Acct Summary 7-8'!G13</f>
        <v>32371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50227</v>
      </c>
      <c r="C2612" s="2" t="s">
        <v>573</v>
      </c>
      <c r="D2612" s="2" t="str">
        <f t="shared" si="39"/>
        <v>Error?</v>
      </c>
    </row>
    <row r="2613" spans="1:4" x14ac:dyDescent="0.2">
      <c r="A2613" s="5">
        <v>2552</v>
      </c>
      <c r="B2613" s="138">
        <f>'Acct Summary 7-8'!G20</f>
        <v>-23142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1479</v>
      </c>
      <c r="C2789" s="2" t="s">
        <v>573</v>
      </c>
      <c r="D2789" s="2" t="str">
        <f t="shared" si="42"/>
        <v>Error?</v>
      </c>
    </row>
    <row r="2790" spans="1:4" x14ac:dyDescent="0.2">
      <c r="A2790" s="5">
        <v>2729</v>
      </c>
      <c r="B2790" s="138">
        <f>'Expenditures 15-22'!E102</f>
        <v>1479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16216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16216</v>
      </c>
      <c r="D2912" s="2" t="str">
        <f t="shared" si="44"/>
        <v>Error?</v>
      </c>
    </row>
    <row r="2913" spans="1:4" x14ac:dyDescent="0.2">
      <c r="A2913" s="5">
        <v>2852</v>
      </c>
      <c r="B2913" s="138">
        <f>'Assets-Liab 5-6'!I41</f>
        <v>16216</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1229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250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36057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37286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250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12302</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170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12472</v>
      </c>
      <c r="C3062" s="2" t="s">
        <v>573</v>
      </c>
      <c r="D3062" s="2" t="str">
        <f t="shared" si="46"/>
        <v>Error?</v>
      </c>
    </row>
    <row r="3063" spans="1:4" x14ac:dyDescent="0.2">
      <c r="A3063" s="10">
        <v>3002</v>
      </c>
      <c r="D3063" s="2" t="str">
        <f t="shared" si="46"/>
        <v>OK</v>
      </c>
    </row>
    <row r="3064" spans="1:4" x14ac:dyDescent="0.2">
      <c r="A3064" s="5">
        <v>3003</v>
      </c>
      <c r="B3064" s="138">
        <f>'Expenditures 15-22'!D219</f>
        <v>2246</v>
      </c>
      <c r="D3064" s="2" t="str">
        <f t="shared" si="46"/>
        <v>Error?</v>
      </c>
    </row>
    <row r="3065" spans="1:4" x14ac:dyDescent="0.2">
      <c r="A3065" s="5">
        <v>3004</v>
      </c>
      <c r="B3065" s="138">
        <f>'Expenditures 15-22'!K219</f>
        <v>2246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15884</v>
      </c>
      <c r="C3225" s="2" t="s">
        <v>573</v>
      </c>
      <c r="D3225" s="2" t="str">
        <f t="shared" si="49"/>
        <v>Error?</v>
      </c>
    </row>
    <row r="3226" spans="1:4" x14ac:dyDescent="0.2">
      <c r="A3226" s="5">
        <v>3165</v>
      </c>
      <c r="B3226" s="138">
        <f>'Acct Summary 7-8'!I8</f>
        <v>15884</v>
      </c>
      <c r="C3226" s="2" t="s">
        <v>573</v>
      </c>
      <c r="D3226" s="2" t="str">
        <f t="shared" si="49"/>
        <v>Error?</v>
      </c>
    </row>
    <row r="3227" spans="1:4" x14ac:dyDescent="0.2">
      <c r="A3227" s="5">
        <v>3166</v>
      </c>
      <c r="B3227" s="138">
        <f>'Acct Summary 7-8'!I20</f>
        <v>15884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150000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150000</v>
      </c>
      <c r="C3232" s="2" t="s">
        <v>573</v>
      </c>
      <c r="D3232" s="2" t="str">
        <f t="shared" si="49"/>
        <v>Error?</v>
      </c>
    </row>
    <row r="3233" spans="1:4" x14ac:dyDescent="0.2">
      <c r="A3233" s="5">
        <v>3172</v>
      </c>
      <c r="B3233" s="138">
        <f>'Acct Summary 7-8'!C78</f>
        <v>114504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-34836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18643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-23142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150000</v>
      </c>
      <c r="C3318" s="2" t="s">
        <v>573</v>
      </c>
      <c r="D3318" s="2" t="str">
        <f t="shared" si="50"/>
        <v>Error?</v>
      </c>
    </row>
    <row r="3319" spans="1:4" x14ac:dyDescent="0.2">
      <c r="A3319" s="5">
        <v>3258</v>
      </c>
      <c r="B3319" s="138">
        <f>'Acct Summary 7-8'!I77</f>
        <v>-150000</v>
      </c>
      <c r="C3319" s="2" t="s">
        <v>573</v>
      </c>
      <c r="D3319" s="2" t="str">
        <f t="shared" si="50"/>
        <v>Error?</v>
      </c>
    </row>
    <row r="3320" spans="1:4" x14ac:dyDescent="0.2">
      <c r="A3320" s="5">
        <v>3259</v>
      </c>
      <c r="B3320" s="138">
        <f>'Acct Summary 7-8'!I78</f>
        <v>-134116</v>
      </c>
      <c r="C3320" s="2" t="s">
        <v>573</v>
      </c>
      <c r="D3320" s="2" t="str">
        <f t="shared" si="50"/>
        <v>Error?</v>
      </c>
    </row>
    <row r="3321" spans="1:4" x14ac:dyDescent="0.2">
      <c r="A3321" s="5">
        <v>3260</v>
      </c>
      <c r="B3321" s="138">
        <f>'Acct Summary 7-8'!I79</f>
        <v>150332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16216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72651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702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2060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75413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9560</v>
      </c>
      <c r="D3387" s="2" t="str">
        <f t="shared" si="51"/>
        <v>Error?</v>
      </c>
    </row>
    <row r="3388" spans="1:4" x14ac:dyDescent="0.2">
      <c r="A3388" s="5">
        <v>3327</v>
      </c>
      <c r="B3388" s="138">
        <f>'Expenditures 15-22'!D217</f>
        <v>5327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9560</v>
      </c>
      <c r="C3390" s="2" t="s">
        <v>573</v>
      </c>
      <c r="D3390" s="2" t="str">
        <f t="shared" si="51"/>
        <v>Error?</v>
      </c>
    </row>
    <row r="3391" spans="1:4" x14ac:dyDescent="0.2">
      <c r="A3391" s="5">
        <v>3330</v>
      </c>
      <c r="B3391" s="138">
        <f>'Expenditures 15-22'!K217</f>
        <v>5327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96553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123716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222436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209200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16216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12514</v>
      </c>
      <c r="C3446" s="2" t="s">
        <v>573</v>
      </c>
      <c r="D3446" s="2" t="str">
        <f t="shared" si="52"/>
        <v>Error?</v>
      </c>
    </row>
    <row r="3447" spans="1:4" x14ac:dyDescent="0.2">
      <c r="A3447" s="5">
        <v>3386</v>
      </c>
      <c r="B3447" s="138">
        <f>'Tax Sched 23'!D16</f>
        <v>12514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12509</v>
      </c>
      <c r="C3449" s="2" t="s">
        <v>573</v>
      </c>
      <c r="D3449" s="2" t="str">
        <f t="shared" si="52"/>
        <v>Error?</v>
      </c>
    </row>
    <row r="3450" spans="1:4" x14ac:dyDescent="0.2">
      <c r="A3450" s="5">
        <v>3389</v>
      </c>
      <c r="B3450" s="138">
        <f>'Tax Sched 23'!E16</f>
        <v>12509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15118</v>
      </c>
      <c r="C3725" s="2" t="s">
        <v>573</v>
      </c>
      <c r="D3725" s="2" t="str">
        <f t="shared" si="57"/>
        <v>Error?</v>
      </c>
    </row>
    <row r="3726" spans="1:4" x14ac:dyDescent="0.2">
      <c r="A3726" s="5">
        <v>3665</v>
      </c>
      <c r="B3726" s="138">
        <f>'Tax Sched 23'!D13</f>
        <v>15118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15523</v>
      </c>
      <c r="C3728" s="2" t="s">
        <v>573</v>
      </c>
      <c r="D3728" s="2" t="str">
        <f t="shared" si="57"/>
        <v>Error?</v>
      </c>
    </row>
    <row r="3729" spans="1:4" x14ac:dyDescent="0.2">
      <c r="A3729" s="5">
        <v>3668</v>
      </c>
      <c r="B3729" s="138">
        <f>'Tax Sched 23'!E13</f>
        <v>15523</v>
      </c>
      <c r="D3729" s="2" t="str">
        <f t="shared" si="57"/>
        <v>Error?</v>
      </c>
    </row>
    <row r="3730" spans="1:4" x14ac:dyDescent="0.2">
      <c r="A3730" s="5">
        <v>3669</v>
      </c>
      <c r="B3730" s="138">
        <f>'ICR Computation 30'!E10</f>
        <v>24974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591697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1734582</v>
      </c>
      <c r="C4122" s="2" t="s">
        <v>573</v>
      </c>
      <c r="D4122" s="2" t="str">
        <f t="shared" si="63"/>
        <v>Error?</v>
      </c>
    </row>
    <row r="4123" spans="1:4" x14ac:dyDescent="0.2">
      <c r="A4123" s="5">
        <v>4062</v>
      </c>
      <c r="B4123" s="138">
        <f>'Acct Summary 7-8'!D10</f>
        <v>90719</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122860</v>
      </c>
      <c r="C4125" s="2" t="s">
        <v>573</v>
      </c>
      <c r="D4125" s="2" t="str">
        <f t="shared" si="63"/>
        <v>Error?</v>
      </c>
    </row>
    <row r="4126" spans="1:4" x14ac:dyDescent="0.2">
      <c r="A4126" s="5">
        <v>4065</v>
      </c>
      <c r="B4126" s="138">
        <f>'Acct Summary 7-8'!G10</f>
        <v>27085</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15884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591697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1770078</v>
      </c>
      <c r="C4136" s="2" t="s">
        <v>573</v>
      </c>
      <c r="D4136" s="2" t="str">
        <f t="shared" si="63"/>
        <v>Error?</v>
      </c>
    </row>
    <row r="4137" spans="1:4" x14ac:dyDescent="0.2">
      <c r="A4137" s="5">
        <v>4076</v>
      </c>
      <c r="B4137" s="138">
        <f>'Acct Summary 7-8'!D19</f>
        <v>125555</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104217</v>
      </c>
      <c r="C4139" s="2" t="s">
        <v>573</v>
      </c>
      <c r="D4139" s="2" t="str">
        <f t="shared" si="63"/>
        <v>Error?</v>
      </c>
    </row>
    <row r="4140" spans="1:4" x14ac:dyDescent="0.2">
      <c r="A4140" s="5">
        <v>4079</v>
      </c>
      <c r="B4140" s="138">
        <f>'Acct Summary 7-8'!G19</f>
        <v>50227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1600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1969.9999999999998</v>
      </c>
      <c r="C4268" s="2" t="s">
        <v>573</v>
      </c>
      <c r="D4268" s="2" t="str">
        <f t="shared" si="65"/>
        <v>Error?</v>
      </c>
    </row>
    <row r="4269" spans="1:5" x14ac:dyDescent="0.2">
      <c r="A4269" s="12">
        <v>4208</v>
      </c>
      <c r="B4269" s="138">
        <f>'FP Info 3'!J16</f>
        <v>709808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7127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40915</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40915</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6060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3072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30758877</v>
      </c>
      <c r="D4995" s="2" t="str">
        <f t="shared" si="77"/>
        <v>Error?</v>
      </c>
    </row>
    <row r="4996" spans="1:4" x14ac:dyDescent="0.2">
      <c r="A4996" s="12">
        <v>4935</v>
      </c>
      <c r="B4996" s="138">
        <f>'FP Info 3'!H31</f>
        <v>2122362.5130000003</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483878</v>
      </c>
      <c r="D5061" s="2" t="str">
        <f t="shared" si="78"/>
        <v>Error?</v>
      </c>
    </row>
    <row r="5062" spans="1:4" x14ac:dyDescent="0.2">
      <c r="A5062" s="10">
        <v>5001</v>
      </c>
      <c r="D5062" s="2" t="str">
        <f t="shared" si="78"/>
        <v>OK</v>
      </c>
    </row>
    <row r="5063" spans="1:4" x14ac:dyDescent="0.2">
      <c r="A5063" s="5">
        <v>5002</v>
      </c>
      <c r="B5063" s="138">
        <f>'Revenues 9-14'!C7</f>
        <v>6048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489926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8985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8985</v>
      </c>
      <c r="C5071" s="2" t="s">
        <v>573</v>
      </c>
      <c r="D5071" s="2" t="str">
        <f t="shared" si="78"/>
        <v>Error?</v>
      </c>
    </row>
    <row r="5072" spans="1:4" x14ac:dyDescent="0.2">
      <c r="A5072" s="5">
        <v>5011</v>
      </c>
      <c r="B5072" s="138">
        <f>'Revenues 9-14'!C20</f>
        <v>1729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1729</v>
      </c>
      <c r="C5087" s="2" t="s">
        <v>573</v>
      </c>
      <c r="D5087" s="2" t="str">
        <f t="shared" si="78"/>
        <v>Error?</v>
      </c>
    </row>
    <row r="5088" spans="1:4" x14ac:dyDescent="0.2">
      <c r="A5088" s="5">
        <v>5027</v>
      </c>
      <c r="B5088" s="138">
        <f>'Revenues 9-14'!C65</f>
        <v>4855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4855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9295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3453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60607</v>
      </c>
      <c r="C5096" s="2" t="s">
        <v>573</v>
      </c>
      <c r="D5096" s="2" t="str">
        <f t="shared" si="78"/>
        <v>Error?</v>
      </c>
    </row>
    <row r="5097" spans="1:4" x14ac:dyDescent="0.2">
      <c r="A5097" s="5">
        <v>5036</v>
      </c>
      <c r="B5097" s="138">
        <f>'Revenues 9-14'!C77</f>
        <v>16737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14541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170</v>
      </c>
      <c r="D5101" s="2" t="str">
        <f t="shared" si="78"/>
        <v>Error?</v>
      </c>
    </row>
    <row r="5102" spans="1:4" x14ac:dyDescent="0.2">
      <c r="A5102" s="5">
        <v>5041</v>
      </c>
      <c r="B5102" s="138">
        <f>'Revenues 9-14'!C82</f>
        <v>31448</v>
      </c>
      <c r="C5102" s="2" t="s">
        <v>573</v>
      </c>
      <c r="D5102" s="2" t="str">
        <f t="shared" si="78"/>
        <v>Error?</v>
      </c>
    </row>
    <row r="5103" spans="1:4" x14ac:dyDescent="0.2">
      <c r="A5103" s="5">
        <v>5042</v>
      </c>
      <c r="B5103" s="138">
        <f>'Revenues 9-14'!C84</f>
        <v>13815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13815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47753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1772</v>
      </c>
      <c r="D5119" s="2" t="str">
        <f t="shared" ref="D5119:D5182" si="79">IF(ISBLANK(B5119),"OK",IF(A5119-B5119=0,"OK","Error?"))</f>
        <v>Error?</v>
      </c>
    </row>
    <row r="5120" spans="1:4" x14ac:dyDescent="0.2">
      <c r="A5120" s="5">
        <v>5059</v>
      </c>
      <c r="B5120" s="138">
        <f>'Revenues 9-14'!C108</f>
        <v>49525</v>
      </c>
      <c r="C5120" s="2" t="s">
        <v>573</v>
      </c>
      <c r="D5120" s="2" t="str">
        <f t="shared" si="79"/>
        <v>Error?</v>
      </c>
    </row>
    <row r="5121" spans="1:4" x14ac:dyDescent="0.2">
      <c r="A5121" s="5">
        <v>5060</v>
      </c>
      <c r="B5121" s="138">
        <f>'Revenues 9-14'!C109</f>
        <v>660890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340364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340364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259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42639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42898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383262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24182</v>
      </c>
      <c r="D5239" s="2" t="str">
        <f t="shared" si="80"/>
        <v>Error?</v>
      </c>
    </row>
    <row r="5240" spans="1:4" x14ac:dyDescent="0.2">
      <c r="A5240" s="5">
        <v>5179</v>
      </c>
      <c r="B5240" s="138">
        <f>'Revenues 9-14'!C192</f>
        <v>792</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24974</v>
      </c>
      <c r="C5246" s="2" t="s">
        <v>573</v>
      </c>
      <c r="D5246" s="2" t="str">
        <f t="shared" si="80"/>
        <v>Error?</v>
      </c>
    </row>
    <row r="5247" spans="1:4" x14ac:dyDescent="0.2">
      <c r="A5247" s="5">
        <v>5186</v>
      </c>
      <c r="B5247" s="138">
        <f>'Revenues 9-14'!C200</f>
        <v>10597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6060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10597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1229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4497</v>
      </c>
      <c r="D5278" s="2" t="str">
        <f t="shared" si="81"/>
        <v>Error?</v>
      </c>
    </row>
    <row r="5279" spans="1:4" x14ac:dyDescent="0.2">
      <c r="A5279" s="5">
        <v>5218</v>
      </c>
      <c r="B5279" s="138">
        <f>'Revenues 9-14'!C214</f>
        <v>262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5988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98733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98733</v>
      </c>
      <c r="C5326" s="2" t="s">
        <v>573</v>
      </c>
      <c r="D5326" s="2" t="str">
        <f t="shared" si="82"/>
        <v>Error?</v>
      </c>
    </row>
    <row r="5327" spans="1:5" x14ac:dyDescent="0.2">
      <c r="A5327" s="5">
        <v>5266</v>
      </c>
      <c r="B5327" s="138">
        <f>'Revenues 9-14'!C268</f>
        <v>1142885</v>
      </c>
      <c r="C5327" s="2" t="s">
        <v>573</v>
      </c>
      <c r="D5327" s="2" t="str">
        <f t="shared" si="82"/>
        <v>Error?</v>
      </c>
    </row>
    <row r="5328" spans="1:5" x14ac:dyDescent="0.2">
      <c r="A5328" s="5">
        <v>5267</v>
      </c>
      <c r="B5328" s="138">
        <f>'Revenues 9-14'!D5</f>
        <v>75586</v>
      </c>
      <c r="D5328" s="2" t="str">
        <f t="shared" si="82"/>
        <v>Error?</v>
      </c>
    </row>
    <row r="5329" spans="1:4" x14ac:dyDescent="0.2">
      <c r="A5329" s="10">
        <v>5268</v>
      </c>
      <c r="D5329" s="2" t="str">
        <f t="shared" si="82"/>
        <v>OK</v>
      </c>
    </row>
    <row r="5330" spans="1:4" x14ac:dyDescent="0.2">
      <c r="A5330" s="5">
        <v>5269</v>
      </c>
      <c r="B5330" s="138">
        <f>'Revenues 9-14'!D6</f>
        <v>15118</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90704</v>
      </c>
      <c r="C5334" s="2" t="s">
        <v>573</v>
      </c>
      <c r="D5334" s="2" t="str">
        <f t="shared" si="82"/>
        <v>Error?</v>
      </c>
    </row>
    <row r="5335" spans="1:4" x14ac:dyDescent="0.2">
      <c r="A5335" s="5">
        <v>5274</v>
      </c>
      <c r="B5335" s="138">
        <f>'Revenues 9-14'!D14</f>
        <v>15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90719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90719</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36288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36288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33350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33350</v>
      </c>
      <c r="C5579" s="2" t="s">
        <v>573</v>
      </c>
      <c r="D5579" s="2" t="str">
        <f t="shared" si="86"/>
        <v>Error?</v>
      </c>
    </row>
    <row r="5580" spans="1:4" x14ac:dyDescent="0.2">
      <c r="A5580" s="5">
        <v>5519</v>
      </c>
      <c r="B5580" s="138">
        <f>'Revenues 9-14'!F65</f>
        <v>558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558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440</v>
      </c>
      <c r="D5586" s="2" t="str">
        <f t="shared" si="86"/>
        <v>Error?</v>
      </c>
    </row>
    <row r="5587" spans="1:4" x14ac:dyDescent="0.2">
      <c r="A5587" s="5">
        <v>5526</v>
      </c>
      <c r="B5587" s="138">
        <f>'Revenues 9-14'!F108</f>
        <v>440</v>
      </c>
      <c r="C5587" s="2" t="s">
        <v>573</v>
      </c>
      <c r="D5587" s="2" t="str">
        <f t="shared" si="86"/>
        <v>Error?</v>
      </c>
    </row>
    <row r="5588" spans="1:4" x14ac:dyDescent="0.2">
      <c r="A5588" s="5">
        <v>5527</v>
      </c>
      <c r="B5588" s="138">
        <f>'Revenues 9-14'!F109</f>
        <v>70636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52224</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52224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52224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52224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122860</v>
      </c>
      <c r="C5720" s="2" t="s">
        <v>573</v>
      </c>
      <c r="D5720" s="2" t="str">
        <f t="shared" si="88"/>
        <v>Error?</v>
      </c>
    </row>
    <row r="5721" spans="1:4" x14ac:dyDescent="0.2">
      <c r="A5721" s="5">
        <v>5660</v>
      </c>
      <c r="B5721" s="138">
        <f>'Revenues 9-14'!G5</f>
        <v>12513</v>
      </c>
      <c r="D5721" s="2" t="str">
        <f t="shared" si="88"/>
        <v>Error?</v>
      </c>
    </row>
    <row r="5722" spans="1:4" x14ac:dyDescent="0.2">
      <c r="A5722" s="5">
        <v>5661</v>
      </c>
      <c r="B5722" s="138">
        <f>'Revenues 9-14'!G7</f>
        <v>0</v>
      </c>
      <c r="D5722" s="2" t="str">
        <f t="shared" si="88"/>
        <v>Error?</v>
      </c>
    </row>
    <row r="5723" spans="1:4" x14ac:dyDescent="0.2">
      <c r="A5723" s="5">
        <v>5662</v>
      </c>
      <c r="B5723" s="138">
        <f>'Revenues 9-14'!G8</f>
        <v>12514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25027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1088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1088</v>
      </c>
      <c r="C5730" s="2" t="s">
        <v>573</v>
      </c>
      <c r="D5730" s="2" t="str">
        <f t="shared" si="88"/>
        <v>Error?</v>
      </c>
    </row>
    <row r="5731" spans="1:4" x14ac:dyDescent="0.2">
      <c r="A5731" s="5">
        <v>5670</v>
      </c>
      <c r="B5731" s="138">
        <f>'Revenues 9-14'!G65</f>
        <v>970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970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27085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15120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15120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764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764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15884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27085</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15884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47859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7262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159.9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189393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189393</v>
      </c>
      <c r="D6215" s="2" t="str">
        <f t="shared" si="96"/>
        <v>Error?</v>
      </c>
      <c r="E6215" s="2" t="s">
        <v>190</v>
      </c>
    </row>
    <row r="6216" spans="1:5" x14ac:dyDescent="0.2">
      <c r="A6216">
        <v>6155</v>
      </c>
      <c r="B6216" s="138">
        <f>'Assets-Liab 5-6'!J41</f>
        <v>189393</v>
      </c>
      <c r="D6216" s="2" t="str">
        <f t="shared" si="96"/>
        <v>Error?</v>
      </c>
      <c r="E6216" s="2" t="s">
        <v>190</v>
      </c>
    </row>
    <row r="6217" spans="1:5" x14ac:dyDescent="0.2">
      <c r="A6217">
        <v>6156</v>
      </c>
      <c r="B6217" s="138">
        <f>'Assets-Liab 5-6'!J4</f>
        <v>189393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98732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98732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98732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76274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76274</v>
      </c>
      <c r="D6229" s="2" t="str">
        <f t="shared" si="96"/>
        <v>Error?</v>
      </c>
      <c r="E6229" s="2" t="s">
        <v>190</v>
      </c>
    </row>
    <row r="6230" spans="1:5" x14ac:dyDescent="0.2">
      <c r="A6230">
        <v>6169</v>
      </c>
      <c r="B6230" s="138">
        <f>'Acct Summary 7-8'!J20</f>
        <v>22458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22458</v>
      </c>
      <c r="D6263" s="2" t="str">
        <f t="shared" si="96"/>
        <v>Error?</v>
      </c>
      <c r="E6263" s="2" t="s">
        <v>190</v>
      </c>
    </row>
    <row r="6264" spans="1:5" x14ac:dyDescent="0.2">
      <c r="A6264">
        <v>6203</v>
      </c>
      <c r="B6264" s="138">
        <f>'Acct Summary 7-8'!J79</f>
        <v>166935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189393</v>
      </c>
      <c r="D6266" s="2" t="str">
        <f t="shared" si="96"/>
        <v>Error?</v>
      </c>
      <c r="E6266" s="2" t="s">
        <v>190</v>
      </c>
    </row>
    <row r="6267" spans="1:5" x14ac:dyDescent="0.2">
      <c r="A6267">
        <v>6206</v>
      </c>
      <c r="B6267" s="138">
        <f>'Acct Summary 7-8'!C82</f>
        <v>114504</v>
      </c>
      <c r="D6267" s="2" t="str">
        <f t="shared" si="96"/>
        <v>Error?</v>
      </c>
      <c r="E6267" s="2" t="s">
        <v>190</v>
      </c>
    </row>
    <row r="6268" spans="1:5" x14ac:dyDescent="0.2">
      <c r="A6268">
        <v>6207</v>
      </c>
      <c r="B6268" s="138">
        <f>'Acct Summary 7-8'!D82</f>
        <v>-34836</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18643</v>
      </c>
      <c r="D6270" s="2" t="str">
        <f t="shared" si="96"/>
        <v>Error?</v>
      </c>
      <c r="E6270" s="2" t="s">
        <v>190</v>
      </c>
    </row>
    <row r="6271" spans="1:5" x14ac:dyDescent="0.2">
      <c r="A6271">
        <v>6210</v>
      </c>
      <c r="B6271" s="138">
        <f>'Acct Summary 7-8'!G82</f>
        <v>-23142</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-134116</v>
      </c>
      <c r="D6273" s="2" t="str">
        <f t="shared" si="97"/>
        <v>Error?</v>
      </c>
      <c r="E6273" s="2" t="s">
        <v>190</v>
      </c>
    </row>
    <row r="6274" spans="1:5" x14ac:dyDescent="0.2">
      <c r="A6274">
        <v>6213</v>
      </c>
      <c r="B6274" s="138">
        <f>'Acct Summary 7-8'!J82</f>
        <v>22458</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0.32956481694681095</v>
      </c>
      <c r="D6276" s="2" t="str">
        <f t="shared" si="97"/>
        <v>Error?</v>
      </c>
      <c r="E6276" s="2" t="s">
        <v>190</v>
      </c>
    </row>
    <row r="6277" spans="1:5" x14ac:dyDescent="0.2">
      <c r="A6277">
        <v>6216</v>
      </c>
      <c r="B6277" s="138">
        <f>'Acct Summary 7-8'!D83</f>
        <v>-0.2815803938051667</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8.3812872017119525E-2</v>
      </c>
      <c r="D6279" s="2" t="str">
        <f t="shared" si="97"/>
        <v>Error?</v>
      </c>
      <c r="E6279" s="2" t="s">
        <v>190</v>
      </c>
    </row>
    <row r="6280" spans="1:5" x14ac:dyDescent="0.2">
      <c r="A6280">
        <v>6219</v>
      </c>
      <c r="B6280" s="138">
        <f>'Acct Summary 7-8'!G83</f>
        <v>-0.11062141491395794</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-8.2705969412925509</v>
      </c>
      <c r="D6282" s="2" t="str">
        <f t="shared" si="97"/>
        <v>Error?</v>
      </c>
      <c r="E6282" s="2" t="s">
        <v>190</v>
      </c>
    </row>
    <row r="6283" spans="1:5" x14ac:dyDescent="0.2">
      <c r="A6283">
        <v>6222</v>
      </c>
      <c r="B6283" s="138">
        <f>'Acct Summary 7-8'!J83</f>
        <v>0.11857882815098762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98038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98038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694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694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98732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27101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30701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1934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1934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1934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76274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1934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98732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51</v>
      </c>
      <c r="D7073" s="2" t="str">
        <f t="shared" si="109"/>
        <v>Error?</v>
      </c>
    </row>
    <row r="7074" spans="1:4" x14ac:dyDescent="0.2">
      <c r="A7074">
        <v>7013</v>
      </c>
      <c r="B7074" s="138">
        <f>'Expenditures 15-22'!K216</f>
        <v>51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3358</v>
      </c>
      <c r="D7093" s="2" t="str">
        <f t="shared" si="109"/>
        <v>Error?</v>
      </c>
    </row>
    <row r="7094" spans="1:4" x14ac:dyDescent="0.2">
      <c r="A7094">
        <v>7033</v>
      </c>
      <c r="B7094" s="138">
        <f>'Expenditures 15-22'!K254</f>
        <v>3358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8858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8858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17077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17077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42734</v>
      </c>
      <c r="D7172" s="2" t="str">
        <f t="shared" si="111"/>
        <v>Error?</v>
      </c>
    </row>
    <row r="7173" spans="1:4" x14ac:dyDescent="0.2">
      <c r="A7173">
        <v>7112</v>
      </c>
      <c r="B7173" s="138">
        <f>'Expenditures 15-22'!D325</f>
        <v>2520</v>
      </c>
      <c r="D7173" s="2" t="str">
        <f t="shared" si="111"/>
        <v>Error?</v>
      </c>
    </row>
    <row r="7174" spans="1:4" x14ac:dyDescent="0.2">
      <c r="A7174">
        <v>7113</v>
      </c>
      <c r="B7174" s="138">
        <f>'Expenditures 15-22'!E325</f>
        <v>5085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50339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42734</v>
      </c>
      <c r="D7199" s="2" t="str">
        <f t="shared" si="111"/>
        <v>Error?</v>
      </c>
    </row>
    <row r="7200" spans="1:4" x14ac:dyDescent="0.2">
      <c r="A7200">
        <v>7139</v>
      </c>
      <c r="B7200" s="138">
        <f>'Expenditures 15-22'!D330</f>
        <v>2520</v>
      </c>
      <c r="D7200" s="2" t="str">
        <f t="shared" si="111"/>
        <v>Error?</v>
      </c>
    </row>
    <row r="7201" spans="1:4" x14ac:dyDescent="0.2">
      <c r="A7201">
        <v>7140</v>
      </c>
      <c r="B7201" s="138">
        <f>'Expenditures 15-22'!E330</f>
        <v>31020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76274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42734</v>
      </c>
      <c r="D7216" s="2" t="str">
        <f t="shared" si="111"/>
        <v>Error?</v>
      </c>
    </row>
    <row r="7217" spans="1:4" x14ac:dyDescent="0.2">
      <c r="A7217">
        <v>7156</v>
      </c>
      <c r="B7217" s="138">
        <f>'Expenditures 15-22'!D342</f>
        <v>2520</v>
      </c>
      <c r="D7217" s="2" t="str">
        <f t="shared" si="111"/>
        <v>Error?</v>
      </c>
    </row>
    <row r="7218" spans="1:4" x14ac:dyDescent="0.2">
      <c r="A7218">
        <v>7157</v>
      </c>
      <c r="B7218" s="138">
        <f>'Expenditures 15-22'!E342</f>
        <v>31020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76274</v>
      </c>
      <c r="D7224" s="2" t="str">
        <f t="shared" si="111"/>
        <v>Error?</v>
      </c>
    </row>
    <row r="7225" spans="1:4" x14ac:dyDescent="0.2">
      <c r="A7225">
        <v>7164</v>
      </c>
      <c r="B7225" s="138">
        <f>'Expenditures 15-22'!K343</f>
        <v>22458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2193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1407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1934</v>
      </c>
      <c r="D7624" s="2" t="str">
        <f t="shared" si="124"/>
        <v>Error?</v>
      </c>
      <c r="E7624" s="2" t="s">
        <v>19</v>
      </c>
    </row>
    <row r="7625" spans="1:5" x14ac:dyDescent="0.2">
      <c r="A7625">
        <f t="shared" si="123"/>
        <v>7564</v>
      </c>
      <c r="B7625" s="138">
        <f>'Cap Outlay Deprec 26'!I17</f>
        <v>193.4</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68464.399999999994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6048</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150000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18645</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13" sqref="A13:H1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1989</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St Rose SD 14-15</v>
      </c>
      <c r="B7" s="2383"/>
      <c r="C7" s="2383"/>
      <c r="D7" s="2420"/>
      <c r="E7" s="2421">
        <f>COVER!A13</f>
        <v>13014141502</v>
      </c>
      <c r="F7" s="2422"/>
      <c r="G7" s="2389" t="str">
        <f>COVER!T23</f>
        <v>066-005248</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Moore &amp; Simonin, PC</v>
      </c>
      <c r="H9" s="2396"/>
      <c r="I9" s="2396"/>
      <c r="J9" s="2396"/>
      <c r="K9" s="2396"/>
      <c r="L9" s="2397"/>
    </row>
    <row r="10" spans="1:29" ht="13.5" customHeight="1" x14ac:dyDescent="0.2">
      <c r="A10" s="2379">
        <f>COVER!A38</f>
        <v>0</v>
      </c>
      <c r="B10" s="2380"/>
      <c r="C10" s="2380"/>
      <c r="D10" s="2380"/>
      <c r="E10" s="2380"/>
      <c r="F10" s="2381"/>
      <c r="G10" s="2395" t="str">
        <f>COVER!T17</f>
        <v>3636 North Belt West</v>
      </c>
      <c r="H10" s="2408"/>
      <c r="I10" s="2408"/>
      <c r="J10" s="2408"/>
      <c r="K10" s="2408"/>
      <c r="L10" s="2409"/>
    </row>
    <row r="11" spans="1:29" ht="13.5" customHeight="1" x14ac:dyDescent="0.2">
      <c r="A11" s="1184" t="s">
        <v>1519</v>
      </c>
      <c r="B11" s="1185"/>
      <c r="C11" s="1186"/>
      <c r="D11" s="1191"/>
      <c r="E11" s="1186"/>
      <c r="F11" s="1190"/>
      <c r="G11" s="2395" t="str">
        <f>COVER!T19</f>
        <v>Belleville</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mooresimonin@mrsaccountants.com</v>
      </c>
      <c r="J13" s="2417"/>
      <c r="K13" s="2417"/>
      <c r="L13" s="2418"/>
    </row>
    <row r="14" spans="1:29" ht="13.5" customHeight="1" x14ac:dyDescent="0.2">
      <c r="A14" s="2395" t="str">
        <f>COVER!A19</f>
        <v>19004 St. Rose Rd</v>
      </c>
      <c r="B14" s="2408"/>
      <c r="C14" s="2408"/>
      <c r="D14" s="2408"/>
      <c r="E14" s="2408"/>
      <c r="F14" s="2409"/>
      <c r="G14" s="1195" t="s">
        <v>1185</v>
      </c>
      <c r="H14" s="1193"/>
      <c r="I14" s="1193"/>
      <c r="J14" s="1193"/>
      <c r="K14" s="1193"/>
      <c r="L14" s="1194"/>
    </row>
    <row r="15" spans="1:29" ht="13.5" customHeight="1" x14ac:dyDescent="0.2">
      <c r="A15" s="2395" t="str">
        <f>COVER!A21</f>
        <v>St. Rose</v>
      </c>
      <c r="B15" s="2408"/>
      <c r="C15" s="2408"/>
      <c r="D15" s="2408"/>
      <c r="E15" s="2408"/>
      <c r="F15" s="2409"/>
      <c r="G15" s="2405" t="str">
        <f>COVER!T15</f>
        <v>Robert E. Moore, CPA</v>
      </c>
      <c r="H15" s="2406"/>
      <c r="I15" s="2406"/>
      <c r="J15" s="2406"/>
      <c r="K15" s="2406"/>
      <c r="L15" s="2407"/>
    </row>
    <row r="16" spans="1:29" ht="12.2" customHeight="1" x14ac:dyDescent="0.2">
      <c r="A16" s="2385">
        <f>COVER!A25</f>
        <v>62230</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618-233-5049</v>
      </c>
      <c r="H18" s="2383"/>
      <c r="I18" s="2383"/>
      <c r="J18" s="2383"/>
      <c r="K18" s="2382" t="str">
        <f>COVER!X21</f>
        <v>618-233-1061</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13" sqref="A13:H1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St Rose SD 14-15</v>
      </c>
      <c r="B1" s="2419"/>
      <c r="C1" s="2419"/>
      <c r="D1" s="2419"/>
    </row>
    <row r="2" spans="1:11" s="1212" customFormat="1" ht="12.75" x14ac:dyDescent="0.2">
      <c r="A2" s="2424">
        <f>'Single Audit Cover'!E7</f>
        <v>13014141502</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13" sqref="A13:H1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St Rose SD 14-15</v>
      </c>
      <c r="B1" s="2427"/>
      <c r="C1" s="2427"/>
      <c r="D1" s="2427"/>
      <c r="E1" s="2427"/>
    </row>
    <row r="2" spans="1:5" x14ac:dyDescent="0.2">
      <c r="A2" s="2428">
        <f>'Single Audit Cover'!E7</f>
        <v>13014141502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98733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7262</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-7127</v>
      </c>
    </row>
    <row r="19" spans="1:4" ht="13.5" thickBot="1" x14ac:dyDescent="0.25">
      <c r="A19" s="1262" t="s">
        <v>1235</v>
      </c>
      <c r="D19" s="1263">
        <f>SUM(D10:D17)</f>
        <v>98868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98868</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98868</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13" sqref="A13:H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St Rose SD 14-15</v>
      </c>
      <c r="C1" s="2431"/>
      <c r="D1" s="2431"/>
      <c r="E1" s="2431"/>
      <c r="F1" s="2431"/>
      <c r="G1" s="2431"/>
      <c r="H1" s="2431"/>
      <c r="I1" s="2431"/>
      <c r="J1" s="2431"/>
      <c r="K1" s="2431"/>
      <c r="L1" s="2431"/>
      <c r="M1" s="2431"/>
    </row>
    <row r="2" spans="2:14" ht="15" x14ac:dyDescent="0.2">
      <c r="B2" s="2432">
        <f>'Single Audit Cover'!E7</f>
        <v>13014141502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13" sqref="A13:H1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St Rose SD 14-15</v>
      </c>
      <c r="B1" s="2436"/>
      <c r="C1" s="2436"/>
      <c r="D1" s="2436"/>
      <c r="E1" s="2436"/>
      <c r="F1" s="2436"/>
    </row>
    <row r="2" spans="1:7" ht="13.5" customHeight="1" x14ac:dyDescent="0.2">
      <c r="A2" s="2432">
        <f>'Single Audit Cover'!E7</f>
        <v>13014141502</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1729</v>
      </c>
      <c r="B7" s="2435"/>
      <c r="C7" s="2435"/>
      <c r="D7" s="2435"/>
      <c r="E7" s="2435"/>
      <c r="F7" s="243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1731</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3" sqref="A13:H13"/>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St Rose SD 14-15</v>
      </c>
      <c r="C1" s="2452"/>
      <c r="D1" s="2452"/>
      <c r="E1" s="2452"/>
      <c r="F1" s="2452"/>
      <c r="G1" s="2452"/>
      <c r="H1" s="2452"/>
      <c r="I1" s="2452"/>
      <c r="J1" s="1406"/>
    </row>
    <row r="2" spans="2:10" s="317" customFormat="1" ht="12.75" customHeight="1" x14ac:dyDescent="0.2">
      <c r="B2" s="2453">
        <f>'Single Audit Cover'!E7</f>
        <v>13014141502</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9" t="s">
        <v>1751</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1841</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St Rose SD 14-15</v>
      </c>
      <c r="C1" s="2451"/>
      <c r="D1" s="2451"/>
      <c r="E1" s="2451"/>
      <c r="F1" s="2451"/>
      <c r="G1" s="2451"/>
      <c r="H1" s="2451"/>
      <c r="I1" s="2451"/>
      <c r="J1" s="2451"/>
      <c r="K1" s="2451"/>
      <c r="L1" s="1371"/>
      <c r="M1" s="1371"/>
    </row>
    <row r="2" spans="1:13" ht="12" customHeight="1" x14ac:dyDescent="0.2">
      <c r="B2" s="2453">
        <f>'Single Audit Cover'!E7</f>
        <v>13014141502</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St Rose SD 14-15</v>
      </c>
      <c r="C1" s="2478"/>
      <c r="D1" s="2478"/>
      <c r="E1" s="2478"/>
      <c r="F1" s="2478"/>
      <c r="G1" s="2478"/>
      <c r="H1" s="2478"/>
      <c r="I1" s="2478"/>
      <c r="J1" s="2478"/>
      <c r="K1" s="2478"/>
      <c r="L1" s="1449"/>
    </row>
    <row r="2" spans="1:12" ht="12.75" customHeight="1" x14ac:dyDescent="0.2">
      <c r="B2" s="2479">
        <f>'Single Audit Cover'!E7</f>
        <v>13014141502</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St Rose SD 14-15</v>
      </c>
      <c r="C1" s="2451"/>
      <c r="D1" s="2451"/>
      <c r="E1" s="1469"/>
    </row>
    <row r="2" spans="2:5" s="1279" customFormat="1" ht="12.75" customHeight="1" x14ac:dyDescent="0.2">
      <c r="B2" s="2453">
        <f>'Single Audit Cover'!E7</f>
        <v>13014141502</v>
      </c>
      <c r="C2" s="2453"/>
      <c r="D2" s="2453"/>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purl.org/dc/elements/1.1/"/>
    <ds:schemaRef ds:uri="http://schemas.microsoft.com/office/2006/metadata/properties"/>
    <ds:schemaRef ds:uri="d21dc803-237d-4c68-8692-8d731fd29118"/>
    <ds:schemaRef ds:uri="http://schemas.microsoft.com/sharepoint/v3"/>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2019-10-21T19:28:28Z</cp:lastPrinted>
  <dcterms:created xsi:type="dcterms:W3CDTF">2003-10-29T19:06:34Z</dcterms:created>
  <dcterms:modified xsi:type="dcterms:W3CDTF">2019-10-21T19:48:41Z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