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2B15666-A4F4-4FBD-B5CC-E7FD4E9D482A}" xr6:coauthVersionLast="36" xr6:coauthVersionMax="36" xr10:uidLastSave="{00000000-0000-0000-0000-000000000000}"/>
  <bookViews>
    <workbookView xWindow="-15" yWindow="13650" windowWidth="2424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8" i="127" l="1"/>
  <c r="H10" i="127"/>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F31" i="108"/>
  <c r="F36" i="108"/>
  <c r="F37" i="108"/>
  <c r="G28" i="108"/>
  <c r="E29" i="108"/>
  <c r="G29"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D7245" i="106" l="1"/>
  <c r="D6103" i="106"/>
  <c r="K41" i="3"/>
  <c r="B3568" i="106" s="1"/>
  <c r="D3568" i="106" s="1"/>
  <c r="L15" i="11"/>
  <c r="B3459" i="106" s="1"/>
  <c r="D3459" i="106" s="1"/>
  <c r="B3254" i="106"/>
  <c r="D3254" i="106" s="1"/>
  <c r="I24" i="12"/>
  <c r="B1308" i="106"/>
  <c r="D1308" i="106" s="1"/>
  <c r="E174" i="29"/>
  <c r="B1309" i="106" s="1"/>
  <c r="D1309" i="106" s="1"/>
  <c r="L13" i="11"/>
  <c r="B2060" i="106" s="1"/>
  <c r="D2060" i="106" s="1"/>
  <c r="N22" i="3"/>
  <c r="B283" i="106" s="1"/>
  <c r="D283" i="106" s="1"/>
  <c r="F19" i="7"/>
  <c r="B1807" i="106" s="1"/>
  <c r="D1807" i="106" s="1"/>
  <c r="L342" i="29"/>
  <c r="E28" i="108"/>
  <c r="F28" i="108"/>
  <c r="F41" i="108" s="1"/>
  <c r="G43" i="108" s="1"/>
  <c r="G30" i="108"/>
  <c r="E30" i="108"/>
  <c r="D9" i="7"/>
  <c r="B1767" i="106" s="1"/>
  <c r="D1767" i="106" s="1"/>
  <c r="K28" i="118"/>
  <c r="O27" i="118" s="1"/>
  <c r="O29" i="118" s="1"/>
  <c r="D54" i="36"/>
  <c r="D52" i="36"/>
  <c r="D11" i="37"/>
  <c r="B4268" i="106"/>
  <c r="D4268" i="106" s="1"/>
  <c r="D17" i="7"/>
  <c r="B4104" i="106" s="1"/>
  <c r="D4104" i="106" s="1"/>
  <c r="G15" i="145"/>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D7254" i="106"/>
  <c r="D7256" i="106"/>
  <c r="D7251" i="106"/>
  <c r="D7250" i="106"/>
  <c r="L114" i="29"/>
  <c r="B1996" i="106"/>
  <c r="D1996" i="106" s="1"/>
  <c r="I26" i="12"/>
  <c r="B7741" i="106" s="1"/>
  <c r="D7741" i="106" s="1"/>
  <c r="L16" i="11"/>
  <c r="B2061" i="106" s="1"/>
  <c r="D2061" i="106" s="1"/>
  <c r="N23" i="3"/>
  <c r="B284" i="106" s="1"/>
  <c r="D284" i="106" s="1"/>
  <c r="K342" i="29"/>
  <c r="F13" i="34" s="1"/>
  <c r="C114" i="29"/>
  <c r="B757" i="106" s="1"/>
  <c r="D757" i="106" s="1"/>
  <c r="F174" i="34"/>
  <c r="B5527" i="106"/>
  <c r="D5527" i="106" s="1"/>
  <c r="D44"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19" i="4" l="1"/>
  <c r="B6229" i="106" s="1"/>
  <c r="D6229" i="106" s="1"/>
  <c r="J20" i="4"/>
  <c r="J10" i="4"/>
  <c r="B6225" i="106" s="1"/>
  <c r="D62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<sst xmlns="http://schemas.openxmlformats.org/spreadsheetml/2006/main" count="5073" uniqueCount="2100">
  <si>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</si>
  <si>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</si>
  <si>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</si>
  <si>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</si>
  <si>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</si>
  <si>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</si>
  <si>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</si>
  <si>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</si>
  <si>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</si>
  <si>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</si>
  <si>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</si>
  <si>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</si>
  <si>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</si>
  <si>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</si>
  <si>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</si>
  <si>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</si>
  <si>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</si>
  <si>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</si>
  <si>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</si>
  <si>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</si>
  <si>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</si>
  <si>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</si>
  <si>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</si>
  <si>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</si>
  <si>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</si>
  <si>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</si>
  <si>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</si>
  <si>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</si>
  <si>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</si>
  <si>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</si>
  <si>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</si>
  <si>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</si>
  <si>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</si>
  <si>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</si>
  <si>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</si>
  <si>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</si>
  <si>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</si>
  <si>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</si>
  <si>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</si>
  <si>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</si>
  <si>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</si>
  <si>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</si>
  <si>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</si>
  <si>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</si>
  <si>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</si>
  <si>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</si>
  <si>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</si>
  <si>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</si>
  <si>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</si>
  <si>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</si>
  <si>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</si>
  <si>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</si>
  <si>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</si>
  <si>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</si>
  <si>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</si>
  <si>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</si>
  <si>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</si>
  <si>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</si>
  <si>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</si>
  <si>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</si>
  <si>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</si>
  <si>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</si>
  <si>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</si>
  <si>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</si>
  <si>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</si>
  <si>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</si>
  <si>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</si>
  <si>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</si>
  <si>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</si>
  <si>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</si>
  <si>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</si>
  <si>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</si>
  <si>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</si>
  <si>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</si>
  <si>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</si>
  <si>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</si>
  <si>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</si>
  <si>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</si>
  <si>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</si>
  <si>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</si>
  <si>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</si>
  <si>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</si>
  <si>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</si>
  <si>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</si>
  <si>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</si>
  <si>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</si>
  <si>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</si>
  <si>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</si>
  <si>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</si>
  <si>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</si>
  <si>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</si>
  <si>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</si>
  <si>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</si>
  <si>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</si>
  <si>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</si>
  <si>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</si>
  <si>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</si>
  <si>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</si>
  <si>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</si>
  <si>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</si>
  <si>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</si>
  <si>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</si>
  <si>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</si>
  <si>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</si>
  <si>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</si>
  <si>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</si>
  <si>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</si>
  <si>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</si>
  <si>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</si>
  <si>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</si>
  <si>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</si>
  <si>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</si>
  <si>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</si>
  <si>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</si>
  <si>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</si>
  <si>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</si>
  <si>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</si>
  <si>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</si>
  <si>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</si>
  <si>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</si>
  <si>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</si>
  <si>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</si>
  <si>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</si>
  <si>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</si>
  <si>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</si>
  <si>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</si>
  <si>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</si>
  <si>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</si>
  <si>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</si>
  <si>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</si>
  <si>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</si>
  <si>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</si>
  <si>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</si>
  <si>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</si>
  <si>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</si>
  <si>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</si>
  <si>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</si>
  <si>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</si>
  <si>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</si>
  <si>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</si>
  <si>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</si>
  <si>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</si>
  <si>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</si>
  <si>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</si>
  <si>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</si>
  <si>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</si>
  <si>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</si>
  <si>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</si>
  <si>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</si>
  <si>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</si>
  <si>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</si>
  <si>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</si>
  <si>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</si>
  <si>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</si>
  <si>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</si>
  <si>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</si>
  <si>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</si>
  <si>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</si>
  <si>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</si>
  <si>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</si>
  <si>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</si>
  <si>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</si>
  <si>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</si>
  <si>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</si>
  <si>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</si>
  <si>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</si>
  <si>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</si>
  <si>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</si>
  <si>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</si>
  <si>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</si>
  <si>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</si>
  <si>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</si>
  <si>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</si>
  <si>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</si>
  <si>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</si>
  <si>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</si>
  <si>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</si>
  <si>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</si>
  <si>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</si>
  <si>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</si>
  <si>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</si>
  <si>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</si>
  <si>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</si>
  <si>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</si>
  <si>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</si>
  <si>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</si>
  <si>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</si>
  <si>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</si>
  <si>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</si>
  <si>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</si>
  <si>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</si>
  <si>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</si>
  <si>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</si>
  <si>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</si>
  <si>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</si>
  <si>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</si>
  <si>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</si>
  <si>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</si>
  <si>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</si>
  <si>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</si>
  <si>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</si>
  <si>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</si>
  <si>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</si>
  <si>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</si>
  <si>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</si>
  <si>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</si>
  <si>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</si>
  <si>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</si>
  <si>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</si>
  <si>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</si>
  <si>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</si>
  <si>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</si>
  <si>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</si>
  <si>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</si>
  <si>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</si>
  <si>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</si>
  <si>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</si>
  <si>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</si>
  <si>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</si>
  <si>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</si>
  <si>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</si>
  <si>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</si>
  <si>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</si>
  <si>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</si>
  <si>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</si>
  <si>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</si>
  <si>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</si>
  <si>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</si>
  <si>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</si>
  <si>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</si>
  <si>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</si>
  <si>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</si>
  <si>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</si>
  <si>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</si>
  <si>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</si>
  <si>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</si>
  <si>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</si>
  <si>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</si>
  <si>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</si>
  <si>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</si>
  <si>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</si>
  <si>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</si>
  <si>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</si>
  <si>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</si>
  <si>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</si>
  <si>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</si>
  <si>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</si>
  <si>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</si>
  <si>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</si>
  <si>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</si>
  <si>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</si>
  <si>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</si>
  <si>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</si>
  <si>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</si>
  <si>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</si>
  <si>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</si>
  <si>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</si>
  <si>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</si>
  <si>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</si>
  <si>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</si>
  <si>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</si>
  <si>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</si>
  <si>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</si>
  <si>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</si>
  <si>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</si>
  <si>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</si>
  <si>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</si>
  <si>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</si>
  <si>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</si>
  <si>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</si>
  <si>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</si>
  <si>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</si>
  <si>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</si>
  <si>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</si>
  <si>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</si>
  <si>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</si>
  <si>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</si>
  <si>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</si>
  <si>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</si>
  <si>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</si>
  <si>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</si>
  <si>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</si>
  <si>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</si>
  <si>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</si>
  <si>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</si>
  <si>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</si>
  <si>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</si>
  <si>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</si>
  <si>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</si>
  <si>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</si>
  <si>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</si>
  <si>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</si>
  <si>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</si>
  <si>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</si>
  <si>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</si>
  <si>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</si>
  <si>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</si>
  <si>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</si>
  <si>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</si>
  <si>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</si>
  <si>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</si>
  <si>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</si>
  <si>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</si>
  <si>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</si>
  <si>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</si>
  <si>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</si>
  <si>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</si>
  <si>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</si>
  <si>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</si>
  <si>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</si>
  <si>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</si>
  <si>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</si>
  <si>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</si>
  <si>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</si>
  <si>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</si>
  <si>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</si>
  <si>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</si>
  <si>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</si>
  <si>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</si>
  <si>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</si>
  <si>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</si>
  <si>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</si>
  <si>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</si>
  <si>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</si>
  <si>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</si>
  <si>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</si>
  <si>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</si>
  <si>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</si>
  <si>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</si>
  <si>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</si>
  <si>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</si>
  <si>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</si>
  <si>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</si>
  <si>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</si>
  <si>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</si>
  <si>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</si>
  <si>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</si>
  <si>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</si>
  <si>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</si>
  <si>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</si>
  <si>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</si>
  <si>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</si>
  <si>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</si>
  <si>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</si>
  <si>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</si>
  <si>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</si>
  <si>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</si>
  <si>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</si>
  <si>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</si>
  <si>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</si>
  <si>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</si>
  <si>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</si>
  <si>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</si>
  <si>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</si>
  <si>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</si>
  <si>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</si>
  <si>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</si>
  <si>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</si>
  <si>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</si>
  <si>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</si>
  <si>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</si>
  <si>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</si>
  <si>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</si>
  <si>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</si>
  <si>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</si>
  <si>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</si>
  <si>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</si>
  <si>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</si>
  <si>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</si>
  <si>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</si>
  <si>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</si>
  <si>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</si>
  <si>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</si>
  <si>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</si>
  <si>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</si>
  <si>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</si>
  <si>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</si>
  <si>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</si>
  <si>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</si>
  <si>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</si>
  <si>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</si>
  <si>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</si>
  <si>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</si>
  <si>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</si>
  <si>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</si>
  <si>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</si>
  <si>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</si>
  <si>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</si>
  <si>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</si>
  <si>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</si>
  <si>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</si>
  <si>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</si>
  <si>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</si>
  <si>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</si>
  <si>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</si>
  <si>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</si>
  <si>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</si>
  <si>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</si>
  <si>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</si>
  <si>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</si>
  <si>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</si>
  <si>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</si>
  <si>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</si>
  <si>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</si>
  <si>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</si>
  <si>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</si>
  <si>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</si>
  <si>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</si>
  <si>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</si>
  <si>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</si>
  <si>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</si>
  <si>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</si>
  <si>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</si>
  <si>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</si>
  <si>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</si>
  <si>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</si>
  <si>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</si>
  <si>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</si>
  <si>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</si>
  <si>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</si>
  <si>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</si>
  <si>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</si>
  <si>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</si>
  <si>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</si>
  <si>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</si>
  <si>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</si>
  <si>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</si>
  <si>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</si>
  <si>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</si>
  <si>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</si>
  <si>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</si>
  <si>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</si>
  <si>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</si>
  <si>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</si>
  <si>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</si>
  <si>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</si>
  <si>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</si>
  <si>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</si>
  <si>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</si>
  <si>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</si>
  <si>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</si>
  <si>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</si>
  <si>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</si>
  <si>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</si>
  <si>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</si>
  <si>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</si>
  <si>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</si>
  <si>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</si>
  <si>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</si>
  <si>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</si>
  <si>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</si>
  <si>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</si>
  <si>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</si>
  <si>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</si>
  <si>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</si>
  <si>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</si>
  <si>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</si>
  <si>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</si>
  <si>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</si>
  <si>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</si>
  <si>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</si>
  <si>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</si>
  <si>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</si>
  <si>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</si>
  <si>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</si>
  <si>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</si>
  <si>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</si>
  <si>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</si>
  <si>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</si>
  <si>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</si>
  <si>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</si>
  <si>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</si>
  <si>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</si>
  <si>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</si>
  <si>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</si>
  <si>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</si>
  <si>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</si>
  <si>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</si>
  <si>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</si>
  <si>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</si>
  <si>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</si>
  <si>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</si>
  <si>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</si>
  <si>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</si>
  <si>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</si>
  <si>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</si>
  <si>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</si>
  <si>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</si>
  <si>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</si>
  <si>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</si>
  <si>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</si>
  <si>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</si>
  <si>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</si>
  <si>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</si>
  <si>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</si>
  <si>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</si>
  <si>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</si>
  <si>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</si>
  <si>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</si>
  <si>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</si>
  <si>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</si>
  <si>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</si>
  <si>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</si>
  <si>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</si>
  <si>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</si>
  <si>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</si>
  <si>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</si>
  <si>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</si>
  <si>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</si>
  <si>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</si>
  <si>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</si>
  <si>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</si>
  <si>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</si>
  <si>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</si>
  <si>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</si>
  <si>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</si>
  <si>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</si>
  <si>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</si>
  <si>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</si>
  <si>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</si>
  <si>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</si>
  <si>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</si>
  <si>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</si>
  <si>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</si>
  <si>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</si>
  <si>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</si>
  <si>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</si>
  <si>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</si>
  <si>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</si>
  <si>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</si>
  <si>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</si>
  <si>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</si>
  <si>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</si>
  <si>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</si>
  <si>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</si>
  <si>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</si>
  <si>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</si>
  <si>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</si>
  <si>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</si>
  <si>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</si>
  <si>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</si>
  <si>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</si>
  <si>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</si>
  <si>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</si>
  <si>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</si>
  <si>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</si>
  <si>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</si>
  <si>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</si>
  <si>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</si>
  <si>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</si>
  <si>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</si>
  <si>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</si>
  <si>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</si>
  <si>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</si>
  <si>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</si>
  <si>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</si>
  <si>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</si>
  <si>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</si>
  <si>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</si>
  <si>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</si>
  <si>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</si>
  <si>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</si>
  <si>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</si>
  <si>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</si>
  <si>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</si>
  <si>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</si>
  <si>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</si>
  <si>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</si>
  <si>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</si>
  <si>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</si>
  <si>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</si>
  <si>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</si>
  <si>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</si>
  <si>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</si>
  <si>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</si>
  <si>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</si>
  <si>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</si>
  <si>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</si>
  <si>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</si>
  <si>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</si>
  <si>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</si>
  <si>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</si>
  <si>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</si>
  <si>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</si>
  <si>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</si>
  <si>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</si>
  <si>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</si>
  <si>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</si>
  <si>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</si>
  <si>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</si>
  <si>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</si>
  <si>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</si>
  <si>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</si>
  <si>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</si>
  <si>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</si>
  <si>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</si>
  <si>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</si>
  <si>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</si>
  <si>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</si>
  <si>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</si>
  <si>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</si>
  <si>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</si>
  <si>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</si>
  <si>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</si>
  <si>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</si>
  <si>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</si>
  <si>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</si>
  <si>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</si>
  <si>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</si>
  <si>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</si>
  <si>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</si>
  <si>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</si>
  <si>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</si>
  <si>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</si>
  <si>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</si>
  <si>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</si>
  <si>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</si>
  <si>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</si>
  <si>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</si>
  <si>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</si>
  <si>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</si>
  <si>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</si>
  <si>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</si>
  <si>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</si>
  <si>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</si>
  <si>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</si>
  <si>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</si>
  <si>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</si>
  <si>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</si>
  <si>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</si>
  <si>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</si>
  <si>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</si>
  <si>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</si>
  <si>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</si>
  <si>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</si>
  <si>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</si>
  <si>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</si>
  <si>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</si>
  <si>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</si>
  <si>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</si>
  <si>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</si>
  <si>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</si>
  <si>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</si>
  <si>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</si>
  <si>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</si>
  <si>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</si>
  <si>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</si>
  <si>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</si>
  <si>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</si>
  <si>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</si>
  <si>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</si>
  <si>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</si>
  <si>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</si>
  <si>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</si>
  <si>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</si>
  <si>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</si>
  <si>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</si>
  <si>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</si>
  <si>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</si>
  <si>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</si>
  <si>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</si>
  <si>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</si>
  <si>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</si>
  <si>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</si>
  <si>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</si>
  <si>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</si>
  <si>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</si>
  <si>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</si>
  <si>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</si>
  <si>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</si>
  <si>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</si>
  <si>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</si>
  <si>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</si>
  <si>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</si>
  <si>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</si>
  <si>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</si>
  <si>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</si>
  <si>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</si>
  <si>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</si>
  <si>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</si>
  <si>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</si>
  <si>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</si>
  <si>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</si>
  <si>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</si>
  <si>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</si>
  <si>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</si>
  <si>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</si>
  <si>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</si>
  <si>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</si>
  <si>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</si>
  <si>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</si>
  <si>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</si>
  <si>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</si>
  <si>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</si>
  <si>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</si>
  <si>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</si>
  <si>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</si>
  <si>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</si>
  <si>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</si>
  <si>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</si>
  <si>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</si>
  <si>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</si>
  <si>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</si>
  <si>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</si>
  <si>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</si>
  <si>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</si>
  <si>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</si>
  <si>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</si>
  <si>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</si>
  <si>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</si>
  <si>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</si>
  <si>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</si>
  <si>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</si>
  <si>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</si>
  <si>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</si>
  <si>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</si>
  <si>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</si>
  <si>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</si>
  <si>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</si>
  <si>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</si>
  <si>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</si>
  <si>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</si>
  <si>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</si>
  <si>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</si>
  <si>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</si>
  <si>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</si>
  <si>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</si>
  <si>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</si>
  <si>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</si>
  <si>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</si>
  <si>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</si>
  <si>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</si>
  <si>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</si>
  <si>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</si>
  <si>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</si>
  <si>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</si>
  <si>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</si>
  <si>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</si>
  <si>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</si>
  <si>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</si>
  <si>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</si>
  <si>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</si>
  <si>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</si>
  <si>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</si>
  <si>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</si>
  <si>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</si>
  <si>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</si>
  <si>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</si>
  <si>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</si>
  <si>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</si>
  <si>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</si>
  <si>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</si>
  <si>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</si>
  <si>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</si>
  <si>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</si>
  <si>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</si>
  <si>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</si>
  <si>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</si>
  <si>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</si>
  <si>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</si>
  <si>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</si>
  <si>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</si>
  <si>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</si>
  <si>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</si>
  <si>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</si>
  <si>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</si>
  <si>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</si>
  <si>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</si>
  <si>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</si>
  <si>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</si>
  <si>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</si>
  <si>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</si>
  <si>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</si>
  <si>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</si>
  <si>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</si>
  <si>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</si>
  <si>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</si>
  <si>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</si>
  <si>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</si>
  <si>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</si>
  <si>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</si>
  <si>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</si>
  <si>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</si>
  <si>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</si>
  <si>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</si>
  <si>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</si>
  <si>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</si>
  <si>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</si>
  <si>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</si>
  <si>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</si>
  <si>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</si>
  <si>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</si>
  <si>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</si>
  <si>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</si>
  <si>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</si>
  <si>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</si>
  <si>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</si>
  <si>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</si>
  <si>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</si>
  <si>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</si>
  <si>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</si>
  <si>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</si>
  <si>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</si>
  <si>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</si>
  <si>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</si>
  <si>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</si>
  <si>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</si>
  <si>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</si>
  <si>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</si>
  <si>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</si>
  <si>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</si>
  <si>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</si>
  <si>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</si>
  <si>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</si>
  <si>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</si>
  <si>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</si>
  <si>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</si>
  <si>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</si>
  <si>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</si>
  <si>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</si>
  <si>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</si>
  <si>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</si>
  <si>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</si>
  <si>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</si>
  <si>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</si>
  <si>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</si>
  <si>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</si>
  <si>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</si>
  <si>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</si>
  <si>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</si>
  <si>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</si>
  <si>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</si>
  <si>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</si>
  <si>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</si>
  <si>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</si>
  <si>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</si>
  <si>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</si>
  <si>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</si>
  <si>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</si>
  <si>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</si>
  <si>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</si>
  <si>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</si>
  <si>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</si>
  <si>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</si>
  <si>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</si>
  <si>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</si>
  <si>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</si>
  <si>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</si>
  <si>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</si>
  <si>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</si>
  <si>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</si>
  <si>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</si>
  <si>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</si>
  <si>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</si>
  <si>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</si>
  <si>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</si>
  <si>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</si>
  <si>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</si>
  <si>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</si>
  <si>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</si>
  <si>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</si>
  <si>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</si>
  <si>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</si>
  <si>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</si>
  <si>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</si>
  <si>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</si>
  <si>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</si>
  <si>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</si>
  <si>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</si>
  <si>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</si>
  <si>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</si>
  <si>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</si>
  <si>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</si>
  <si>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</si>
  <si>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</si>
  <si>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</si>
  <si>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</si>
  <si>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</si>
  <si>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</si>
  <si>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</si>
  <si>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</si>
  <si>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</si>
  <si>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</si>
  <si>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</si>
  <si>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</si>
  <si>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</si>
  <si>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</si>
  <si>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</si>
  <si>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</si>
  <si>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</si>
  <si>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</si>
  <si>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</si>
  <si>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</si>
  <si>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</si>
  <si>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</si>
  <si>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</si>
  <si>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</si>
  <si>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</si>
  <si>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</si>
  <si>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</si>
  <si>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</si>
  <si>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</si>
  <si>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</si>
  <si>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</si>
  <si>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</si>
  <si>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</si>
  <si>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</si>
  <si>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</si>
  <si>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</si>
  <si>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</si>
  <si>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</si>
  <si>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</si>
  <si>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</si>
  <si>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</si>
  <si>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</si>
  <si>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</si>
  <si>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</si>
  <si>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</si>
  <si>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</si>
  <si>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</si>
  <si>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</si>
  <si>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</si>
  <si>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</si>
  <si>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</si>
  <si>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</si>
  <si>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</si>
  <si>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</si>
  <si>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</si>
  <si>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</si>
  <si>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</si>
  <si>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</si>
  <si>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</si>
  <si>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</si>
  <si>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</si>
  <si>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</si>
  <si>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</si>
  <si>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</si>
  <si>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</si>
  <si>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</si>
  <si>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</si>
  <si>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</si>
  <si>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</si>
  <si>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</si>
  <si>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</si>
  <si>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</si>
  <si>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</si>
  <si>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</si>
  <si>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</si>
  <si>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</si>
  <si>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</si>
  <si>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</si>
  <si>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</si>
  <si>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</si>
  <si>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</si>
  <si>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</si>
  <si>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</si>
  <si>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</si>
  <si>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</si>
  <si>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</si>
  <si>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</si>
  <si>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</si>
  <si>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</si>
  <si>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</si>
  <si>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</si>
  <si>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</si>
  <si>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</si>
  <si>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</si>
  <si>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</si>
  <si>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</si>
  <si>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</si>
  <si>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</si>
  <si>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</si>
  <si>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</si>
  <si>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</si>
  <si>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</si>
  <si>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</si>
  <si>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</si>
  <si>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</si>
  <si>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</si>
  <si>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</si>
  <si>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</si>
  <si>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</si>
  <si>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</si>
  <si>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</si>
  <si>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</si>
  <si>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</si>
  <si>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</si>
  <si>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</si>
  <si>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</si>
  <si>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</si>
  <si>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</si>
  <si>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</si>
  <si>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</si>
  <si>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</si>
  <si>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</si>
  <si>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</si>
  <si>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</si>
  <si>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</si>
  <si>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</si>
  <si>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</si>
  <si>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</si>
  <si>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</si>
  <si>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</si>
  <si>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</si>
  <si>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</si>
  <si>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</si>
  <si>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</si>
  <si>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</si>
  <si>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</si>
  <si>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</si>
  <si>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</si>
  <si>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</si>
  <si>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</si>
  <si>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</si>
  <si>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</si>
  <si>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</si>
  <si>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</si>
  <si>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</si>
  <si>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</si>
  <si>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</si>
  <si>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</si>
  <si>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</si>
  <si>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</si>
  <si>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</si>
  <si>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</si>
  <si>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</si>
  <si>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</si>
  <si>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</si>
  <si>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</si>
  <si>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</si>
  <si>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</si>
  <si>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</si>
  <si>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</si>
  <si>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</si>
  <si>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</si>
  <si>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</si>
  <si>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</si>
  <si>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</si>
  <si>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</si>
  <si>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</si>
  <si>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</si>
  <si>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</si>
  <si>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</si>
  <si>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</si>
  <si>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</si>
  <si>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</si>
  <si>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</si>
  <si>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</si>
  <si>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</si>
  <si>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</si>
  <si>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</si>
  <si>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</si>
  <si>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</si>
  <si>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</si>
  <si>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</si>
  <si>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</si>
  <si>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</si>
  <si>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</si>
  <si>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</si>
  <si>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</si>
  <si>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</si>
  <si>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</si>
  <si>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</si>
  <si>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</si>
  <si>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</si>
  <si>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</si>
  <si>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</si>
  <si>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</si>
  <si>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</si>
  <si>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</si>
  <si>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</si>
  <si>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</si>
  <si>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</si>
  <si>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</si>
  <si>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</si>
  <si>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</si>
  <si>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</si>
  <si>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</si>
  <si>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</si>
  <si>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</si>
  <si>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</si>
  <si>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</si>
  <si>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</si>
  <si>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</si>
  <si>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</si>
  <si>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</si>
  <si>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</si>
  <si>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</si>
  <si>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</si>
  <si>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</si>
  <si>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</si>
  <si>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</si>
  <si>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</si>
  <si>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</si>
  <si>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</si>
  <si>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</si>
  <si>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</si>
  <si>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</si>
  <si>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</si>
  <si>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</si>
  <si>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</si>
  <si>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</si>
  <si>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</si>
  <si>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</si>
  <si>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</si>
  <si>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</si>
  <si>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</si>
  <si>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</si>
  <si>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</si>
  <si>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</si>
  <si>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</si>
  <si>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</si>
  <si>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</si>
  <si>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</si>
  <si>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</si>
  <si>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</si>
  <si>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</si>
  <si>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</si>
  <si>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</si>
  <si>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</si>
  <si>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</si>
  <si>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</si>
  <si>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</si>
  <si>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</si>
  <si>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</si>
  <si>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</si>
  <si>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</si>
  <si>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</si>
  <si>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</si>
  <si>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</si>
  <si>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</si>
  <si>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</si>
  <si>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</si>
  <si>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</si>
  <si>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</si>
  <si>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</si>
  <si>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</si>
  <si>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</si>
  <si>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</si>
  <si>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</si>
  <si>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</si>
  <si>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</si>
  <si>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</si>
  <si>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</si>
  <si>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</si>
  <si>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</si>
  <si>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</si>
  <si>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</si>
  <si>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</si>
  <si>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</si>
  <si>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</si>
  <si>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</si>
  <si>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</si>
  <si>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</si>
  <si>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</si>
  <si>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</si>
  <si>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</si>
  <si>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</si>
  <si>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</si>
  <si>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</si>
  <si>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</si>
  <si>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</si>
  <si>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</si>
  <si>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</si>
  <si>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</si>
  <si>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</si>
  <si>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</si>
  <si>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</si>
  <si>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</si>
  <si>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</si>
  <si>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</si>
  <si>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</si>
  <si>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</si>
  <si>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</si>
  <si>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</si>
  <si>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</si>
  <si>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</si>
  <si>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</si>
  <si>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</si>
  <si>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</si>
  <si>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</si>
  <si>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</si>
  <si>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</si>
  <si>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</si>
  <si>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</si>
  <si>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</si>
  <si>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</si>
  <si>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</si>
  <si>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</si>
  <si>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</si>
  <si>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</si>
  <si>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</si>
  <si>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</si>
  <si>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</si>
  <si>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</si>
  <si>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</si>
  <si>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</si>
  <si>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</si>
  <si>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</si>
  <si>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</si>
  <si>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</si>
  <si>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</si>
  <si>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</si>
  <si>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</si>
  <si>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</si>
  <si>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</si>
  <si>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</si>
  <si>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</si>
  <si>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</si>
  <si>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</si>
  <si>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</si>
  <si>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</si>
  <si>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</si>
  <si>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</si>
  <si>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</si>
  <si>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</si>
  <si>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</si>
  <si>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</si>
  <si>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</si>
  <si>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</si>
  <si>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</si>
  <si>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</si>
  <si>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</si>
  <si>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</si>
  <si>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</si>
  <si>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</si>
  <si>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</si>
  <si>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</si>
  <si>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</si>
  <si>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</si>
  <si>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</si>
  <si>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</si>
  <si>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</si>
  <si>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</si>
  <si>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</si>
  <si>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</si>
  <si>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</si>
  <si>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</si>
  <si>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</si>
  <si>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</si>
  <si>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</si>
  <si>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</si>
  <si>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</si>
  <si>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</si>
  <si>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</si>
  <si>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</si>
  <si>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</si>
  <si>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</si>
  <si>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</si>
  <si>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</si>
  <si>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</si>
  <si>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</si>
  <si>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</si>
  <si>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</si>
  <si>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</si>
  <si>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</si>
  <si>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</si>
  <si>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</si>
  <si>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</si>
  <si>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</si>
  <si>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</si>
  <si>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</si>
  <si>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</si>
  <si>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</si>
  <si>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</si>
  <si>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</si>
  <si>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</si>
  <si>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</si>
  <si>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</si>
  <si>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</si>
  <si>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</si>
  <si>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</si>
  <si>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</si>
  <si>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</si>
  <si>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</si>
  <si>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</si>
  <si>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</si>
  <si>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</si>
  <si>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</si>
  <si>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</si>
  <si>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</si>
  <si>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</si>
  <si>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</si>
  <si>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</si>
  <si>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</si>
  <si>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</si>
  <si>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</si>
  <si>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</si>
  <si>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</si>
  <si>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</si>
  <si>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</si>
  <si>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</si>
  <si>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</si>
  <si>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</si>
  <si>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</si>
  <si>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</si>
  <si>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</si>
  <si>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</si>
  <si>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</si>
  <si>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</si>
  <si>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</si>
  <si>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</si>
  <si>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</si>
  <si>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</si>
  <si>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</si>
  <si>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</si>
  <si>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</si>
  <si>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</si>
  <si>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</si>
  <si>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</si>
  <si>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</si>
  <si>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</si>
  <si>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</si>
  <si>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</si>
  <si>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</si>
  <si>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</si>
  <si>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</si>
  <si>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</si>
  <si>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</si>
  <si>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</si>
  <si>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</si>
  <si>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</si>
  <si>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</si>
  <si>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</si>
  <si>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</si>
  <si>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</si>
  <si>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</si>
  <si>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</si>
  <si>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</si>
  <si>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</si>
  <si>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</si>
  <si>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</si>
  <si>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</si>
  <si>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</si>
  <si>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</si>
  <si>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</si>
  <si>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</si>
  <si>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</si>
  <si>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</si>
  <si>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</si>
  <si>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</si>
  <si>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</si>
  <si>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</si>
  <si>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</si>
  <si>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</si>
  <si>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</si>
  <si>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</si>
  <si>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</si>
  <si>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</si>
  <si>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</si>
  <si>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</si>
  <si>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</si>
  <si>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</si>
  <si>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</si>
  <si>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</si>
  <si>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</si>
  <si>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</si>
  <si>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</si>
  <si>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</si>
  <si>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</si>
  <si>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</si>
  <si>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</si>
  <si>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</si>
  <si>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</si>
  <si>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</si>
  <si>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</si>
  <si>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</si>
  <si>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</si>
  <si>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</si>
  <si>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</si>
  <si>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</si>
  <si>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</si>
  <si>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</si>
  <si>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</si>
  <si>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</si>
  <si>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</si>
  <si>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</si>
  <si>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</si>
  <si>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</si>
  <si>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</si>
  <si>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</si>
  <si>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</si>
  <si>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</si>
  <si>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</si>
  <si>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</si>
  <si>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</si>
  <si>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</si>
  <si>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</si>
  <si>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</si>
  <si>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</si>
  <si>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</si>
  <si>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</si>
  <si>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</si>
  <si>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</si>
  <si>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</si>
  <si>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</si>
  <si>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</si>
  <si>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</si>
  <si>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</si>
  <si>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</si>
  <si>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</si>
  <si>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</si>
  <si>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</si>
  <si>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</si>
  <si>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</si>
  <si>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</si>
  <si>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</si>
  <si>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</si>
  <si>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</si>
  <si>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</si>
  <si>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</si>
  <si>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</si>
  <si>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</si>
  <si>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</si>
  <si>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</si>
  <si>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</si>
  <si>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</si>
  <si>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</si>
  <si>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</si>
  <si>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</si>
  <si>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</si>
  <si>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</si>
  <si>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</si>
  <si>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</si>
  <si>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</si>
  <si>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</si>
  <si>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</si>
  <si>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</si>
  <si>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</si>
  <si>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</si>
  <si>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</si>
  <si>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</si>
  <si>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</si>
  <si>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</si>
  <si>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</si>
  <si>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</si>
  <si>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</si>
  <si>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</si>
  <si>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</si>
  <si>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</si>
  <si>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</si>
  <si>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</si>
  <si>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</si>
  <si>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</si>
  <si>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</si>
  <si>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</si>
  <si>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</si>
  <si>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</si>
  <si>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</si>
  <si>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</si>
  <si>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</si>
  <si>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</si>
  <si>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</si>
  <si>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</si>
  <si>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</si>
  <si>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</si>
  <si>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</si>
  <si>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</si>
  <si>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</si>
  <si>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</si>
  <si>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</si>
  <si>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</si>
  <si>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</si>
  <si>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</si>
  <si>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</si>
  <si>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</si>
  <si>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</si>
  <si>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</si>
  <si>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</si>
  <si>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</si>
  <si>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</si>
  <si>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</si>
  <si>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</si>
  <si>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</si>
  <si>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</si>
  <si>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</si>
  <si>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</si>
  <si>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</si>
  <si>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</si>
  <si>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</si>
  <si>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</si>
  <si>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</si>
  <si>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</si>
  <si>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</si>
  <si>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</si>
  <si>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</si>
  <si>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</si>
  <si>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</si>
  <si>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</si>
  <si>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</si>
  <si>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</si>
  <si>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</si>
  <si>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</si>
  <si>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</si>
  <si>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</si>
  <si>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</si>
  <si>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</si>
  <si>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</si>
  <si>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</si>
  <si>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</si>
  <si>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</si>
  <si>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</si>
  <si>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</si>
  <si>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</si>
  <si>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</si>
  <si>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</si>
  <si>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</si>
  <si>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</si>
  <si>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</si>
  <si>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</si>
  <si>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</si>
  <si>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</si>
  <si>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</si>
  <si>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</si>
  <si>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</si>
  <si>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</si>
  <si>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</si>
  <si>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</si>
  <si>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</si>
  <si>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</si>
  <si>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</si>
  <si>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</si>
  <si>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</si>
  <si>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</si>
  <si>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</si>
  <si>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</si>
  <si>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</si>
  <si>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</si>
  <si>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</si>
  <si>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</si>
  <si>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</si>
  <si>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</si>
  <si>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</si>
  <si>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</si>
  <si>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</si>
  <si>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</si>
  <si>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</si>
  <si>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</si>
  <si>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</si>
  <si>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</si>
  <si>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</si>
  <si>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</si>
  <si>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</si>
  <si>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</si>
  <si>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</si>
  <si>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</si>
  <si>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</si>
  <si>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</si>
  <si>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</si>
  <si>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</si>
  <si>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</si>
  <si>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</si>
  <si>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</si>
  <si>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</si>
  <si>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</si>
  <si>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</si>
  <si>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</si>
  <si>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</si>
  <si>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</si>
  <si>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</si>
  <si>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</si>
  <si>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</si>
  <si>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</si>
  <si>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</si>
  <si>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</si>
  <si>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</si>
  <si>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</si>
  <si>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</si>
  <si>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</si>
  <si>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</si>
  <si>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</si>
  <si>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</si>
  <si>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</si>
  <si>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</si>
  <si>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</si>
  <si>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</si>
  <si>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</si>
  <si>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</si>
  <si>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</si>
  <si>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</si>
  <si>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</si>
  <si>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</si>
  <si>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</si>
  <si>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</si>
  <si>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</si>
  <si>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</si>
  <si>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</si>
  <si>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</si>
  <si>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</si>
  <si>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</si>
  <si>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</si>
  <si>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</si>
  <si>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</si>
  <si>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</si>
  <si>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</si>
  <si>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</si>
  <si>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</si>
  <si>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</si>
  <si>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</si>
  <si>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</si>
  <si>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</si>
  <si>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</si>
  <si>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</si>
  <si>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</si>
  <si>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</si>
  <si>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</si>
  <si>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</si>
  <si>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</si>
  <si>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</si>
  <si>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</si>
  <si>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</si>
  <si>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</si>
  <si>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</si>
  <si>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</si>
  <si>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</si>
  <si>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</si>
  <si>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</si>
  <si>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</si>
  <si>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</si>
  <si>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</si>
  <si>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</si>
  <si>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</si>
  <si>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</si>
  <si>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</si>
  <si>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</si>
  <si>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</si>
  <si>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</si>
  <si>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</si>
  <si>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</si>
  <si>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</si>
  <si>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</si>
  <si>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</si>
  <si>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</si>
  <si>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</si>
  <si>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</si>
  <si>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</si>
  <si>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</si>
  <si>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</si>
  <si>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</si>
  <si>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</si>
  <si>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</si>
  <si>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</si>
  <si>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</si>
  <si>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</si>
  <si>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</si>
  <si>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</si>
  <si>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</si>
  <si>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</si>
  <si>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</si>
  <si>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</si>
  <si>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</si>
  <si>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</si>
  <si>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</si>
  <si>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</si>
  <si>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</si>
  <si>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</si>
  <si>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</si>
  <si>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</si>
  <si>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</si>
  <si>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</si>
  <si>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</si>
  <si>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</si>
  <si>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</si>
  <si>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</si>
  <si>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</si>
  <si>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</si>
  <si>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</si>
  <si>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</si>
  <si>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</si>
  <si>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</si>
  <si>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</si>
  <si>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</si>
  <si>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</si>
  <si>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</si>
  <si>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</si>
  <si>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</si>
  <si>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</si>
  <si>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</si>
  <si>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</si>
  <si>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</si>
  <si>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</si>
  <si>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</si>
  <si>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</si>
  <si>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</si>
  <si>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</si>
  <si>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</si>
  <si>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</si>
  <si>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</si>
  <si>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</si>
  <si>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</si>
  <si>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</si>
  <si>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</si>
  <si>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</si>
  <si>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</si>
  <si>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</si>
  <si>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</si>
  <si>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</si>
  <si>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</si>
  <si>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</si>
  <si>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</si>
  <si>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</si>
  <si>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</si>
  <si>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</si>
  <si>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</si>
  <si>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</si>
  <si>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</si>
  <si>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</si>
  <si>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</si>
  <si>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</si>
  <si>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</si>
  <si>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</si>
  <si>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</si>
  <si>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</si>
  <si>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</si>
  <si>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</si>
  <si>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</si>
  <si>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</si>
  <si>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</si>
  <si>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</si>
  <si>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</si>
  <si>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</si>
  <si>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</si>
  <si>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</si>
  <si>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</si>
  <si>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</si>
  <si>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</si>
  <si>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</si>
  <si>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</si>
  <si>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</si>
  <si>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</si>
  <si>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</si>
  <si>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</si>
  <si>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</si>
  <si>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</si>
  <si>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</si>
  <si>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</si>
  <si>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</si>
  <si>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</si>
  <si>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</si>
  <si>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</si>
  <si>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</si>
  <si>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</si>
  <si>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</si>
  <si>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</si>
  <si>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</si>
  <si>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</si>
  <si>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</si>
  <si>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</si>
  <si>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</si>
  <si>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</si>
  <si>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</si>
  <si>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</si>
  <si>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</si>
  <si>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</si>
  <si>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</si>
  <si>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</si>
  <si>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</si>
  <si>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</si>
  <si>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</si>
  <si>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</si>
  <si>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</si>
  <si>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</si>
  <si>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</si>
  <si>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</si>
  <si>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</si>
  <si>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</si>
  <si>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</si>
  <si>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</si>
  <si>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</si>
  <si>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</si>
  <si>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</si>
  <si>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</si>
  <si>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</si>
  <si>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</si>
  <si>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</si>
  <si>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</si>
  <si>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</si>
  <si>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</si>
  <si>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</si>
  <si>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</si>
  <si>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</si>
  <si>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</si>
  <si>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</si>
  <si>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</si>
  <si>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</si>
  <si>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</si>
  <si>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</si>
  <si>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</si>
  <si>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</si>
  <si>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</si>
  <si>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</si>
  <si>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</si>
  <si>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</si>
  <si>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</si>
  <si>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</si>
  <si>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</si>
  <si>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</si>
  <si>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</si>
  <si>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</si>
  <si>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</si>
  <si>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</si>
  <si>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</si>
  <si>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</si>
  <si>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</si>
  <si>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</si>
  <si>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</si>
  <si>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</si>
  <si>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</si>
  <si>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</si>
  <si>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</si>
  <si>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</si>
  <si>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</si>
  <si>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</si>
  <si>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</si>
  <si>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</si>
  <si>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</si>
  <si>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</si>
  <si>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</si>
  <si>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</si>
  <si>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</si>
  <si>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</si>
  <si>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</si>
  <si>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</si>
  <si>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</si>
  <si>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</si>
  <si>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</si>
  <si>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</si>
  <si>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</si>
  <si>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</si>
  <si>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</si>
  <si>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</si>
  <si>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</si>
  <si>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</si>
  <si>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</si>
  <si>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</si>
  <si>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</si>
  <si>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</si>
  <si>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</si>
  <si>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</si>
  <si>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</si>
  <si>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</si>
  <si>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</si>
  <si>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</si>
  <si>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</si>
  <si>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</si>
  <si>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</si>
  <si>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</si>
  <si>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</si>
  <si>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</si>
  <si>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</si>
  <si>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</si>
  <si>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</si>
  <si>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</si>
  <si>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</si>
  <si>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</si>
  <si>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</si>
  <si>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</si>
  <si>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</si>
  <si>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</si>
  <si>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</si>
  <si>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</si>
  <si>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</si>
  <si>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</si>
  <si>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</si>
  <si>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</si>
  <si>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</si>
  <si>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</si>
  <si>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</si>
  <si>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</si>
  <si>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</si>
  <si>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</si>
  <si>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</si>
  <si>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</si>
  <si>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</si>
  <si>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</si>
  <si>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</si>
  <si>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</si>
  <si>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</si>
  <si>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</si>
  <si>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</si>
  <si>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</si>
  <si>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</si>
  <si>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</si>
  <si>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</si>
  <si>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</si>
  <si>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</si>
  <si>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</si>
  <si>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</si>
  <si>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</si>
  <si>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</si>
  <si>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</si>
  <si>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</si>
  <si>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</si>
  <si>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</si>
  <si>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</si>
  <si>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</si>
  <si>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</si>
  <si>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</si>
  <si>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</si>
  <si>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</si>
  <si>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</si>
  <si>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</si>
  <si>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</si>
  <si>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</si>
  <si>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</si>
  <si>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</si>
  <si>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</si>
  <si>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</si>
  <si>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</si>
  <si>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</si>
  <si>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</si>
  <si>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</si>
  <si>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</si>
  <si>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</si>
  <si>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</si>
  <si>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</si>
  <si>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</si>
  <si>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</si>
  <si>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</si>
  <si>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</si>
  <si>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</si>
  <si>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</si>
  <si>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</si>
  <si>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</si>
  <si>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</si>
  <si>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</si>
  <si>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</si>
  <si>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</si>
  <si>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</si>
  <si>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</si>
  <si>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</si>
  <si>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</si>
  <si>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</si>
  <si>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</si>
  <si>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</si>
  <si>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</si>
  <si>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</si>
  <si>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</si>
  <si>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</si>
  <si>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</si>
  <si>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</si>
  <si>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</si>
  <si>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</si>
  <si>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</si>
  <si>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</si>
  <si>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</si>
  <si>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</si>
  <si>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</si>
  <si>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</si>
  <si>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</si>
  <si>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</si>
  <si>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</si>
  <si>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</si>
  <si>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</si>
  <si>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</si>
  <si>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</si>
  <si>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</si>
  <si>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</si>
  <si>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</si>
  <si>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</si>
  <si>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</si>
  <si>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</si>
  <si>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</si>
  <si>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</si>
  <si>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</si>
  <si>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</si>
  <si>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</si>
  <si>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</si>
  <si>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</si>
  <si>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</si>
  <si>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</si>
  <si>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</si>
  <si>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</si>
  <si>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</si>
  <si>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</si>
  <si>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</si>
  <si>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</si>
  <si>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</si>
  <si>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</si>
  <si>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</si>
  <si>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</si>
  <si>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</si>
  <si>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</si>
  <si>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</si>
  <si>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</si>
  <si>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</si>
  <si>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</si>
  <si>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</si>
  <si>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</si>
  <si>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</si>
  <si>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</si>
  <si>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</si>
  <si>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</si>
  <si>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</si>
  <si>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</si>
  <si>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</si>
  <si>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</si>
  <si>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</si>
  <si>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</si>
  <si>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</si>
  <si>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</si>
  <si>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</si>
  <si>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</si>
  <si>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</si>
  <si>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</si>
  <si>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</si>
  <si>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</si>
  <si>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</si>
  <si>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</si>
  <si>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</si>
  <si>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</si>
  <si>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</si>
  <si>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</si>
  <si>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</si>
  <si>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</si>
  <si>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</si>
  <si>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</si>
  <si>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</si>
  <si>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</si>
  <si>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</si>
  <si>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</si>
  <si>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</si>
  <si>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</si>
  <si>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</si>
  <si>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</si>
  <si>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</si>
  <si>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</si>
  <si>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</si>
  <si>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</si>
  <si>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</si>
  <si>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</si>
  <si>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</si>
  <si>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</si>
  <si>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</si>
  <si>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</si>
  <si>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</si>
  <si>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</si>
  <si>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</si>
  <si>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</si>
  <si>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</si>
  <si>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</si>
  <si>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</si>
  <si>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</si>
  <si>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</si>
  <si>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</si>
  <si>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</si>
  <si>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</si>
  <si>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</si>
  <si>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</si>
  <si>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</si>
  <si>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</si>
  <si>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</si>
  <si>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</si>
  <si>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</si>
  <si>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</si>
  <si>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</si>
  <si>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</si>
  <si>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</si>
  <si>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</si>
  <si>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</si>
  <si>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</si>
  <si>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</si>
  <si>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</si>
  <si>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</si>
  <si>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</si>
  <si>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Clinton</t>
  </si>
  <si>
    <t>101East Main</t>
  </si>
  <si>
    <t xml:space="preserve">Damiansville  </t>
  </si>
  <si>
    <t>Greg M. McCalley &amp; Associates, P.C.</t>
  </si>
  <si>
    <t xml:space="preserve">Greg M. McCalley  </t>
  </si>
  <si>
    <t>855 E. Ferguson Ave.</t>
  </si>
  <si>
    <t>Wood River</t>
  </si>
  <si>
    <t>IL</t>
  </si>
  <si>
    <t>(618)254-8188</t>
  </si>
  <si>
    <t>(618)254-8680</t>
  </si>
  <si>
    <t>060-009547</t>
  </si>
  <si>
    <t>Greg @dmacpa.com</t>
  </si>
  <si>
    <t>Greg M. McCalley &amp; Assocates, P.C.</t>
  </si>
  <si>
    <t>Series 2011</t>
  </si>
  <si>
    <t>Ed. Fund-Instruction</t>
  </si>
  <si>
    <t>Common Goal System</t>
  </si>
  <si>
    <t>Renainssance Learning</t>
  </si>
  <si>
    <t>Ed. Fund-Support Service</t>
  </si>
  <si>
    <t>Donohoo, McCalley</t>
  </si>
  <si>
    <t>Haerting Exterminator</t>
  </si>
  <si>
    <t>Kaskaskia Special Ed. District</t>
  </si>
  <si>
    <t>Page 12, Line 107, Column ( C ), Other Local Revenue</t>
  </si>
  <si>
    <t>Book Fair</t>
  </si>
  <si>
    <t>Student Council</t>
  </si>
  <si>
    <t>Tech. Fnd</t>
  </si>
  <si>
    <t>Page 13, Line 174, Column ( C ), Other unrestricted Grant-in-Aid</t>
  </si>
  <si>
    <t>R.E.A.P.</t>
  </si>
  <si>
    <t>Page 12, Line 107, Column ( F ), Other Local Revenue</t>
  </si>
  <si>
    <t>Pre-K</t>
  </si>
  <si>
    <t>Farm Bureau</t>
  </si>
  <si>
    <t>Page 19, Line 171, Column ( H ), Debt Service-Other</t>
  </si>
  <si>
    <t>Bond Fee</t>
  </si>
  <si>
    <t>10-1000-300</t>
  </si>
  <si>
    <t>10-2300-300</t>
  </si>
  <si>
    <t>Damiansville SD 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</si>
</sst>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49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181" fontId="57" fillId="0" borderId="0" xfId="1" applyNumberFormat="1" applyFont="1"/>
    <xf numFmtId="182" fontId="57" fillId="0" borderId="0" xfId="19" applyNumberFormat="1" applyFont="1"/>
    <xf numFmtId="181" fontId="57" fillId="0" borderId="78" xfId="1" applyNumberFormat="1" applyFont="1" applyBorder="1"/>
    <xf numFmtId="182" fontId="57" fillId="0" borderId="165" xfId="19" applyNumberFormat="1" applyFont="1" applyBorder="1"/>
    <xf numFmtId="182" fontId="57" fillId="0" borderId="166" xfId="19" applyNumberFormat="1" applyFont="1" applyBorder="1"/>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2505941</xdr:colOff>
          <xdr:row>2</xdr:row>
          <xdr:rowOff>15586</xdr:rowOff>
        </xdr:from>
        <xdr:to>
          <xdr:col>1</xdr:col>
          <xdr:colOff>3420341</xdr:colOff>
          <xdr:row>6</xdr:row>
          <xdr:rowOff>53686</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14D0E2D4-0E40-4057-A351-AC549FD3B0A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1313585</xdr:colOff>
          <xdr:row>2</xdr:row>
          <xdr:rowOff>3464</xdr:rowOff>
        </xdr:from>
        <xdr:to>
          <xdr:col>1</xdr:col>
          <xdr:colOff>2227985</xdr:colOff>
          <xdr:row>6</xdr:row>
          <xdr:rowOff>41564</xdr:rowOff>
        </xdr:to>
        <xdr:sp macro="" textlink="">
          <xdr:nvSpPr>
            <xdr:cNvPr id="29698" name="Object 2" hidden="1">
              <a:extLst>
                <a:ext uri="{63B3BB69-23CF-44E3-9099-C40C66FF867C}">
                  <a14:compatExt spid="_x0000_s29698"/>
                </a:ext>
                <a:ext uri="{FF2B5EF4-FFF2-40B4-BE49-F238E27FC236}">
                  <a16:creationId xmlns:a16="http://schemas.microsoft.com/office/drawing/2014/main" id="{5A345EBD-71DC-4420-BB7E-CE64C6D317C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218210</xdr:colOff>
          <xdr:row>2</xdr:row>
          <xdr:rowOff>11257</xdr:rowOff>
        </xdr:from>
        <xdr:to>
          <xdr:col>1</xdr:col>
          <xdr:colOff>1132610</xdr:colOff>
          <xdr:row>6</xdr:row>
          <xdr:rowOff>49357</xdr:rowOff>
        </xdr:to>
        <xdr:sp macro="" textlink="">
          <xdr:nvSpPr>
            <xdr:cNvPr id="29699" name="Object 3" hidden="1">
              <a:extLst>
                <a:ext uri="{63B3BB69-23CF-44E3-9099-C40C66FF867C}">
                  <a14:compatExt spid="_x0000_s29699"/>
                </a:ext>
                <a:ext uri="{FF2B5EF4-FFF2-40B4-BE49-F238E27FC236}">
                  <a16:creationId xmlns:a16="http://schemas.microsoft.com/office/drawing/2014/main" id="{8A4EA822-9F29-4830-954A-F3139C07E6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1.bin"/><Relationship Id="rId5" Type="http://schemas.openxmlformats.org/officeDocument/2006/relationships/image" Target="../media/image1.emf"/><Relationship Id="rId4" Type="http://schemas.openxmlformats.org/officeDocument/2006/relationships/oleObject" Target="../embeddings/Microsoft_Word_97_-_2003_Document.doc"/><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20" t="s">
        <v>405</v>
      </c>
      <c r="J1" s="2021"/>
      <c r="K1" s="2021"/>
      <c r="L1" s="2021"/>
      <c r="M1" s="2021"/>
      <c r="N1" s="2021"/>
      <c r="O1" s="2021"/>
      <c r="P1" s="2021"/>
      <c r="Q1" s="2021"/>
      <c r="R1" s="2021"/>
      <c r="S1" s="2021"/>
    </row>
    <row r="2" spans="1:28" ht="12" customHeight="1" x14ac:dyDescent="0.2">
      <c r="A2" s="47" t="s">
        <v>1993</v>
      </c>
      <c r="D2" s="48"/>
      <c r="I2" s="2022" t="s">
        <v>979</v>
      </c>
      <c r="J2" s="2021"/>
      <c r="K2" s="2021"/>
      <c r="L2" s="2021"/>
      <c r="M2" s="2021"/>
      <c r="N2" s="2021"/>
      <c r="O2" s="2021"/>
      <c r="P2" s="2021"/>
      <c r="Q2" s="2021"/>
      <c r="R2" s="2021"/>
      <c r="S2" s="2021"/>
    </row>
    <row r="3" spans="1:28" ht="12" customHeight="1" x14ac:dyDescent="0.2">
      <c r="A3" s="155" t="s">
        <v>1945</v>
      </c>
      <c r="B3" s="156"/>
      <c r="C3" s="156"/>
      <c r="D3" s="157"/>
      <c r="I3" s="2022" t="s">
        <v>52</v>
      </c>
      <c r="J3" s="2021"/>
      <c r="K3" s="2021"/>
      <c r="L3" s="2021"/>
      <c r="M3" s="2021"/>
      <c r="N3" s="2021"/>
      <c r="O3" s="2021"/>
      <c r="P3" s="2021"/>
      <c r="Q3" s="2021"/>
      <c r="R3" s="2021"/>
      <c r="S3" s="2021"/>
    </row>
    <row r="4" spans="1:28" ht="12" customHeight="1" x14ac:dyDescent="0.2">
      <c r="A4" s="37"/>
      <c r="I4" s="2022" t="s">
        <v>524</v>
      </c>
      <c r="J4" s="2021"/>
      <c r="K4" s="2021"/>
      <c r="L4" s="2021"/>
      <c r="M4" s="2021"/>
      <c r="N4" s="2021"/>
      <c r="O4" s="2021"/>
      <c r="P4" s="2021"/>
      <c r="Q4" s="2021"/>
      <c r="R4" s="2021"/>
      <c r="S4" s="2021"/>
    </row>
    <row r="5" spans="1:28" ht="14.1" customHeight="1" x14ac:dyDescent="0.2">
      <c r="B5" s="104" t="s">
        <v>2064</v>
      </c>
      <c r="C5" s="26" t="s">
        <v>910</v>
      </c>
      <c r="D5" s="84"/>
      <c r="E5" s="84"/>
      <c r="H5" s="38"/>
      <c r="I5" s="2029" t="s">
        <v>680</v>
      </c>
      <c r="J5" s="1974"/>
      <c r="K5" s="1974"/>
      <c r="L5" s="1974"/>
      <c r="M5" s="1974"/>
      <c r="N5" s="1974"/>
      <c r="O5" s="1974"/>
      <c r="P5" s="1974"/>
      <c r="Q5" s="1974"/>
      <c r="R5" s="1974"/>
      <c r="S5" s="1974"/>
    </row>
    <row r="6" spans="1:28" ht="14.1" customHeight="1" x14ac:dyDescent="0.2">
      <c r="B6" s="104"/>
      <c r="C6" s="26" t="s">
        <v>911</v>
      </c>
      <c r="D6" s="84"/>
      <c r="E6" s="84"/>
      <c r="I6" s="2028" t="s">
        <v>883</v>
      </c>
      <c r="J6" s="1974"/>
      <c r="K6" s="1974"/>
      <c r="L6" s="1974"/>
      <c r="M6" s="1974"/>
      <c r="N6" s="1974"/>
      <c r="O6" s="1974"/>
      <c r="P6" s="1974"/>
      <c r="Q6" s="1974"/>
      <c r="R6" s="1974"/>
      <c r="S6" s="1974"/>
    </row>
    <row r="7" spans="1:28" ht="12.2" customHeight="1" x14ac:dyDescent="0.2">
      <c r="I7" s="2023">
        <v>43646</v>
      </c>
      <c r="J7" s="2024"/>
      <c r="K7" s="2024"/>
      <c r="L7" s="2024"/>
      <c r="M7" s="2024"/>
      <c r="N7" s="2024"/>
      <c r="O7" s="2024"/>
      <c r="P7" s="2024"/>
      <c r="Q7" s="2024"/>
      <c r="R7" s="2024"/>
      <c r="S7" s="202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5" t="s">
        <v>674</v>
      </c>
      <c r="J9" s="2026"/>
      <c r="K9" s="2026"/>
      <c r="L9" s="2026"/>
      <c r="M9" s="2026"/>
      <c r="N9" s="2026"/>
      <c r="O9" s="2026"/>
      <c r="P9" s="2026"/>
      <c r="Q9" s="2026"/>
      <c r="R9" s="2026"/>
      <c r="S9" s="2027"/>
      <c r="T9" s="1970" t="s">
        <v>533</v>
      </c>
      <c r="U9" s="1971"/>
      <c r="V9" s="1971"/>
      <c r="W9" s="1971"/>
      <c r="X9" s="1971"/>
      <c r="Y9" s="1971"/>
      <c r="Z9" s="1971"/>
      <c r="AA9" s="1972"/>
    </row>
    <row r="10" spans="1:28" ht="13.5" customHeight="1" x14ac:dyDescent="0.2">
      <c r="A10" s="1979" t="s">
        <v>675</v>
      </c>
      <c r="B10" s="1980"/>
      <c r="C10" s="1980"/>
      <c r="D10" s="1980"/>
      <c r="E10" s="1980"/>
      <c r="F10" s="1980"/>
      <c r="G10" s="1980"/>
      <c r="H10" s="1981"/>
      <c r="I10" s="29"/>
      <c r="J10" s="30"/>
      <c r="K10" s="28"/>
      <c r="R10" s="30"/>
      <c r="S10" s="30"/>
      <c r="T10" s="1973"/>
      <c r="U10" s="1974"/>
      <c r="V10" s="1974"/>
      <c r="W10" s="1974"/>
      <c r="X10" s="1974"/>
      <c r="Y10" s="1974"/>
      <c r="Z10" s="1974"/>
      <c r="AA10" s="1975"/>
    </row>
    <row r="11" spans="1:28" ht="14.25" customHeight="1" x14ac:dyDescent="0.2">
      <c r="A11" s="1982" t="s">
        <v>955</v>
      </c>
      <c r="B11" s="1983"/>
      <c r="C11" s="1983"/>
      <c r="D11" s="1983"/>
      <c r="E11" s="1983"/>
      <c r="F11" s="1983"/>
      <c r="G11" s="1983"/>
      <c r="H11" s="1984"/>
      <c r="I11" s="27"/>
      <c r="J11" s="74"/>
      <c r="K11" s="27"/>
      <c r="O11" s="148" t="s">
        <v>2064</v>
      </c>
      <c r="P11" s="100" t="s">
        <v>201</v>
      </c>
      <c r="Q11" s="30"/>
      <c r="R11" s="28"/>
      <c r="S11" s="27"/>
      <c r="T11" s="1976"/>
      <c r="U11" s="1977"/>
      <c r="V11" s="1977"/>
      <c r="W11" s="1977"/>
      <c r="X11" s="1977"/>
      <c r="Y11" s="1977"/>
      <c r="Z11" s="1977"/>
      <c r="AA11" s="197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0">
        <v>13014062002</v>
      </c>
      <c r="B13" s="1991"/>
      <c r="C13" s="1991"/>
      <c r="D13" s="1991"/>
      <c r="E13" s="1991"/>
      <c r="F13" s="1991"/>
      <c r="G13" s="1991"/>
      <c r="H13" s="1992"/>
      <c r="I13" s="31"/>
      <c r="J13" s="30"/>
      <c r="K13" s="28"/>
      <c r="L13" s="30"/>
      <c r="M13" s="30"/>
      <c r="N13" s="30"/>
      <c r="O13" s="30"/>
      <c r="P13" s="30"/>
      <c r="Q13" s="30"/>
      <c r="R13" s="30"/>
      <c r="S13" s="30"/>
      <c r="T13" s="1995" t="s">
        <v>2068</v>
      </c>
      <c r="U13" s="1996"/>
      <c r="V13" s="1996"/>
      <c r="W13" s="1996"/>
      <c r="X13" s="1996"/>
      <c r="Y13" s="1997"/>
      <c r="Z13" s="1997"/>
      <c r="AA13" s="199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8" t="s">
        <v>2065</v>
      </c>
      <c r="B15" s="1993"/>
      <c r="C15" s="1993"/>
      <c r="D15" s="1993"/>
      <c r="E15" s="1993"/>
      <c r="F15" s="1993"/>
      <c r="G15" s="1993"/>
      <c r="H15" s="1994"/>
      <c r="T15" s="1956" t="s">
        <v>2069</v>
      </c>
      <c r="U15" s="1957"/>
      <c r="V15" s="1957"/>
      <c r="W15" s="1957"/>
      <c r="X15" s="1957"/>
      <c r="Y15" s="1999"/>
      <c r="Z15" s="1999"/>
      <c r="AA15" s="200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8" t="s">
        <v>2099</v>
      </c>
      <c r="B17" s="2018"/>
      <c r="C17" s="2018"/>
      <c r="D17" s="2018"/>
      <c r="E17" s="2018"/>
      <c r="F17" s="2018"/>
      <c r="G17" s="2018"/>
      <c r="H17" s="2019"/>
      <c r="T17" s="2005" t="s">
        <v>2070</v>
      </c>
      <c r="U17" s="2006"/>
      <c r="V17" s="2006"/>
      <c r="W17" s="2006"/>
      <c r="X17" s="2006"/>
      <c r="Y17" s="2006"/>
      <c r="Z17" s="2006"/>
      <c r="AA17" s="2007"/>
    </row>
    <row r="18" spans="1:27" ht="13.5" customHeight="1" x14ac:dyDescent="0.2">
      <c r="A18" s="85" t="s">
        <v>530</v>
      </c>
      <c r="B18" s="76"/>
      <c r="C18" s="72"/>
      <c r="D18" s="76"/>
      <c r="E18" s="76"/>
      <c r="F18" s="76"/>
      <c r="G18" s="76"/>
      <c r="H18" s="56"/>
      <c r="I18" s="2015" t="s">
        <v>676</v>
      </c>
      <c r="J18" s="2016"/>
      <c r="K18" s="2016"/>
      <c r="L18" s="2016"/>
      <c r="M18" s="2016"/>
      <c r="N18" s="2016"/>
      <c r="O18" s="2016"/>
      <c r="P18" s="2016"/>
      <c r="Q18" s="2016"/>
      <c r="R18" s="2016"/>
      <c r="S18" s="2017"/>
      <c r="T18" s="85" t="s">
        <v>711</v>
      </c>
      <c r="U18" s="51"/>
      <c r="V18" s="72"/>
      <c r="W18" s="50"/>
      <c r="X18" s="85" t="s">
        <v>266</v>
      </c>
      <c r="Y18" s="81"/>
      <c r="Z18" s="159" t="s">
        <v>677</v>
      </c>
      <c r="AA18" s="46"/>
    </row>
    <row r="19" spans="1:27" ht="13.5" customHeight="1" x14ac:dyDescent="0.2">
      <c r="A19" s="1988" t="s">
        <v>2066</v>
      </c>
      <c r="B19" s="1989"/>
      <c r="C19" s="1989"/>
      <c r="D19" s="1989"/>
      <c r="E19" s="1989"/>
      <c r="F19" s="1989"/>
      <c r="G19" s="1989"/>
      <c r="H19" s="1987"/>
      <c r="I19" s="30"/>
      <c r="J19" s="99"/>
      <c r="K19" s="40"/>
      <c r="L19" s="38"/>
      <c r="M19" s="112" t="s">
        <v>315</v>
      </c>
      <c r="P19" s="27"/>
      <c r="Q19" s="27"/>
      <c r="R19" s="27"/>
      <c r="S19" s="31"/>
      <c r="T19" s="1988" t="s">
        <v>2071</v>
      </c>
      <c r="U19" s="1986"/>
      <c r="V19" s="1986"/>
      <c r="W19" s="1987"/>
      <c r="X19" s="2003" t="s">
        <v>2072</v>
      </c>
      <c r="Y19" s="2004"/>
      <c r="Z19" s="2001">
        <v>62095</v>
      </c>
      <c r="AA19" s="200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5" t="s">
        <v>2067</v>
      </c>
      <c r="B21" s="1986"/>
      <c r="C21" s="1986"/>
      <c r="D21" s="1986"/>
      <c r="E21" s="1986"/>
      <c r="F21" s="1986"/>
      <c r="G21" s="1986"/>
      <c r="H21" s="1987"/>
      <c r="I21" s="2011" t="s">
        <v>678</v>
      </c>
      <c r="J21" s="1974"/>
      <c r="K21" s="1974"/>
      <c r="L21" s="1974"/>
      <c r="M21" s="1974"/>
      <c r="N21" s="1974"/>
      <c r="O21" s="1974"/>
      <c r="P21" s="1974"/>
      <c r="Q21" s="1974"/>
      <c r="R21" s="1974"/>
      <c r="S21" s="1975"/>
      <c r="T21" s="1953" t="s">
        <v>2073</v>
      </c>
      <c r="U21" s="1954"/>
      <c r="V21" s="1954"/>
      <c r="W21" s="1954"/>
      <c r="X21" s="1967" t="s">
        <v>2074</v>
      </c>
      <c r="Y21" s="1968"/>
      <c r="Z21" s="1968"/>
      <c r="AA21" s="1969"/>
    </row>
    <row r="22" spans="1:27" ht="13.5" customHeight="1" x14ac:dyDescent="0.2">
      <c r="A22" s="87" t="s">
        <v>531</v>
      </c>
      <c r="B22" s="59"/>
      <c r="C22" s="59"/>
      <c r="D22" s="59"/>
      <c r="E22" s="59"/>
      <c r="F22" s="59"/>
      <c r="G22" s="59"/>
      <c r="H22" s="60"/>
      <c r="I22" s="2012" t="s">
        <v>1429</v>
      </c>
      <c r="J22" s="2013"/>
      <c r="K22" s="2013"/>
      <c r="L22" s="2013"/>
      <c r="M22" s="2013"/>
      <c r="N22" s="2013"/>
      <c r="O22" s="2013"/>
      <c r="P22" s="2013"/>
      <c r="Q22" s="2013"/>
      <c r="R22" s="2013"/>
      <c r="S22" s="2014"/>
      <c r="T22" s="85" t="s">
        <v>1516</v>
      </c>
      <c r="U22" s="51"/>
      <c r="V22" s="72"/>
      <c r="W22" s="51"/>
      <c r="X22" s="160" t="s">
        <v>1318</v>
      </c>
      <c r="Z22" s="45"/>
      <c r="AA22" s="46"/>
    </row>
    <row r="23" spans="1:27" ht="13.5" customHeight="1" x14ac:dyDescent="0.2">
      <c r="A23" s="2008"/>
      <c r="B23" s="2009"/>
      <c r="C23" s="2009"/>
      <c r="D23" s="2009"/>
      <c r="E23" s="2009"/>
      <c r="F23" s="2009"/>
      <c r="G23" s="2009"/>
      <c r="H23" s="2010"/>
      <c r="T23" s="1948" t="s">
        <v>2075</v>
      </c>
      <c r="U23" s="1949"/>
      <c r="V23" s="1949"/>
      <c r="W23" s="1949"/>
      <c r="X23" s="1964">
        <v>44469</v>
      </c>
      <c r="Y23" s="1965"/>
      <c r="Z23" s="1965"/>
      <c r="AA23" s="1966"/>
    </row>
    <row r="24" spans="1:27" ht="14.1" customHeight="1" x14ac:dyDescent="0.2">
      <c r="A24" s="88" t="s">
        <v>677</v>
      </c>
      <c r="B24" s="49"/>
      <c r="C24" s="49"/>
      <c r="D24" s="49"/>
      <c r="E24" s="49"/>
      <c r="F24" s="49"/>
      <c r="G24" s="49"/>
      <c r="H24" s="61"/>
      <c r="J24" s="2050">
        <f>IF(B5="x",IF(AUDITCHECK!D29="AFR form Incomplete.","",IF(AUDITCHECK!D29="Deficit reduction plan is required.","School District must complete a deficit reduction plan in the 2019-2020 Budget",)),"")</f>
        <v>0</v>
      </c>
      <c r="K24" s="2050"/>
      <c r="L24" s="2050"/>
      <c r="M24" s="2050"/>
      <c r="N24" s="2050"/>
      <c r="O24" s="2050"/>
      <c r="P24" s="2050"/>
      <c r="Q24" s="2050"/>
      <c r="R24" s="2050"/>
      <c r="S24" s="2051"/>
      <c r="T24" s="105" t="s">
        <v>531</v>
      </c>
      <c r="U24" s="106"/>
      <c r="V24" s="106"/>
      <c r="W24" s="106"/>
      <c r="X24" s="107"/>
      <c r="Y24" s="107"/>
      <c r="Z24" s="107"/>
      <c r="AA24" s="108"/>
    </row>
    <row r="25" spans="1:27" ht="14.1" customHeight="1" x14ac:dyDescent="0.2">
      <c r="A25" s="1985">
        <v>62215</v>
      </c>
      <c r="B25" s="1986"/>
      <c r="C25" s="1986"/>
      <c r="D25" s="1986"/>
      <c r="E25" s="1986"/>
      <c r="F25" s="1986"/>
      <c r="G25" s="1986"/>
      <c r="H25" s="1987"/>
      <c r="I25" s="113"/>
      <c r="J25" s="2052"/>
      <c r="K25" s="2052"/>
      <c r="L25" s="2052"/>
      <c r="M25" s="2052"/>
      <c r="N25" s="2052"/>
      <c r="O25" s="2052"/>
      <c r="P25" s="2052"/>
      <c r="Q25" s="2052"/>
      <c r="R25" s="2052"/>
      <c r="S25" s="2053"/>
      <c r="T25" s="1945" t="s">
        <v>2076</v>
      </c>
      <c r="U25" s="1946"/>
      <c r="V25" s="1946"/>
      <c r="W25" s="1946"/>
      <c r="X25" s="1946"/>
      <c r="Y25" s="1946"/>
      <c r="Z25" s="1946"/>
      <c r="AA25" s="19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3" t="s">
        <v>1511</v>
      </c>
      <c r="J27" s="2016"/>
      <c r="K27" s="2016"/>
      <c r="L27" s="2016"/>
      <c r="M27" s="2016"/>
      <c r="N27" s="2016"/>
      <c r="O27" s="2016"/>
      <c r="P27" s="2016"/>
      <c r="Q27" s="2016"/>
      <c r="R27" s="2016"/>
      <c r="S27" s="201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9"/>
      <c r="Q35" s="1986"/>
      <c r="R35" s="198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8"/>
      <c r="B38" s="2018"/>
      <c r="C38" s="2018"/>
      <c r="D38" s="2018"/>
      <c r="E38" s="2018"/>
      <c r="F38" s="1986"/>
      <c r="G38" s="1986"/>
      <c r="H38" s="1987"/>
      <c r="I38" s="2037"/>
      <c r="J38" s="1957"/>
      <c r="K38" s="1957"/>
      <c r="L38" s="1957"/>
      <c r="M38" s="1957"/>
      <c r="N38" s="1957"/>
      <c r="O38" s="1957"/>
      <c r="P38" s="1958"/>
      <c r="Q38" s="1958"/>
      <c r="R38" s="1958"/>
      <c r="S38" s="1959"/>
      <c r="T38" s="1956"/>
      <c r="U38" s="1957"/>
      <c r="V38" s="1957"/>
      <c r="W38" s="1957"/>
      <c r="X38" s="1958"/>
      <c r="Y38" s="1958"/>
      <c r="Z38" s="1958"/>
      <c r="AA38" s="1959"/>
    </row>
    <row r="39" spans="1:27" ht="12" customHeight="1" x14ac:dyDescent="0.2">
      <c r="A39" s="2041" t="s">
        <v>531</v>
      </c>
      <c r="B39" s="2042"/>
      <c r="C39" s="72"/>
      <c r="D39" s="69"/>
      <c r="E39" s="69"/>
      <c r="F39" s="79"/>
      <c r="G39" s="69"/>
      <c r="H39" s="56"/>
      <c r="I39" s="2041" t="s">
        <v>531</v>
      </c>
      <c r="J39" s="2042"/>
      <c r="K39" s="2042"/>
      <c r="L39" s="2042"/>
      <c r="M39" s="2042"/>
      <c r="N39" s="67"/>
      <c r="O39" s="72"/>
      <c r="P39" s="72"/>
      <c r="Q39" s="78"/>
      <c r="R39" s="72"/>
      <c r="S39" s="56"/>
      <c r="T39" s="72" t="s">
        <v>531</v>
      </c>
      <c r="U39" s="51"/>
      <c r="V39" s="72"/>
      <c r="W39" s="50"/>
      <c r="X39" s="78"/>
      <c r="Y39" s="45"/>
      <c r="Z39" s="45"/>
      <c r="AA39" s="46"/>
    </row>
    <row r="40" spans="1:27" ht="13.5" customHeight="1" x14ac:dyDescent="0.2">
      <c r="A40" s="2044"/>
      <c r="B40" s="2045"/>
      <c r="C40" s="2046"/>
      <c r="D40" s="2046"/>
      <c r="E40" s="2046"/>
      <c r="F40" s="2047"/>
      <c r="G40" s="2047"/>
      <c r="H40" s="2048"/>
      <c r="I40" s="1960"/>
      <c r="J40" s="1962"/>
      <c r="K40" s="1962"/>
      <c r="L40" s="1962"/>
      <c r="M40" s="1962"/>
      <c r="N40" s="1962"/>
      <c r="O40" s="1962"/>
      <c r="P40" s="1962"/>
      <c r="Q40" s="1962"/>
      <c r="R40" s="1962"/>
      <c r="S40" s="1963"/>
      <c r="T40" s="1960"/>
      <c r="U40" s="1961"/>
      <c r="V40" s="1962"/>
      <c r="W40" s="1962"/>
      <c r="X40" s="1962"/>
      <c r="Y40" s="1962"/>
      <c r="Z40" s="1962"/>
      <c r="AA40" s="196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4"/>
      <c r="B42" s="2035"/>
      <c r="C42" s="2036"/>
      <c r="D42" s="2049"/>
      <c r="E42" s="2035"/>
      <c r="F42" s="2035"/>
      <c r="G42" s="2035"/>
      <c r="H42" s="2036"/>
      <c r="I42" s="1955"/>
      <c r="J42" s="1951"/>
      <c r="K42" s="1951"/>
      <c r="L42" s="1951"/>
      <c r="M42" s="1951"/>
      <c r="N42" s="1951"/>
      <c r="O42" s="1952"/>
      <c r="P42" s="1950"/>
      <c r="Q42" s="1951"/>
      <c r="R42" s="1951"/>
      <c r="S42" s="1952"/>
      <c r="T42" s="1955"/>
      <c r="U42" s="1951"/>
      <c r="V42" s="1951"/>
      <c r="W42" s="1952"/>
      <c r="X42" s="1950"/>
      <c r="Y42" s="1951"/>
      <c r="Z42" s="1951"/>
      <c r="AA42" s="19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8"/>
      <c r="B44" s="2039"/>
      <c r="C44" s="2039"/>
      <c r="D44" s="2039"/>
      <c r="E44" s="2039"/>
      <c r="F44" s="2039"/>
      <c r="G44" s="2039"/>
      <c r="H44" s="2040"/>
      <c r="I44" s="2030"/>
      <c r="J44" s="2032"/>
      <c r="K44" s="2032"/>
      <c r="L44" s="2032"/>
      <c r="M44" s="2032"/>
      <c r="N44" s="2032"/>
      <c r="O44" s="2032"/>
      <c r="P44" s="2032"/>
      <c r="Q44" s="2032"/>
      <c r="R44" s="2032"/>
      <c r="S44" s="2033"/>
      <c r="T44" s="2030"/>
      <c r="U44" s="2031"/>
      <c r="V44" s="2031"/>
      <c r="W44" s="2031"/>
      <c r="X44" s="2031"/>
      <c r="Y44" s="2031"/>
      <c r="Z44" s="2032"/>
      <c r="AA44" s="203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7" t="s">
        <v>1802</v>
      </c>
      <c r="B2" s="1528" t="s">
        <v>1951</v>
      </c>
      <c r="C2" s="714" t="s">
        <v>1952</v>
      </c>
      <c r="D2" s="714" t="s">
        <v>1953</v>
      </c>
      <c r="E2" s="714" t="s">
        <v>1954</v>
      </c>
      <c r="F2" s="714" t="s">
        <v>1955</v>
      </c>
    </row>
    <row r="3" spans="1:6" ht="12" customHeight="1" x14ac:dyDescent="0.2">
      <c r="A3" s="2188"/>
      <c r="B3" s="1525"/>
      <c r="C3" s="1526"/>
      <c r="D3" s="1527" t="s">
        <v>256</v>
      </c>
      <c r="E3" s="1526"/>
      <c r="F3" s="1527" t="s">
        <v>257</v>
      </c>
    </row>
    <row r="4" spans="1:6" ht="13.7" customHeight="1" x14ac:dyDescent="0.2">
      <c r="A4" s="715" t="s">
        <v>1155</v>
      </c>
      <c r="B4" s="1749">
        <f>'Revenues 9-14'!C5</f>
        <v>298315</v>
      </c>
      <c r="C4" s="1524"/>
      <c r="D4" s="1752">
        <f>B4-C4</f>
        <v>298315</v>
      </c>
      <c r="E4" s="1524">
        <v>308089</v>
      </c>
      <c r="F4" s="1752">
        <f>E4-C4</f>
        <v>308089</v>
      </c>
    </row>
    <row r="5" spans="1:6" ht="13.7" customHeight="1" x14ac:dyDescent="0.2">
      <c r="A5" s="715" t="s">
        <v>870</v>
      </c>
      <c r="B5" s="1750">
        <f>'Revenues 9-14'!D5</f>
        <v>43870</v>
      </c>
      <c r="C5" s="585"/>
      <c r="D5" s="1753">
        <f t="shared" ref="D5:D18" si="0">B5-C5</f>
        <v>43870</v>
      </c>
      <c r="E5" s="585">
        <v>45307</v>
      </c>
      <c r="F5" s="1753">
        <f>E5-C5</f>
        <v>45307</v>
      </c>
    </row>
    <row r="6" spans="1:6" ht="13.7" customHeight="1" x14ac:dyDescent="0.2">
      <c r="A6" s="715" t="s">
        <v>411</v>
      </c>
      <c r="B6" s="1750">
        <f>'Revenues 9-14'!E5</f>
        <v>104535</v>
      </c>
      <c r="C6" s="585"/>
      <c r="D6" s="1753">
        <f t="shared" si="0"/>
        <v>104535</v>
      </c>
      <c r="E6" s="585">
        <v>101414</v>
      </c>
      <c r="F6" s="1753">
        <f t="shared" ref="F6:F18" si="1">E6-C6</f>
        <v>101414</v>
      </c>
    </row>
    <row r="7" spans="1:6" ht="13.7" customHeight="1" x14ac:dyDescent="0.2">
      <c r="A7" s="715" t="s">
        <v>155</v>
      </c>
      <c r="B7" s="1750">
        <f>'Revenues 9-14'!F5</f>
        <v>21057</v>
      </c>
      <c r="C7" s="585"/>
      <c r="D7" s="1753">
        <f t="shared" si="0"/>
        <v>21057</v>
      </c>
      <c r="E7" s="585">
        <v>21747</v>
      </c>
      <c r="F7" s="1753">
        <f t="shared" si="1"/>
        <v>21747</v>
      </c>
    </row>
    <row r="8" spans="1:6" ht="13.7" customHeight="1" x14ac:dyDescent="0.2">
      <c r="A8" s="715" t="s">
        <v>1179</v>
      </c>
      <c r="B8" s="1750">
        <f>'Revenues 9-14'!G5</f>
        <v>15463</v>
      </c>
      <c r="C8" s="585"/>
      <c r="D8" s="1753">
        <f t="shared" si="0"/>
        <v>15463</v>
      </c>
      <c r="E8" s="585">
        <v>16274</v>
      </c>
      <c r="F8" s="1753">
        <f t="shared" si="1"/>
        <v>16274</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8774</v>
      </c>
      <c r="C10" s="585"/>
      <c r="D10" s="1753">
        <f t="shared" si="0"/>
        <v>8774</v>
      </c>
      <c r="E10" s="585">
        <v>9061</v>
      </c>
      <c r="F10" s="1753">
        <f t="shared" si="1"/>
        <v>9061</v>
      </c>
    </row>
    <row r="11" spans="1:6" x14ac:dyDescent="0.2">
      <c r="A11" s="715" t="s">
        <v>409</v>
      </c>
      <c r="B11" s="1750">
        <f>'Revenues 9-14'!J5</f>
        <v>94211</v>
      </c>
      <c r="C11" s="585"/>
      <c r="D11" s="1753">
        <f t="shared" si="0"/>
        <v>94211</v>
      </c>
      <c r="E11" s="585">
        <v>98500</v>
      </c>
      <c r="F11" s="1753">
        <f t="shared" si="1"/>
        <v>98500</v>
      </c>
    </row>
    <row r="12" spans="1:6" ht="13.7" customHeight="1" x14ac:dyDescent="0.2">
      <c r="A12" s="715" t="s">
        <v>157</v>
      </c>
      <c r="B12" s="1750">
        <f>'Revenues 9-14'!K5</f>
        <v>8774</v>
      </c>
      <c r="C12" s="585"/>
      <c r="D12" s="1753">
        <f t="shared" si="0"/>
        <v>8774</v>
      </c>
      <c r="E12" s="585">
        <v>9061</v>
      </c>
      <c r="F12" s="1753">
        <f t="shared" si="1"/>
        <v>9061</v>
      </c>
    </row>
    <row r="13" spans="1:6" ht="13.7" customHeight="1" x14ac:dyDescent="0.2">
      <c r="A13" s="715" t="s">
        <v>936</v>
      </c>
      <c r="B13" s="1750">
        <f>SUM('Revenues 9-14'!C6:D6)</f>
        <v>8774</v>
      </c>
      <c r="C13" s="585"/>
      <c r="D13" s="1753">
        <f t="shared" si="0"/>
        <v>8774</v>
      </c>
      <c r="E13" s="585">
        <v>9061</v>
      </c>
      <c r="F13" s="1753">
        <f t="shared" si="1"/>
        <v>9061</v>
      </c>
    </row>
    <row r="14" spans="1:6" ht="13.7" customHeight="1" x14ac:dyDescent="0.2">
      <c r="A14" s="715" t="s">
        <v>410</v>
      </c>
      <c r="B14" s="1750">
        <f>SUM('Revenues 9-14'!C7:D7,'Revenues 9-14'!F7:H7)</f>
        <v>3510</v>
      </c>
      <c r="C14" s="585"/>
      <c r="D14" s="1753">
        <f t="shared" si="0"/>
        <v>3510</v>
      </c>
      <c r="E14" s="585">
        <v>3625</v>
      </c>
      <c r="F14" s="1753">
        <f t="shared" si="1"/>
        <v>3625</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15523</v>
      </c>
      <c r="C16" s="585"/>
      <c r="D16" s="1753">
        <f t="shared" si="0"/>
        <v>15523</v>
      </c>
      <c r="E16" s="585">
        <v>16274</v>
      </c>
      <c r="F16" s="1753">
        <f t="shared" si="1"/>
        <v>16274</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622806</v>
      </c>
      <c r="C19" s="1751">
        <f>SUM(C4:C18)</f>
        <v>0</v>
      </c>
      <c r="D19" s="1751">
        <f>SUM(D4:D18)</f>
        <v>622806</v>
      </c>
      <c r="E19" s="1751">
        <f>SUM(E4:E18)</f>
        <v>638413</v>
      </c>
      <c r="F19" s="1751">
        <f>SUM(F4:F18)</f>
        <v>638413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62"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A32" sqref="A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3" t="s">
        <v>629</v>
      </c>
      <c r="B1" s="2194"/>
      <c r="C1" s="721"/>
    </row>
    <row r="2" spans="1:7" ht="33.75" x14ac:dyDescent="0.2">
      <c r="A2" s="2202" t="s">
        <v>1802</v>
      </c>
      <c r="B2" s="2203"/>
      <c r="C2" s="1884" t="s">
        <v>1956</v>
      </c>
      <c r="D2" s="723" t="s">
        <v>1957</v>
      </c>
      <c r="E2" s="723" t="s">
        <v>1958</v>
      </c>
      <c r="F2" s="1884" t="s">
        <v>1959</v>
      </c>
    </row>
    <row r="3" spans="1:7" ht="15.75" customHeight="1" x14ac:dyDescent="0.2">
      <c r="A3" s="2206" t="s">
        <v>1114</v>
      </c>
      <c r="B3" s="2207"/>
      <c r="C3" s="2195"/>
      <c r="D3" s="2196"/>
      <c r="E3" s="2196"/>
      <c r="F3" s="2197"/>
    </row>
    <row r="4" spans="1:7" ht="12.75" customHeight="1" thickBot="1" x14ac:dyDescent="0.25">
      <c r="A4" s="2204" t="s">
        <v>630</v>
      </c>
      <c r="B4" s="2205"/>
      <c r="C4" s="581"/>
      <c r="D4" s="581"/>
      <c r="E4" s="581"/>
      <c r="F4" s="1755">
        <f>SUM(C4+D4)-E4</f>
        <v>0</v>
      </c>
    </row>
    <row r="5" spans="1:7" ht="15.75" customHeight="1" thickTop="1" x14ac:dyDescent="0.2">
      <c r="A5" s="2189" t="s">
        <v>1110</v>
      </c>
      <c r="B5" s="2190"/>
      <c r="C5" s="2198"/>
      <c r="D5" s="2199"/>
      <c r="E5" s="2199"/>
      <c r="F5" s="2200"/>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1" t="s">
        <v>631</v>
      </c>
      <c r="B15" s="2192"/>
      <c r="C15" s="1755">
        <f>SUM(C6:C14)</f>
        <v>0</v>
      </c>
      <c r="D15" s="1755">
        <f>SUM(D6:D14)</f>
        <v>0</v>
      </c>
      <c r="E15" s="1755">
        <f>SUM(E6:E14)</f>
        <v>0</v>
      </c>
      <c r="F15" s="1755">
        <f>SUM(F6:F14)</f>
        <v>0</v>
      </c>
      <c r="G15" s="552"/>
    </row>
    <row r="16" spans="1:7" s="202" customFormat="1" ht="15.75" customHeight="1" thickTop="1" x14ac:dyDescent="0.2">
      <c r="A16" s="2201" t="s">
        <v>1111</v>
      </c>
      <c r="B16" s="2190"/>
      <c r="C16" s="2198"/>
      <c r="D16" s="2199"/>
      <c r="E16" s="2199"/>
      <c r="F16" s="2200"/>
    </row>
    <row r="17" spans="1:11" ht="12.75" customHeight="1" thickBot="1" x14ac:dyDescent="0.25">
      <c r="A17" s="2214" t="s">
        <v>64</v>
      </c>
      <c r="B17" s="2215"/>
      <c r="C17" s="726"/>
      <c r="D17" s="585"/>
      <c r="E17" s="726"/>
      <c r="F17" s="1755">
        <f>SUM(C17+D17)-E17</f>
        <v>0</v>
      </c>
    </row>
    <row r="18" spans="1:11" ht="12.75" customHeight="1" thickTop="1" thickBot="1" x14ac:dyDescent="0.25">
      <c r="A18" s="2214" t="s">
        <v>6</v>
      </c>
      <c r="B18" s="2215"/>
      <c r="C18" s="726"/>
      <c r="D18" s="585"/>
      <c r="E18" s="726"/>
      <c r="F18" s="1755">
        <f>SUM(C18+D18)-E18</f>
        <v>0</v>
      </c>
    </row>
    <row r="19" spans="1:11" ht="12.75" customHeight="1" thickTop="1" thickBot="1" x14ac:dyDescent="0.25">
      <c r="A19" s="2214" t="s">
        <v>388</v>
      </c>
      <c r="B19" s="2215"/>
      <c r="C19" s="726"/>
      <c r="D19" s="585"/>
      <c r="E19" s="726"/>
      <c r="F19" s="1755">
        <f>SUM(C19+D19)-E19</f>
        <v>0</v>
      </c>
    </row>
    <row r="20" spans="1:11" ht="12.75" customHeight="1" thickTop="1" thickBot="1" x14ac:dyDescent="0.25">
      <c r="A20" s="2214" t="s">
        <v>448</v>
      </c>
      <c r="B20" s="2215"/>
      <c r="C20" s="726"/>
      <c r="D20" s="585"/>
      <c r="E20" s="726"/>
      <c r="F20" s="1755">
        <f>SUM(C20+D20)-E20</f>
        <v>0</v>
      </c>
    </row>
    <row r="21" spans="1:11" ht="14.25" thickTop="1" thickBot="1" x14ac:dyDescent="0.25">
      <c r="A21" s="2191" t="s">
        <v>632</v>
      </c>
      <c r="B21" s="2192"/>
      <c r="C21" s="1755">
        <f>SUM(C17:C20)</f>
        <v>0</v>
      </c>
      <c r="D21" s="1755">
        <f>SUM(D17:D20)</f>
        <v>0</v>
      </c>
      <c r="E21" s="1755">
        <f>SUM(E17:E20)</f>
        <v>0</v>
      </c>
      <c r="F21" s="1755">
        <f>SUM(F17:F20)</f>
        <v>0</v>
      </c>
      <c r="G21" s="552"/>
    </row>
    <row r="22" spans="1:11" ht="15.75" customHeight="1" thickTop="1" x14ac:dyDescent="0.2">
      <c r="A22" s="2216" t="s">
        <v>1112</v>
      </c>
      <c r="B22" s="2190"/>
      <c r="C22" s="2198"/>
      <c r="D22" s="2199"/>
      <c r="E22" s="2199"/>
      <c r="F22" s="2200"/>
    </row>
    <row r="23" spans="1:11" ht="13.5" thickBot="1" x14ac:dyDescent="0.25">
      <c r="A23" s="2204" t="s">
        <v>633</v>
      </c>
      <c r="B23" s="2205"/>
      <c r="C23" s="581"/>
      <c r="D23" s="581"/>
      <c r="E23" s="581"/>
      <c r="F23" s="1755">
        <f>SUM(C23+D23)-E23</f>
        <v>0</v>
      </c>
      <c r="G23" s="552"/>
    </row>
    <row r="24" spans="1:11" ht="15.75" customHeight="1" thickTop="1" x14ac:dyDescent="0.2">
      <c r="A24" s="2216" t="s">
        <v>1113</v>
      </c>
      <c r="B24" s="2190"/>
      <c r="C24" s="2198"/>
      <c r="D24" s="2199"/>
      <c r="E24" s="2199"/>
      <c r="F24" s="2200"/>
    </row>
    <row r="25" spans="1:11" ht="13.5" thickBot="1" x14ac:dyDescent="0.25">
      <c r="A25" s="2204" t="s">
        <v>634</v>
      </c>
      <c r="B25" s="2205"/>
      <c r="C25" s="581"/>
      <c r="D25" s="581"/>
      <c r="E25" s="581"/>
      <c r="F25" s="1755">
        <f>SUM(C25+D25)-E25</f>
        <v>0</v>
      </c>
      <c r="G25" s="552"/>
    </row>
    <row r="26" spans="1:11" ht="15.75" customHeight="1" thickTop="1" x14ac:dyDescent="0.2">
      <c r="A26" s="2189" t="s">
        <v>657</v>
      </c>
      <c r="B26" s="2190"/>
      <c r="C26" s="727"/>
      <c r="D26" s="727"/>
      <c r="E26" s="727"/>
      <c r="F26" s="728"/>
    </row>
    <row r="27" spans="1:11" ht="13.5" thickBot="1" x14ac:dyDescent="0.25">
      <c r="A27" s="2191" t="s">
        <v>1070</v>
      </c>
      <c r="B27" s="2192"/>
      <c r="C27" s="585"/>
      <c r="D27" s="585"/>
      <c r="E27" s="585"/>
      <c r="F27" s="1755">
        <f>SUM(C27+D27)-E27</f>
        <v>0</v>
      </c>
      <c r="G27" s="552"/>
    </row>
    <row r="28" spans="1:11" ht="7.5" customHeight="1" thickTop="1" x14ac:dyDescent="0.2">
      <c r="A28" s="593"/>
    </row>
    <row r="29" spans="1:11" ht="23.25" customHeight="1" x14ac:dyDescent="0.2">
      <c r="A29" s="2217" t="s">
        <v>582</v>
      </c>
      <c r="B29" s="2194"/>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2078</v>
      </c>
      <c r="B31" s="733">
        <v>40603</v>
      </c>
      <c r="C31" s="734">
        <v>1255000</v>
      </c>
      <c r="D31" s="735">
        <v>6</v>
      </c>
      <c r="E31" s="734">
        <v>970000</v>
      </c>
      <c r="F31" s="734"/>
      <c r="G31" s="734"/>
      <c r="H31" s="734">
        <v>55000</v>
      </c>
      <c r="I31" s="1756">
        <f>((E31+F31)-H31)+G31</f>
        <v>915000</v>
      </c>
      <c r="J31" s="734">
        <v>914769</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1255000</v>
      </c>
      <c r="D49" s="745"/>
      <c r="E49" s="1756">
        <f t="shared" ref="E49:J49" si="2">SUM(E31:E48)</f>
        <v>970000</v>
      </c>
      <c r="F49" s="1756">
        <f t="shared" si="2"/>
        <v>0</v>
      </c>
      <c r="G49" s="1756">
        <f t="shared" si="2"/>
        <v>0</v>
      </c>
      <c r="H49" s="1756">
        <f t="shared" si="2"/>
        <v>55000</v>
      </c>
      <c r="I49" s="1756">
        <f t="shared" si="2"/>
        <v>915000</v>
      </c>
      <c r="J49" s="1756">
        <f t="shared" si="2"/>
        <v>914769</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8" t="s">
        <v>584</v>
      </c>
      <c r="C52" s="2209"/>
      <c r="D52" s="2209"/>
      <c r="E52" s="749" t="s">
        <v>845</v>
      </c>
      <c r="F52" s="2210"/>
      <c r="G52" s="2211"/>
      <c r="H52" s="736"/>
      <c r="I52" s="736"/>
      <c r="J52" s="746"/>
    </row>
    <row r="53" spans="1:11" ht="11.25" customHeight="1" x14ac:dyDescent="0.2">
      <c r="A53" s="750" t="s">
        <v>913</v>
      </c>
      <c r="B53" s="751" t="s">
        <v>951</v>
      </c>
      <c r="C53" s="746"/>
      <c r="D53" s="737"/>
      <c r="E53" s="749" t="s">
        <v>497</v>
      </c>
      <c r="F53" s="2212"/>
      <c r="G53" s="2213"/>
      <c r="H53" s="736"/>
      <c r="I53" s="736"/>
      <c r="J53" s="746"/>
    </row>
    <row r="54" spans="1:11" ht="11.25" customHeight="1" x14ac:dyDescent="0.2">
      <c r="A54" s="752" t="s">
        <v>914</v>
      </c>
      <c r="B54" s="747" t="s">
        <v>952</v>
      </c>
      <c r="C54" s="746"/>
      <c r="D54" s="737"/>
      <c r="E54" s="749" t="s">
        <v>498</v>
      </c>
      <c r="F54" s="2212"/>
      <c r="G54" s="221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63"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J23" sqref="J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2" t="s">
        <v>856</v>
      </c>
      <c r="B1" s="2243"/>
      <c r="C1" s="2243"/>
      <c r="D1" s="2243"/>
      <c r="E1" s="2243"/>
      <c r="F1" s="2243"/>
      <c r="G1" s="2244"/>
      <c r="H1" s="1530"/>
      <c r="I1" s="760"/>
      <c r="J1" s="433"/>
    </row>
    <row r="2" spans="1:11" ht="26.25" x14ac:dyDescent="0.2">
      <c r="A2" s="2221" t="s">
        <v>1677</v>
      </c>
      <c r="B2" s="2222"/>
      <c r="C2" s="2222"/>
      <c r="D2" s="2222"/>
      <c r="E2" s="2223"/>
      <c r="F2" s="761" t="s">
        <v>904</v>
      </c>
      <c r="G2" s="762" t="s">
        <v>1674</v>
      </c>
      <c r="H2" s="762" t="s">
        <v>410</v>
      </c>
      <c r="I2" s="762" t="s">
        <v>1158</v>
      </c>
      <c r="J2" s="762" t="s">
        <v>1812</v>
      </c>
      <c r="K2" s="762" t="s">
        <v>138</v>
      </c>
    </row>
    <row r="3" spans="1:11" x14ac:dyDescent="0.2">
      <c r="A3" s="2224" t="s">
        <v>1964</v>
      </c>
      <c r="B3" s="2225"/>
      <c r="C3" s="2225"/>
      <c r="D3" s="2225"/>
      <c r="E3" s="2226"/>
      <c r="F3" s="763"/>
      <c r="G3" s="764"/>
      <c r="H3" s="764"/>
      <c r="I3" s="764"/>
      <c r="J3" s="765"/>
      <c r="K3" s="765"/>
    </row>
    <row r="4" spans="1:11" x14ac:dyDescent="0.2">
      <c r="A4" s="2227" t="s">
        <v>369</v>
      </c>
      <c r="B4" s="2228"/>
      <c r="C4" s="2228"/>
      <c r="D4" s="2228"/>
      <c r="E4" s="2209"/>
      <c r="F4" s="766"/>
      <c r="G4" s="767"/>
      <c r="H4" s="768"/>
      <c r="I4" s="767"/>
      <c r="J4" s="769"/>
      <c r="K4" s="769"/>
    </row>
    <row r="5" spans="1:11" x14ac:dyDescent="0.2">
      <c r="A5" s="2245" t="s">
        <v>1069</v>
      </c>
      <c r="B5" s="2218"/>
      <c r="C5" s="2218"/>
      <c r="D5" s="2218"/>
      <c r="E5" s="2246"/>
      <c r="F5" s="770" t="s">
        <v>848</v>
      </c>
      <c r="G5" s="771"/>
      <c r="H5" s="764">
        <v>3510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5" t="s">
        <v>1813</v>
      </c>
      <c r="B10" s="2218"/>
      <c r="C10" s="2218"/>
      <c r="D10" s="2218"/>
      <c r="E10" s="2247"/>
      <c r="F10" s="783" t="s">
        <v>862</v>
      </c>
      <c r="G10" s="782"/>
      <c r="H10" s="784"/>
      <c r="I10" s="764"/>
      <c r="J10" s="765"/>
      <c r="K10" s="765"/>
    </row>
    <row r="11" spans="1:11" x14ac:dyDescent="0.2">
      <c r="A11" s="2245" t="s">
        <v>160</v>
      </c>
      <c r="B11" s="2218"/>
      <c r="C11" s="2218"/>
      <c r="D11" s="2218"/>
      <c r="E11" s="2246"/>
      <c r="F11" s="770" t="s">
        <v>852</v>
      </c>
      <c r="G11" s="771"/>
      <c r="H11" s="764"/>
      <c r="I11" s="764"/>
      <c r="J11" s="765"/>
      <c r="K11" s="773"/>
    </row>
    <row r="12" spans="1:11" ht="13.5" thickBot="1" x14ac:dyDescent="0.25">
      <c r="A12" s="2235" t="s">
        <v>905</v>
      </c>
      <c r="B12" s="2236"/>
      <c r="C12" s="2236"/>
      <c r="D12" s="2236"/>
      <c r="E12" s="2237"/>
      <c r="F12" s="1757"/>
      <c r="G12" s="1758">
        <f>SUM(G5:G11)</f>
        <v>0</v>
      </c>
      <c r="H12" s="1758">
        <f>SUM(H5:H11)</f>
        <v>3510</v>
      </c>
      <c r="I12" s="1758">
        <f>SUM(I5:I11)</f>
        <v>0</v>
      </c>
      <c r="J12" s="1758">
        <f>SUM(J5:J11)</f>
        <v>0</v>
      </c>
      <c r="K12" s="1758">
        <f>SUM(K5:K11)</f>
        <v>0</v>
      </c>
    </row>
    <row r="13" spans="1:11" ht="13.5" thickTop="1" x14ac:dyDescent="0.2">
      <c r="A13" s="2229" t="s">
        <v>370</v>
      </c>
      <c r="B13" s="2230"/>
      <c r="C13" s="2230"/>
      <c r="D13" s="2230"/>
      <c r="E13" s="2231"/>
      <c r="F13" s="785"/>
      <c r="G13" s="786"/>
      <c r="H13" s="787"/>
      <c r="I13" s="788"/>
      <c r="J13" s="788"/>
      <c r="K13" s="788"/>
    </row>
    <row r="14" spans="1:11" x14ac:dyDescent="0.2">
      <c r="A14" s="2251" t="s">
        <v>456</v>
      </c>
      <c r="B14" s="2251"/>
      <c r="C14" s="2251"/>
      <c r="D14" s="2251"/>
      <c r="E14" s="2252"/>
      <c r="F14" s="789" t="s">
        <v>854</v>
      </c>
      <c r="G14" s="782"/>
      <c r="H14" s="764">
        <v>3510</v>
      </c>
      <c r="I14" s="771"/>
      <c r="J14" s="773"/>
      <c r="K14" s="765"/>
    </row>
    <row r="15" spans="1:11" x14ac:dyDescent="0.2">
      <c r="A15" s="2218" t="s">
        <v>4</v>
      </c>
      <c r="B15" s="2218"/>
      <c r="C15" s="2218"/>
      <c r="D15" s="2218"/>
      <c r="E15" s="2246"/>
      <c r="F15" s="789" t="s">
        <v>855</v>
      </c>
      <c r="G15" s="771"/>
      <c r="H15" s="764"/>
      <c r="I15" s="764"/>
      <c r="J15" s="765"/>
      <c r="K15" s="765"/>
    </row>
    <row r="16" spans="1:11" x14ac:dyDescent="0.2">
      <c r="A16" s="2218" t="s">
        <v>298</v>
      </c>
      <c r="B16" s="2218"/>
      <c r="C16" s="2218"/>
      <c r="D16" s="2218"/>
      <c r="E16" s="2246"/>
      <c r="F16" s="789" t="s">
        <v>923</v>
      </c>
      <c r="G16" s="772"/>
      <c r="H16" s="767"/>
      <c r="I16" s="767"/>
      <c r="J16" s="769"/>
      <c r="K16" s="769"/>
    </row>
    <row r="17" spans="1:11" x14ac:dyDescent="0.2">
      <c r="A17" s="2240" t="s">
        <v>935</v>
      </c>
      <c r="B17" s="2240"/>
      <c r="C17" s="2240"/>
      <c r="D17" s="2240"/>
      <c r="E17" s="2241"/>
      <c r="F17" s="790"/>
      <c r="G17" s="791"/>
      <c r="H17" s="792"/>
      <c r="I17" s="792"/>
      <c r="J17" s="793"/>
      <c r="K17" s="794"/>
    </row>
    <row r="18" spans="1:11" x14ac:dyDescent="0.2">
      <c r="A18" s="2232" t="s">
        <v>368</v>
      </c>
      <c r="B18" s="2233"/>
      <c r="C18" s="2233"/>
      <c r="D18" s="2233"/>
      <c r="E18" s="2234"/>
      <c r="F18" s="789" t="s">
        <v>932</v>
      </c>
      <c r="G18" s="782"/>
      <c r="H18" s="782"/>
      <c r="I18" s="782"/>
      <c r="J18" s="765"/>
      <c r="K18" s="795"/>
    </row>
    <row r="19" spans="1:11" ht="21.75" customHeight="1" x14ac:dyDescent="0.2">
      <c r="A19" s="2253" t="s">
        <v>1809</v>
      </c>
      <c r="B19" s="2253"/>
      <c r="C19" s="2253"/>
      <c r="D19" s="2253"/>
      <c r="E19" s="2254"/>
      <c r="F19" s="789" t="s">
        <v>933</v>
      </c>
      <c r="G19" s="782"/>
      <c r="H19" s="782"/>
      <c r="I19" s="782"/>
      <c r="J19" s="765"/>
      <c r="K19" s="795"/>
    </row>
    <row r="20" spans="1:11" x14ac:dyDescent="0.2">
      <c r="A20" s="2232" t="s">
        <v>1814</v>
      </c>
      <c r="B20" s="2233"/>
      <c r="C20" s="2233"/>
      <c r="D20" s="2233"/>
      <c r="E20" s="2234"/>
      <c r="F20" s="789" t="s">
        <v>934</v>
      </c>
      <c r="G20" s="782"/>
      <c r="H20" s="782"/>
      <c r="I20" s="782"/>
      <c r="J20" s="765"/>
      <c r="K20" s="795"/>
    </row>
    <row r="21" spans="1:11" ht="13.5" thickBot="1" x14ac:dyDescent="0.25">
      <c r="A21" s="2238" t="s">
        <v>638</v>
      </c>
      <c r="B21" s="2238"/>
      <c r="C21" s="2238"/>
      <c r="D21" s="2238"/>
      <c r="E21" s="2238"/>
      <c r="F21" s="1759"/>
      <c r="G21" s="792"/>
      <c r="H21" s="796"/>
      <c r="I21" s="796"/>
      <c r="J21" s="1760">
        <f>SUM(J18:J20)</f>
        <v>0</v>
      </c>
      <c r="K21" s="793"/>
    </row>
    <row r="22" spans="1:11" ht="13.5" thickTop="1" x14ac:dyDescent="0.2">
      <c r="A22" s="2218" t="s">
        <v>1815</v>
      </c>
      <c r="B22" s="2218"/>
      <c r="C22" s="2218"/>
      <c r="D22" s="2218"/>
      <c r="E22" s="2246"/>
      <c r="F22" s="789" t="s">
        <v>862</v>
      </c>
      <c r="G22" s="782"/>
      <c r="H22" s="764"/>
      <c r="I22" s="764"/>
      <c r="J22" s="797"/>
      <c r="K22" s="765"/>
    </row>
    <row r="23" spans="1:11" ht="13.5" thickBot="1" x14ac:dyDescent="0.25">
      <c r="A23" s="2239" t="s">
        <v>906</v>
      </c>
      <c r="B23" s="2238"/>
      <c r="C23" s="2238"/>
      <c r="D23" s="2238"/>
      <c r="E23" s="2238"/>
      <c r="F23" s="1761"/>
      <c r="G23" s="1758">
        <f>SUM(G14:G16,G21,G22)</f>
        <v>0</v>
      </c>
      <c r="H23" s="1758">
        <f>SUM(H14:H16,H21,H22)</f>
        <v>3510</v>
      </c>
      <c r="I23" s="1758">
        <f>SUM(I14:I16,I21,I22)</f>
        <v>0</v>
      </c>
      <c r="J23" s="1758">
        <f>SUM(J14:J16,J21,J22)</f>
        <v>0</v>
      </c>
      <c r="K23" s="1758">
        <f>SUM(K14:K16,K21,K22)</f>
        <v>0</v>
      </c>
    </row>
    <row r="24" spans="1:11" ht="14.25" thickTop="1" thickBot="1" x14ac:dyDescent="0.25">
      <c r="A24" s="2239" t="s">
        <v>1965</v>
      </c>
      <c r="B24" s="2238"/>
      <c r="C24" s="2238"/>
      <c r="D24" s="2238"/>
      <c r="E24" s="2238"/>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48"/>
      <c r="I31" s="2249"/>
      <c r="J31" s="2249"/>
      <c r="K31" s="2249"/>
    </row>
    <row r="32" spans="1:11" x14ac:dyDescent="0.2">
      <c r="A32" s="809"/>
      <c r="B32" s="237"/>
      <c r="C32" s="237"/>
      <c r="D32" s="237"/>
      <c r="E32" s="805"/>
      <c r="F32" s="811" t="s">
        <v>540</v>
      </c>
      <c r="G32" s="764"/>
      <c r="H32" s="2250"/>
      <c r="I32" s="2249"/>
      <c r="J32" s="2249"/>
      <c r="K32" s="2249"/>
    </row>
    <row r="33" spans="1:11" ht="1.5" customHeight="1" x14ac:dyDescent="0.2">
      <c r="A33" s="812" t="s">
        <v>1169</v>
      </c>
      <c r="B33" s="364"/>
      <c r="C33" s="364"/>
      <c r="D33" s="364"/>
      <c r="E33" s="364"/>
      <c r="F33" s="364"/>
      <c r="G33" s="813"/>
      <c r="H33" s="2250"/>
      <c r="I33" s="2249"/>
      <c r="J33" s="2249"/>
      <c r="K33" s="224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19"/>
      <c r="C41" s="2219"/>
      <c r="D41" s="2219"/>
      <c r="E41" s="2219"/>
      <c r="F41" s="222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64"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14" sqref="C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1909</v>
      </c>
      <c r="B1" s="2258"/>
      <c r="C1" s="2259"/>
      <c r="D1" s="826"/>
      <c r="E1" s="827"/>
      <c r="F1" s="827"/>
      <c r="G1" s="828"/>
      <c r="H1" s="829"/>
      <c r="I1" s="830"/>
      <c r="J1" s="2255"/>
      <c r="K1" s="2256"/>
      <c r="L1" s="2256"/>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1258368</v>
      </c>
      <c r="D8" s="844"/>
      <c r="E8" s="844"/>
      <c r="F8" s="1760">
        <f>(C8+D8)-E8</f>
        <v>1258368</v>
      </c>
      <c r="G8" s="843">
        <v>50</v>
      </c>
      <c r="H8" s="765">
        <v>175644</v>
      </c>
      <c r="I8" s="765">
        <v>25167</v>
      </c>
      <c r="J8" s="765"/>
      <c r="K8" s="1769">
        <f>(H8+I8)-J8</f>
        <v>200811</v>
      </c>
      <c r="L8" s="1769">
        <f>F8-K8</f>
        <v>1057557</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232746</v>
      </c>
      <c r="D12" s="844"/>
      <c r="E12" s="844"/>
      <c r="F12" s="1760">
        <f>(C12+D12)-E12</f>
        <v>232746</v>
      </c>
      <c r="G12" s="843">
        <v>10</v>
      </c>
      <c r="H12" s="765">
        <v>177089</v>
      </c>
      <c r="I12" s="765">
        <v>7509</v>
      </c>
      <c r="J12" s="765"/>
      <c r="K12" s="1769">
        <f>(H12+I12)-J12</f>
        <v>184598</v>
      </c>
      <c r="L12" s="1769">
        <f>F12-K12</f>
        <v>48148</v>
      </c>
    </row>
    <row r="13" spans="1:14" ht="14.25" thickTop="1" thickBot="1" x14ac:dyDescent="0.25">
      <c r="A13" s="848" t="s">
        <v>1122</v>
      </c>
      <c r="B13" s="840">
        <v>252</v>
      </c>
      <c r="C13" s="844">
        <v>148691</v>
      </c>
      <c r="D13" s="844"/>
      <c r="E13" s="844"/>
      <c r="F13" s="1760">
        <f>(C13+D13)-E13</f>
        <v>148691</v>
      </c>
      <c r="G13" s="843">
        <v>5</v>
      </c>
      <c r="H13" s="765">
        <v>148691</v>
      </c>
      <c r="I13" s="765"/>
      <c r="J13" s="765"/>
      <c r="K13" s="1769">
        <f>(H13+I13)-J13</f>
        <v>148691</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1639805</v>
      </c>
      <c r="D16" s="1760">
        <f>SUM(D3,D5:D6,D8:D10,D12:D15)</f>
        <v>0</v>
      </c>
      <c r="E16" s="1760">
        <f>SUM(E3,E5:E6,E8:E10,E12:E15)</f>
        <v>0</v>
      </c>
      <c r="F16" s="1760">
        <f>SUM(F3,F5:F6,F8:F10,F12:F15)</f>
        <v>1639805</v>
      </c>
      <c r="G16" s="843"/>
      <c r="H16" s="1760">
        <f>SUM(H3,H6,H8:H10,H12:H14,)</f>
        <v>501424</v>
      </c>
      <c r="I16" s="1760">
        <f>SUM(I3,I6,I8:I10,I12:I14,)</f>
        <v>32676</v>
      </c>
      <c r="J16" s="1760">
        <f>SUM(J3,J6,J8:J10,J12:J14,)</f>
        <v>0</v>
      </c>
      <c r="K16" s="1760">
        <f>(H16+I16)-J16</f>
        <v>534100</v>
      </c>
      <c r="L16" s="1760">
        <f>F16-K16</f>
        <v>1105705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32676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65"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0" activePane="bottomLeft" state="frozen"/>
      <selection activeCell="A47" sqref="A47"/>
      <selection pane="bottomLeft" activeCell="J80" sqref="J8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1975</v>
      </c>
      <c r="B1" s="2264"/>
      <c r="C1" s="2264"/>
      <c r="D1" s="2264"/>
      <c r="E1" s="2264"/>
      <c r="F1" s="2265"/>
      <c r="G1" s="855"/>
    </row>
    <row r="2" spans="1:7" ht="15" customHeight="1" thickBot="1" x14ac:dyDescent="0.25">
      <c r="A2" s="2266" t="s">
        <v>477</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651570</v>
      </c>
      <c r="G8" s="865"/>
    </row>
    <row r="9" spans="1:7" x14ac:dyDescent="0.2">
      <c r="A9" s="869" t="s">
        <v>460</v>
      </c>
      <c r="B9" s="870" t="s">
        <v>1877</v>
      </c>
      <c r="C9" s="871"/>
      <c r="D9" s="869" t="s">
        <v>501</v>
      </c>
      <c r="E9" s="868"/>
      <c r="F9" s="1909">
        <f>'Expenditures 15-22'!K151</f>
        <v>37199</v>
      </c>
      <c r="G9" s="872"/>
    </row>
    <row r="10" spans="1:7" x14ac:dyDescent="0.2">
      <c r="A10" s="869" t="s">
        <v>499</v>
      </c>
      <c r="B10" s="870" t="s">
        <v>1878</v>
      </c>
      <c r="C10" s="871"/>
      <c r="D10" s="869" t="s">
        <v>501</v>
      </c>
      <c r="E10" s="868"/>
      <c r="F10" s="1909">
        <f>'Expenditures 15-22'!K174</f>
        <v>105076</v>
      </c>
      <c r="G10" s="872"/>
    </row>
    <row r="11" spans="1:7" x14ac:dyDescent="0.2">
      <c r="A11" s="869" t="s">
        <v>461</v>
      </c>
      <c r="B11" s="870" t="s">
        <v>1879</v>
      </c>
      <c r="C11" s="871"/>
      <c r="D11" s="869" t="s">
        <v>501</v>
      </c>
      <c r="E11" s="868"/>
      <c r="F11" s="1909">
        <f>'Expenditures 15-22'!K210</f>
        <v>40206</v>
      </c>
      <c r="G11" s="872"/>
    </row>
    <row r="12" spans="1:7" x14ac:dyDescent="0.2">
      <c r="A12" s="869" t="s">
        <v>462</v>
      </c>
      <c r="B12" s="870" t="s">
        <v>1880</v>
      </c>
      <c r="C12" s="871"/>
      <c r="D12" s="869" t="s">
        <v>501</v>
      </c>
      <c r="E12" s="868"/>
      <c r="F12" s="1909">
        <f>'Expenditures 15-22'!K295</f>
        <v>26425</v>
      </c>
      <c r="G12" s="872"/>
    </row>
    <row r="13" spans="1:7" x14ac:dyDescent="0.2">
      <c r="A13" s="869" t="s">
        <v>106</v>
      </c>
      <c r="B13" s="870" t="s">
        <v>1881</v>
      </c>
      <c r="C13" s="871"/>
      <c r="D13" s="869" t="s">
        <v>501</v>
      </c>
      <c r="E13" s="868"/>
      <c r="F13" s="1909">
        <f>'Expenditures 15-22'!K342</f>
        <v>91380</v>
      </c>
      <c r="G13" s="873"/>
    </row>
    <row r="14" spans="1:7" ht="12" customHeight="1" thickBot="1" x14ac:dyDescent="0.25">
      <c r="A14" s="1770"/>
      <c r="B14" s="1771"/>
      <c r="C14" s="1772"/>
      <c r="D14" s="1773" t="s">
        <v>501</v>
      </c>
      <c r="E14" s="1774" t="s">
        <v>958</v>
      </c>
      <c r="F14" s="1775">
        <f>SUM(F8:F13)</f>
        <v>951856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32955</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10726</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55000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98681</v>
      </c>
      <c r="G76" s="865"/>
    </row>
    <row r="77" spans="1:8" s="893" customFormat="1" ht="12" customHeight="1" thickTop="1" thickBot="1" x14ac:dyDescent="0.25">
      <c r="A77" s="1779"/>
      <c r="B77" s="1776"/>
      <c r="C77" s="1772"/>
      <c r="D77" s="1777" t="s">
        <v>1900</v>
      </c>
      <c r="E77" s="1774"/>
      <c r="F77" s="1780">
        <f>(F14-F76)</f>
        <v>853175</v>
      </c>
      <c r="G77" s="869"/>
    </row>
    <row r="78" spans="1:8" s="893" customFormat="1" ht="12" customHeight="1" thickTop="1" x14ac:dyDescent="0.2">
      <c r="A78" s="1781"/>
      <c r="B78" s="1776"/>
      <c r="C78" s="1772"/>
      <c r="D78" s="1777" t="s">
        <v>2062</v>
      </c>
      <c r="E78" s="1774"/>
      <c r="F78" s="898">
        <v>83.483000000000004</v>
      </c>
      <c r="G78" s="899"/>
      <c r="H78" s="869"/>
    </row>
    <row r="79" spans="1:8" s="893" customFormat="1" ht="12" customHeight="1" thickBot="1" x14ac:dyDescent="0.25">
      <c r="A79" s="1782"/>
      <c r="B79" s="1776"/>
      <c r="C79" s="1772"/>
      <c r="D79" s="1777" t="s">
        <v>1901</v>
      </c>
      <c r="E79" s="1774" t="s">
        <v>958</v>
      </c>
      <c r="F79" s="1783">
        <f>IF(F78&gt;0,F77/F78," Complete Line 78")</f>
        <v>10219.745337374075</v>
      </c>
      <c r="G79" s="869"/>
    </row>
    <row r="80" spans="1:8" s="893" customFormat="1" ht="8.25" customHeight="1" thickTop="1" x14ac:dyDescent="0.2">
      <c r="A80" s="900"/>
      <c r="B80" s="869"/>
      <c r="C80" s="871"/>
      <c r="D80" s="901"/>
      <c r="E80" s="868"/>
      <c r="F80" s="902"/>
      <c r="G80" s="869"/>
    </row>
    <row r="81" spans="1:7" s="893" customFormat="1" ht="12" thickBot="1" x14ac:dyDescent="0.25">
      <c r="A81" s="2260" t="s">
        <v>1105</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23761</v>
      </c>
      <c r="G94" s="912"/>
    </row>
    <row r="95" spans="1:7" x14ac:dyDescent="0.2">
      <c r="A95" s="908" t="s">
        <v>140</v>
      </c>
      <c r="B95" s="908" t="s">
        <v>175</v>
      </c>
      <c r="C95" s="910">
        <v>1700</v>
      </c>
      <c r="D95" s="918" t="str">
        <f>'Revenues 9-14'!A82</f>
        <v>Total District/School Activity Income</v>
      </c>
      <c r="E95" s="906"/>
      <c r="F95" s="1789">
        <f>SUM('Revenues 9-14'!C82,'Revenues 9-14'!D82)</f>
        <v>3280</v>
      </c>
      <c r="G95" s="912"/>
    </row>
    <row r="96" spans="1:7" x14ac:dyDescent="0.2">
      <c r="A96" s="908" t="s">
        <v>459</v>
      </c>
      <c r="B96" s="908" t="s">
        <v>176</v>
      </c>
      <c r="C96" s="910">
        <f>'Revenues 9-14'!B84</f>
        <v>1811</v>
      </c>
      <c r="D96" s="911" t="str">
        <f>'Revenues 9-14'!A84</f>
        <v>Rentals - Regular Textbooks</v>
      </c>
      <c r="E96" s="906"/>
      <c r="F96" s="1789">
        <f>'Revenues 9-14'!C84</f>
        <v>9562</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3950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256</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5818</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17626</v>
      </c>
      <c r="G125" s="930"/>
    </row>
    <row r="126" spans="1:7" x14ac:dyDescent="0.2">
      <c r="A126" s="927" t="s">
        <v>668</v>
      </c>
      <c r="B126" s="927" t="s">
        <v>2024</v>
      </c>
      <c r="C126" s="932">
        <v>4300</v>
      </c>
      <c r="D126" s="933" t="str">
        <f>'Revenues 9-14'!A204</f>
        <v>Total Title I</v>
      </c>
      <c r="E126" s="906"/>
      <c r="F126" s="1789">
        <f>SUM('Revenues 9-14'!C204,'Revenues 9-14'!D204,'Revenues 9-14'!F204,'Revenues 9-14'!G204)</f>
        <v>4628</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382</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167</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2000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71430</v>
      </c>
    </row>
    <row r="175" spans="1:7" ht="12" customHeight="1" x14ac:dyDescent="0.2">
      <c r="A175" s="1770"/>
      <c r="B175" s="1784"/>
      <c r="C175" s="1785"/>
      <c r="D175" s="1786" t="s">
        <v>2057</v>
      </c>
      <c r="E175" s="1787"/>
      <c r="F175" s="1789">
        <f>'PCTC-OEPP 27-28'!F77-F174</f>
        <v>781745</v>
      </c>
    </row>
    <row r="176" spans="1:7" ht="12" customHeight="1" x14ac:dyDescent="0.2">
      <c r="A176" s="1770"/>
      <c r="B176" s="1784"/>
      <c r="C176" s="1785"/>
      <c r="D176" s="1786" t="s">
        <v>1817</v>
      </c>
      <c r="E176" s="1787"/>
      <c r="F176" s="1789">
        <f>'Cap Outlay Deprec 26'!I18</f>
        <v>32676</v>
      </c>
    </row>
    <row r="177" spans="1:7" ht="12" customHeight="1" x14ac:dyDescent="0.2">
      <c r="A177" s="1770"/>
      <c r="B177" s="1784"/>
      <c r="C177" s="1785"/>
      <c r="D177" s="1786" t="s">
        <v>2058</v>
      </c>
      <c r="E177" s="1787"/>
      <c r="F177" s="1789">
        <f>F175+F176</f>
        <v>814421</v>
      </c>
    </row>
    <row r="178" spans="1:7" ht="12" customHeight="1" x14ac:dyDescent="0.2">
      <c r="A178" s="1770"/>
      <c r="B178" s="1790"/>
      <c r="C178" s="1785"/>
      <c r="D178" s="1786" t="str">
        <f>D78</f>
        <v>9 Month ADA from District Average Daily Attendance/Prior General State Aid Inquiry 2018-2019</v>
      </c>
      <c r="E178" s="1787"/>
      <c r="F178" s="1791">
        <f>'PCTC-OEPP 27-28'!F78</f>
        <v>83.483000000000004</v>
      </c>
      <c r="G178" s="930"/>
    </row>
    <row r="179" spans="1:7" ht="12" customHeight="1" thickBot="1" x14ac:dyDescent="0.25">
      <c r="A179" s="1770"/>
      <c r="B179" s="1790"/>
      <c r="C179" s="1785"/>
      <c r="D179" s="1786" t="s">
        <v>2059</v>
      </c>
      <c r="E179" s="1787" t="s">
        <v>1545</v>
      </c>
      <c r="F179" s="1792">
        <f>F177/F178</f>
        <v>9755.5310662050961</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66"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24" sqref="D24"/>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4" t="s">
        <v>1818</v>
      </c>
      <c r="B4" s="2275"/>
      <c r="C4" s="2275"/>
      <c r="D4" s="2275"/>
      <c r="E4" s="2275"/>
      <c r="F4" s="2275"/>
      <c r="G4" s="2276"/>
    </row>
    <row r="5" spans="1:7" x14ac:dyDescent="0.25">
      <c r="A5" s="2277"/>
      <c r="B5" s="2278"/>
      <c r="C5" s="2278"/>
      <c r="D5" s="2278"/>
      <c r="E5" s="2278"/>
      <c r="F5" s="2278"/>
      <c r="G5" s="2279"/>
    </row>
    <row r="6" spans="1:7" ht="18.75" x14ac:dyDescent="0.25">
      <c r="A6" s="1534" t="s">
        <v>1819</v>
      </c>
      <c r="B6" s="1535"/>
      <c r="C6" s="1535"/>
      <c r="D6" s="1535"/>
      <c r="E6" s="1535"/>
      <c r="F6" s="1535"/>
      <c r="G6" s="1536"/>
    </row>
    <row r="7" spans="1:7" ht="30.75" customHeight="1" x14ac:dyDescent="0.25">
      <c r="A7" s="2280" t="s">
        <v>1932</v>
      </c>
      <c r="B7" s="2281"/>
      <c r="C7" s="2281"/>
      <c r="D7" s="2281"/>
      <c r="E7" s="2281"/>
      <c r="F7" s="2281"/>
      <c r="G7" s="2282"/>
    </row>
    <row r="8" spans="1:7" ht="15.75" customHeight="1" x14ac:dyDescent="0.25">
      <c r="A8" s="2283" t="s">
        <v>1907</v>
      </c>
      <c r="B8" s="2284"/>
      <c r="C8" s="2284"/>
      <c r="D8" s="2284"/>
      <c r="E8" s="2284"/>
      <c r="F8" s="2284"/>
      <c r="G8" s="2285"/>
    </row>
    <row r="9" spans="1:7" ht="35.25" customHeight="1" x14ac:dyDescent="0.25">
      <c r="A9" s="2280" t="s">
        <v>1935</v>
      </c>
      <c r="B9" s="2281"/>
      <c r="C9" s="2281"/>
      <c r="D9" s="2281"/>
      <c r="E9" s="2281"/>
      <c r="F9" s="2281"/>
      <c r="G9" s="2282"/>
    </row>
    <row r="10" spans="1:7" ht="15" customHeight="1" x14ac:dyDescent="0.25">
      <c r="A10" s="1537" t="s">
        <v>1820</v>
      </c>
      <c r="B10" s="1538"/>
      <c r="C10" s="1538"/>
      <c r="D10" s="1538"/>
      <c r="E10" s="1538"/>
      <c r="F10" s="1538"/>
      <c r="G10" s="1539"/>
    </row>
    <row r="11" spans="1:7" ht="17.25" customHeight="1" x14ac:dyDescent="0.25">
      <c r="A11" s="2280" t="s">
        <v>1934</v>
      </c>
      <c r="B11" s="2281"/>
      <c r="C11" s="2281"/>
      <c r="D11" s="2281"/>
      <c r="E11" s="2281"/>
      <c r="F11" s="2281"/>
      <c r="G11" s="2282"/>
    </row>
    <row r="12" spans="1:7" ht="15" customHeight="1" x14ac:dyDescent="0.25">
      <c r="A12" s="1537" t="s">
        <v>1825</v>
      </c>
      <c r="B12" s="1538"/>
      <c r="C12" s="1538"/>
      <c r="D12" s="1538"/>
      <c r="E12" s="1538"/>
      <c r="F12" s="1538"/>
      <c r="G12" s="1539"/>
    </row>
    <row r="13" spans="1:7" ht="32.25" customHeight="1" x14ac:dyDescent="0.25">
      <c r="A13" s="2271" t="s">
        <v>1976</v>
      </c>
      <c r="B13" s="2272"/>
      <c r="C13" s="2272"/>
      <c r="D13" s="2272"/>
      <c r="E13" s="2272"/>
      <c r="F13" s="2272"/>
      <c r="G13" s="2273"/>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2079</v>
      </c>
      <c r="B17" s="2491" t="s">
        <v>2097</v>
      </c>
      <c r="C17" s="1939" t="s">
        <v>2080</v>
      </c>
      <c r="D17" s="1844">
        <v>1704</v>
      </c>
      <c r="E17" s="1540">
        <f t="shared" ref="E17:E141" si="0">IF(D17&lt;=25000,D17,IF(D17&gt;25000,25000,0))</f>
        <v>1704</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1704</v>
      </c>
      <c r="G17" s="1793">
        <f>IF(F17=0,0,D17-F17)</f>
        <v>0</v>
      </c>
      <c r="H17" s="1647"/>
    </row>
    <row r="18" spans="1:8" x14ac:dyDescent="0.25">
      <c r="A18" s="1937" t="s">
        <v>2079</v>
      </c>
      <c r="B18" s="2491" t="s">
        <v>2097</v>
      </c>
      <c r="C18" s="1939" t="s">
        <v>2081</v>
      </c>
      <c r="D18" s="1844">
        <v>3530</v>
      </c>
      <c r="E18" s="1540">
        <f t="shared" ref="E18:E140" si="2">IF(D18&lt;=25000,D18,IF(D18&gt;25000,25000,0))</f>
        <v>3530</v>
      </c>
      <c r="F18" s="1932">
        <f t="shared" si="1"/>
        <v>3530</v>
      </c>
      <c r="G18" s="1793">
        <f t="shared" ref="G18:G140" si="3">IF(F18=0,0,D18-F18)</f>
        <v>0</v>
      </c>
    </row>
    <row r="19" spans="1:8" x14ac:dyDescent="0.25">
      <c r="A19" s="1937" t="s">
        <v>2082</v>
      </c>
      <c r="B19" s="2491" t="s">
        <v>2098</v>
      </c>
      <c r="C19" s="1939" t="s">
        <v>2083</v>
      </c>
      <c r="D19" s="1844">
        <v>2700</v>
      </c>
      <c r="E19" s="1540">
        <f t="shared" si="2"/>
        <v>2700</v>
      </c>
      <c r="F19" s="1932">
        <f t="shared" si="1"/>
        <v>2700</v>
      </c>
      <c r="G19" s="1793">
        <f t="shared" si="3"/>
        <v>0</v>
      </c>
    </row>
    <row r="20" spans="1:8" x14ac:dyDescent="0.25">
      <c r="A20" s="1937" t="s">
        <v>2082</v>
      </c>
      <c r="B20" s="2491" t="s">
        <v>2098</v>
      </c>
      <c r="C20" s="1939" t="s">
        <v>2084</v>
      </c>
      <c r="D20" s="1844">
        <v>730</v>
      </c>
      <c r="E20" s="1540">
        <f t="shared" si="2"/>
        <v>730</v>
      </c>
      <c r="F20" s="1932">
        <f t="shared" si="1"/>
        <v>730</v>
      </c>
      <c r="G20" s="1793">
        <f t="shared" si="3"/>
        <v>0</v>
      </c>
    </row>
    <row r="21" spans="1:8" x14ac:dyDescent="0.25">
      <c r="A21" s="1937"/>
      <c r="B21" s="1938"/>
      <c r="C21" s="1939"/>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8664</v>
      </c>
      <c r="E141" s="1541">
        <f t="shared" si="0"/>
        <v>8664</v>
      </c>
      <c r="F141" s="1933">
        <f>SUM(F17:F140)</f>
        <v>8664</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71</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6" t="s">
        <v>1679</v>
      </c>
      <c r="B5" s="2287"/>
      <c r="C5" s="2287"/>
      <c r="D5" s="2287"/>
      <c r="E5" s="2287"/>
      <c r="F5" s="2287"/>
      <c r="G5" s="2288"/>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22132</v>
      </c>
      <c r="F10" s="974"/>
      <c r="G10" s="975"/>
      <c r="H10" s="162"/>
      <c r="I10" s="162"/>
    </row>
    <row r="11" spans="1:9" s="668" customFormat="1" ht="22.5" customHeight="1" x14ac:dyDescent="0.2">
      <c r="A11" s="2291" t="s">
        <v>1977</v>
      </c>
      <c r="B11" s="2292"/>
      <c r="C11" s="2292"/>
      <c r="D11" s="2293"/>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501356</v>
      </c>
      <c r="F19" s="1799"/>
      <c r="G19" s="1801">
        <f>'Expenditures 15-22'!K33-SUM('Expenditures 15-22'!G33,'Expenditures 15-22'!I33)+'Expenditures 15-22'!D229</f>
        <v>501356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0</v>
      </c>
      <c r="F21" s="1802"/>
      <c r="G21" s="1805">
        <f>'Expenditures 15-22'!K42-SUM('Expenditures 15-22'!G42,'Expenditures 15-22'!I42)+'Expenditures 15-22'!K120-SUM('Expenditures 15-22'!G120,'Expenditures 15-22'!I120)+'Expenditures 15-22'!K180-SUM('Expenditures 15-22'!G180,'Expenditures 15-22'!I180)+'Expenditures 15-22'!D238</f>
        <v>0</v>
      </c>
      <c r="H21" s="987"/>
      <c r="I21" s="162"/>
    </row>
    <row r="22" spans="1:9" s="668" customFormat="1" ht="12" customHeight="1" x14ac:dyDescent="0.2">
      <c r="A22" s="994" t="s">
        <v>564</v>
      </c>
      <c r="B22" s="995"/>
      <c r="C22" s="993">
        <v>2200</v>
      </c>
      <c r="D22" s="1802"/>
      <c r="E22" s="1804">
        <f>'Expenditures 15-22'!K47-SUM('Expenditures 15-22'!G47,'Expenditures 15-22'!I47)+'Expenditures 15-22'!D243</f>
        <v>58</v>
      </c>
      <c r="F22" s="1802"/>
      <c r="G22" s="1805">
        <f>'Expenditures 15-22'!K47-SUM('Expenditures 15-22'!G47,'Expenditures 15-22'!I47)+'Expenditures 15-22'!D243</f>
        <v>58</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165846</v>
      </c>
      <c r="F23" s="1802"/>
      <c r="G23" s="1804">
        <f>'Expenditures 15-22'!K53-SUM('Expenditures 15-22'!G53,'Expenditures 15-22'!I53)+'Expenditures 15-22'!D257+'Expenditures 15-22'!K330-SUM('Expenditures 15-22'!G330,'Expenditures 15-22'!I330)</f>
        <v>165846</v>
      </c>
      <c r="H23" s="987"/>
      <c r="I23" s="162"/>
    </row>
    <row r="24" spans="1:9" s="668" customFormat="1" ht="12" customHeight="1" x14ac:dyDescent="0.2">
      <c r="A24" s="994" t="s">
        <v>566</v>
      </c>
      <c r="B24" s="995"/>
      <c r="C24" s="993">
        <v>2400</v>
      </c>
      <c r="D24" s="1802"/>
      <c r="E24" s="1804">
        <f>'Expenditures 15-22'!K57-SUM('Expenditures 15-22'!G57,'Expenditures 15-22'!I57)+'Expenditures 15-22'!D261</f>
        <v>15106</v>
      </c>
      <c r="F24" s="1802"/>
      <c r="G24" s="1805">
        <f>'Expenditures 15-22'!K57-SUM('Expenditures 15-22'!G57,'Expenditures 15-22'!I57)+'Expenditures 15-22'!D261</f>
        <v>15106</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67119</v>
      </c>
      <c r="F28" s="1806">
        <f>'Expenditures 15-22'!K61-SUM('Expenditures 15-22'!G61,'Expenditures 15-22'!I61)+'Expenditures 15-22'!K124-SUM('Expenditures 15-22'!G124,'Expenditures 15-22'!I124)+'Expenditures 15-22'!D266-E9</f>
        <v>67119</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44427</v>
      </c>
      <c r="F29" s="1802"/>
      <c r="G29" s="1805">
        <f>'Expenditures 15-22'!K62-SUM('Expenditures 15-22'!G62,'Expenditures 15-22'!I62)+'Expenditures 15-22'!K125-SUM('Expenditures 15-22'!G125,'Expenditures 15-22'!I125)+'Expenditures 15-22'!K182-SUM('Expenditures 15-22'!G182,'Expenditures 15-22'!I182)+'Expenditures 15-22'!D267</f>
        <v>44427</v>
      </c>
      <c r="H29" s="985"/>
    </row>
    <row r="30" spans="1:9" ht="12" customHeight="1" x14ac:dyDescent="0.2">
      <c r="A30" s="994" t="s">
        <v>100</v>
      </c>
      <c r="B30" s="997"/>
      <c r="C30" s="993">
        <v>2560</v>
      </c>
      <c r="D30" s="1802"/>
      <c r="E30" s="1804">
        <f>'Expenditures 15-22'!K63-SUM('Expenditures 15-22'!G63,'Expenditures 15-22'!I63)+'Expenditures 15-22'!D268-E10</f>
        <v>20010</v>
      </c>
      <c r="F30" s="1802"/>
      <c r="G30" s="1804">
        <f>'Expenditures 15-22'!K63-SUM('Expenditures 15-22'!G63,'Expenditures 15-22'!I63)+'Expenditures 15-22'!D268-E10</f>
        <v>20010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0</v>
      </c>
      <c r="E41" s="1806">
        <f>SUM(E19:E40)</f>
        <v>813922</v>
      </c>
      <c r="F41" s="1806">
        <f>SUM(F19:F39)</f>
        <v>67119</v>
      </c>
      <c r="G41" s="1806">
        <f>SUM(G19:G40)</f>
        <v>746803</v>
      </c>
    </row>
    <row r="42" spans="1:7" x14ac:dyDescent="0.2">
      <c r="A42" s="987"/>
      <c r="B42" s="162"/>
      <c r="C42" s="1001"/>
      <c r="D42" s="2289" t="s">
        <v>522</v>
      </c>
      <c r="E42" s="2290"/>
      <c r="F42" s="1002" t="s">
        <v>523</v>
      </c>
      <c r="G42" s="1003"/>
    </row>
    <row r="43" spans="1:7" ht="12" customHeight="1" x14ac:dyDescent="0.2">
      <c r="A43" s="987"/>
      <c r="B43" s="162"/>
      <c r="C43" s="1001"/>
      <c r="D43" s="1807" t="s">
        <v>473</v>
      </c>
      <c r="E43" s="1808">
        <f>D41</f>
        <v>0</v>
      </c>
      <c r="F43" s="1807" t="s">
        <v>473</v>
      </c>
      <c r="G43" s="1808">
        <f>F41</f>
        <v>67119</v>
      </c>
    </row>
    <row r="44" spans="1:7" ht="12" customHeight="1" x14ac:dyDescent="0.2">
      <c r="A44" s="987"/>
      <c r="B44" s="162"/>
      <c r="C44" s="1001"/>
      <c r="D44" s="1807" t="s">
        <v>474</v>
      </c>
      <c r="E44" s="1808">
        <f>E41</f>
        <v>813922</v>
      </c>
      <c r="F44" s="1807" t="s">
        <v>474</v>
      </c>
      <c r="G44" s="1808">
        <f>G41</f>
        <v>746803</v>
      </c>
    </row>
    <row r="45" spans="1:7" ht="12" customHeight="1" x14ac:dyDescent="0.2">
      <c r="A45" s="987"/>
      <c r="B45" s="162"/>
      <c r="C45" s="162"/>
      <c r="D45" s="1809" t="s">
        <v>1006</v>
      </c>
      <c r="E45" s="1810">
        <f>(E43/E44)</f>
        <v>0</v>
      </c>
      <c r="F45" s="1809" t="s">
        <v>1006</v>
      </c>
      <c r="G45" s="1810">
        <f>(G43/G44)</f>
        <v>8.987510762543803E-2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74"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7" activePane="bottomLeft" state="frozen"/>
      <selection activeCell="A47" sqref="A47"/>
      <selection pane="bottomLeft" activeCell="F26" sqref="F26"/>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7" t="s">
        <v>1379</v>
      </c>
      <c r="B1" s="2297"/>
      <c r="C1" s="2297"/>
      <c r="D1" s="2297"/>
      <c r="E1" s="2297"/>
      <c r="F1" s="2297"/>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8" t="s">
        <v>1546</v>
      </c>
      <c r="B5" s="2299"/>
      <c r="C5" s="2300"/>
      <c r="D5" s="2300"/>
      <c r="E5" s="2300"/>
      <c r="F5" s="2300"/>
    </row>
    <row r="6" spans="1:10" ht="12" customHeight="1" x14ac:dyDescent="0.25">
      <c r="A6" s="1850"/>
      <c r="B6" s="1851"/>
      <c r="C6" s="2301" t="str">
        <f>COVER!A17</f>
        <v>Damiansville SD 62</v>
      </c>
      <c r="D6" s="2301"/>
      <c r="E6" s="2301"/>
      <c r="F6" s="1852"/>
    </row>
    <row r="7" spans="1:10" ht="11.25" customHeight="1" thickBot="1" x14ac:dyDescent="0.3">
      <c r="A7" s="1850"/>
      <c r="B7" s="1851"/>
      <c r="C7" s="2302">
        <f>COVER!A13</f>
        <v>13014062002</v>
      </c>
      <c r="D7" s="2302"/>
      <c r="E7" s="2302"/>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2085</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5</v>
      </c>
      <c r="K34" s="1878">
        <f>SUM(H34:J34)</f>
        <v>15</v>
      </c>
    </row>
    <row r="35" spans="1:11" ht="12" customHeight="1" x14ac:dyDescent="0.2">
      <c r="A35" s="1871" t="s">
        <v>1392</v>
      </c>
      <c r="B35" s="1872"/>
      <c r="C35" s="2303"/>
      <c r="D35" s="2303"/>
      <c r="E35" s="2303"/>
      <c r="F35" s="2304"/>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308"/>
      <c r="B38" s="2309"/>
      <c r="C38" s="2309"/>
      <c r="D38" s="2309"/>
      <c r="E38" s="2309"/>
      <c r="F38" s="2310"/>
    </row>
    <row r="39" spans="1:11" ht="4.5" hidden="1" customHeight="1" x14ac:dyDescent="0.2">
      <c r="A39" s="1873"/>
      <c r="B39" s="1873"/>
      <c r="C39" s="1873"/>
      <c r="D39" s="1873"/>
      <c r="E39" s="1873"/>
      <c r="F39" s="1873"/>
    </row>
    <row r="40" spans="1:11" s="1870" customFormat="1" ht="12" customHeight="1" x14ac:dyDescent="0.25">
      <c r="A40" s="1874" t="s">
        <v>1391</v>
      </c>
      <c r="B40" s="1875"/>
      <c r="C40" s="2311"/>
      <c r="D40" s="2311"/>
      <c r="E40" s="2311"/>
      <c r="F40" s="2312"/>
      <c r="H40" s="1879"/>
      <c r="I40" s="1879"/>
      <c r="J40" s="1879"/>
      <c r="K40" s="1879"/>
    </row>
    <row r="41" spans="1:11" s="1870" customFormat="1" ht="12" customHeight="1" x14ac:dyDescent="0.25">
      <c r="A41" s="2313"/>
      <c r="B41" s="2314"/>
      <c r="C41" s="2314"/>
      <c r="D41" s="2314"/>
      <c r="E41" s="2314"/>
      <c r="F41" s="2315"/>
      <c r="H41" s="1879"/>
      <c r="I41" s="1879"/>
      <c r="J41" s="1879"/>
      <c r="K41" s="1879"/>
    </row>
    <row r="42" spans="1:11" s="1870" customFormat="1" ht="12" customHeight="1" x14ac:dyDescent="0.25">
      <c r="A42" s="2313"/>
      <c r="B42" s="2314"/>
      <c r="C42" s="2314"/>
      <c r="D42" s="2314"/>
      <c r="E42" s="2314"/>
      <c r="F42" s="2315"/>
      <c r="H42" s="1879"/>
      <c r="I42" s="1879"/>
      <c r="J42" s="1879"/>
      <c r="K42" s="1879"/>
    </row>
    <row r="43" spans="1:11" s="1870" customFormat="1" ht="15" x14ac:dyDescent="0.25">
      <c r="A43" s="2305"/>
      <c r="B43" s="2306"/>
      <c r="C43" s="2306"/>
      <c r="D43" s="2306"/>
      <c r="E43" s="2306"/>
      <c r="F43" s="2307"/>
      <c r="H43" s="1879"/>
      <c r="I43" s="1879"/>
      <c r="J43" s="1879"/>
      <c r="K43" s="1879"/>
    </row>
    <row r="44" spans="1:11" s="1870" customFormat="1" ht="12" hidden="1" customHeight="1" x14ac:dyDescent="0.25">
      <c r="A44" s="2305"/>
      <c r="B44" s="2306"/>
      <c r="C44" s="2306"/>
      <c r="D44" s="2306"/>
      <c r="E44" s="2306"/>
      <c r="F44" s="2307"/>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72</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1" t="str">
        <f>COVER!A17</f>
        <v>Damiansville SD 62</v>
      </c>
      <c r="J6" s="2322"/>
      <c r="Q6" s="1664"/>
    </row>
    <row r="7" spans="1:17" x14ac:dyDescent="0.2">
      <c r="A7" s="2323" t="s">
        <v>869</v>
      </c>
      <c r="B7" s="2324"/>
      <c r="C7" s="2324"/>
      <c r="D7" s="2324"/>
      <c r="E7" s="2325"/>
      <c r="F7" s="1017"/>
      <c r="G7" s="1009"/>
      <c r="H7" s="1016" t="s">
        <v>372</v>
      </c>
      <c r="I7" s="2326">
        <f>COVER!A13</f>
        <v>13014062002</v>
      </c>
      <c r="J7" s="232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7" t="s">
        <v>481</v>
      </c>
      <c r="B11" s="2328"/>
      <c r="C11" s="232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61172</v>
      </c>
      <c r="F12" s="1039"/>
      <c r="G12" s="1811">
        <f t="shared" ref="G12:G18" si="0">SUM(E12:F12)</f>
        <v>61172</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0" t="s">
        <v>7</v>
      </c>
      <c r="C18" s="2331"/>
      <c r="D18" s="2332"/>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61172</v>
      </c>
      <c r="F19" s="1813">
        <f t="shared" si="2"/>
        <v>0</v>
      </c>
      <c r="G19" s="1813">
        <f t="shared" si="2"/>
        <v>61172</v>
      </c>
      <c r="H19" s="1813">
        <f t="shared" si="2"/>
        <v>0</v>
      </c>
      <c r="I19" s="1813">
        <f t="shared" si="2"/>
        <v>0</v>
      </c>
      <c r="J19" s="1813">
        <f t="shared" si="2"/>
        <v>0</v>
      </c>
    </row>
    <row r="20" spans="1:10" ht="13.5" thickTop="1" x14ac:dyDescent="0.2">
      <c r="A20" s="1035">
        <v>9</v>
      </c>
      <c r="B20" s="2333" t="s">
        <v>1981</v>
      </c>
      <c r="C20" s="2333"/>
      <c r="D20" s="2334"/>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1033</v>
      </c>
      <c r="D27" s="1052"/>
      <c r="E27" s="1053"/>
      <c r="F27" s="2335" t="s">
        <v>1509</v>
      </c>
      <c r="G27" s="2335"/>
    </row>
    <row r="28" spans="1:10" ht="28.5" customHeight="1" x14ac:dyDescent="0.2">
      <c r="B28" s="1047"/>
      <c r="C28" s="2337"/>
      <c r="D28" s="2337"/>
      <c r="E28" s="1054"/>
      <c r="F28" s="2337"/>
      <c r="G28" s="2337"/>
    </row>
    <row r="29" spans="1:10" x14ac:dyDescent="0.2">
      <c r="B29" s="1047"/>
      <c r="C29" s="1055" t="s">
        <v>1561</v>
      </c>
      <c r="E29" s="1056"/>
      <c r="F29" s="2336" t="s">
        <v>1510</v>
      </c>
      <c r="G29" s="233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1983</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882</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75&amp;C &amp;R&amp;8Page 75</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H65"/>
  <sheetViews>
    <sheetView showGridLines="0" zoomScale="110" zoomScaleNormal="110" workbookViewId="0">
      <selection activeCell="H21" sqref="H21"/>
    </sheetView>
  </sheetViews>
  <sheetFormatPr defaultRowHeight="12.75" x14ac:dyDescent="0.2"/>
  <cols>
    <col min="1" max="1" width="4.28515625" style="329" customWidth="1"/>
    <col min="2" max="2" width="6.140625" style="329" customWidth="1"/>
    <col min="3" max="3" width="3.140625" style="329" customWidth="1"/>
    <col min="4" max="7" width="9.140625" style="329"/>
    <col min="8" max="8" width="11" style="329" bestFit="1" customWidth="1"/>
    <col min="9" max="16384" width="9.140625" style="329"/>
  </cols>
  <sheetData>
    <row r="2" spans="1:8" x14ac:dyDescent="0.2">
      <c r="A2" s="389" t="s">
        <v>258</v>
      </c>
    </row>
    <row r="3" spans="1:8" x14ac:dyDescent="0.2">
      <c r="A3" s="329" t="s">
        <v>259</v>
      </c>
    </row>
    <row r="5" spans="1:8" x14ac:dyDescent="0.2">
      <c r="A5" s="1068">
        <v>1</v>
      </c>
      <c r="B5" s="329" t="s">
        <v>2086</v>
      </c>
    </row>
    <row r="6" spans="1:8" x14ac:dyDescent="0.2">
      <c r="A6" s="1068"/>
      <c r="C6" s="329" t="s">
        <v>2087</v>
      </c>
      <c r="H6" s="1941">
        <v>14</v>
      </c>
    </row>
    <row r="7" spans="1:8" x14ac:dyDescent="0.2">
      <c r="A7" s="1068"/>
      <c r="C7" s="329" t="s">
        <v>2088</v>
      </c>
      <c r="H7" s="1940">
        <v>1612</v>
      </c>
    </row>
    <row r="8" spans="1:8" x14ac:dyDescent="0.2">
      <c r="A8" s="1068"/>
      <c r="C8" s="329" t="s">
        <v>2089</v>
      </c>
      <c r="H8" s="1940">
        <v>6452</v>
      </c>
    </row>
    <row r="9" spans="1:8" x14ac:dyDescent="0.2">
      <c r="A9" s="1069"/>
      <c r="C9" s="329" t="s">
        <v>1063</v>
      </c>
      <c r="H9" s="1942">
        <v>2477</v>
      </c>
    </row>
    <row r="10" spans="1:8" ht="13.5" thickBot="1" x14ac:dyDescent="0.25">
      <c r="A10" s="1069"/>
      <c r="H10" s="1943">
        <f>SUM(H6:H9)</f>
        <v>10555</v>
      </c>
    </row>
    <row r="11" spans="1:8" ht="13.5" thickTop="1" x14ac:dyDescent="0.2">
      <c r="A11" s="1069"/>
    </row>
    <row r="12" spans="1:8" x14ac:dyDescent="0.2">
      <c r="A12" s="1069">
        <v>2</v>
      </c>
      <c r="B12" s="329" t="s">
        <v>2090</v>
      </c>
    </row>
    <row r="13" spans="1:8" ht="13.5" thickBot="1" x14ac:dyDescent="0.25">
      <c r="A13" s="1069"/>
      <c r="C13" s="329" t="s">
        <v>2091</v>
      </c>
      <c r="H13" s="1944">
        <v>27912</v>
      </c>
    </row>
    <row r="14" spans="1:8" ht="13.5" thickTop="1" x14ac:dyDescent="0.2">
      <c r="A14" s="1069"/>
    </row>
    <row r="15" spans="1:8" x14ac:dyDescent="0.2">
      <c r="A15" s="1069">
        <v>3</v>
      </c>
      <c r="B15" s="329" t="s">
        <v>2092</v>
      </c>
    </row>
    <row r="16" spans="1:8" x14ac:dyDescent="0.2">
      <c r="A16" s="1069"/>
      <c r="C16" s="329" t="s">
        <v>2093</v>
      </c>
      <c r="H16" s="1941">
        <v>1600</v>
      </c>
    </row>
    <row r="17" spans="1:8" x14ac:dyDescent="0.2">
      <c r="A17" s="1069"/>
      <c r="C17" s="329" t="s">
        <v>2094</v>
      </c>
      <c r="H17" s="1942">
        <v>125</v>
      </c>
    </row>
    <row r="18" spans="1:8" ht="13.5" thickBot="1" x14ac:dyDescent="0.25">
      <c r="A18" s="1069"/>
      <c r="H18" s="1943">
        <f>SUM(H16:H17)</f>
        <v>1725</v>
      </c>
    </row>
    <row r="19" spans="1:8" ht="13.5" thickTop="1" x14ac:dyDescent="0.2">
      <c r="A19" s="1069"/>
    </row>
    <row r="20" spans="1:8" x14ac:dyDescent="0.2">
      <c r="A20" s="1069">
        <v>4</v>
      </c>
      <c r="B20" s="329" t="s">
        <v>2095</v>
      </c>
    </row>
    <row r="21" spans="1:8" ht="13.5" thickBot="1" x14ac:dyDescent="0.25">
      <c r="A21" s="1069"/>
      <c r="C21" s="329" t="s">
        <v>2096</v>
      </c>
      <c r="H21" s="1944">
        <v>500</v>
      </c>
    </row>
    <row r="22" spans="1:8" ht="13.5" thickTop="1" x14ac:dyDescent="0.2">
      <c r="A22" s="1069"/>
    </row>
    <row r="23" spans="1:8" x14ac:dyDescent="0.2">
      <c r="A23" s="1069"/>
    </row>
    <row r="24" spans="1:8" x14ac:dyDescent="0.2">
      <c r="A24" s="1069"/>
    </row>
    <row r="25" spans="1:8" x14ac:dyDescent="0.2">
      <c r="A25" s="1069"/>
    </row>
    <row r="26" spans="1:8" x14ac:dyDescent="0.2">
      <c r="A26" s="1069"/>
    </row>
    <row r="27" spans="1:8" x14ac:dyDescent="0.2">
      <c r="A27" s="1069"/>
    </row>
    <row r="28" spans="1:8" x14ac:dyDescent="0.2">
      <c r="A28" s="1069"/>
    </row>
    <row r="29" spans="1:8" x14ac:dyDescent="0.2">
      <c r="A29" s="1069"/>
    </row>
    <row r="30" spans="1:8" x14ac:dyDescent="0.2">
      <c r="A30" s="1069"/>
    </row>
    <row r="31" spans="1:8" x14ac:dyDescent="0.2">
      <c r="A31" s="1069"/>
    </row>
    <row r="32" spans="1:8"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Damiansville SD 62</v>
      </c>
    </row>
    <row r="65" spans="2:2" x14ac:dyDescent="0.2">
      <c r="B65" s="1070">
        <f>COVER!A13</f>
        <v>13014062002</v>
      </c>
    </row>
  </sheetData>
  <phoneticPr fontId="15" type="noConversion"/>
  <pageMargins left="0.2" right="0.2" top="1.17" bottom="0.75" header="0.19" footer="0.16"/>
  <pageSetup scale="80" firstPageNumber="32" orientation="portrait" useFirstPageNumber="1" r:id="rId1"/>
  <headerFooter alignWithMargins="0">
    <oddHeader>&amp;L&amp;8Page 24&amp;C &amp;R&amp;8Page 24</oddHeader>
    <oddFooter>&amp;CThe Notes to the Financial Statement are an intregal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7" t="s">
        <v>1065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691</v>
      </c>
      <c r="B40" s="2054"/>
      <c r="C40" s="2054"/>
      <c r="D40" s="2054"/>
      <c r="E40" s="2054"/>
    </row>
    <row r="41" spans="1:5" x14ac:dyDescent="0.2">
      <c r="A41" s="2055" t="s">
        <v>1608</v>
      </c>
      <c r="B41" s="2055"/>
      <c r="C41" s="2055"/>
      <c r="D41" s="2055"/>
      <c r="E41" s="2055"/>
    </row>
    <row r="42" spans="1:5" ht="12.75" customHeight="1" x14ac:dyDescent="0.2">
      <c r="A42" s="2056" t="s">
        <v>1022</v>
      </c>
      <c r="B42" s="2056"/>
      <c r="C42" s="2056"/>
      <c r="D42" s="2056"/>
      <c r="E42" s="2056"/>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0" t="s">
        <v>1685</v>
      </c>
      <c r="B18" s="234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1</xdr:col>
                <xdr:colOff>2505075</xdr:colOff>
                <xdr:row>2</xdr:row>
                <xdr:rowOff>19050</xdr:rowOff>
              </from>
              <to>
                <xdr:col>1</xdr:col>
                <xdr:colOff>3419475</xdr:colOff>
                <xdr:row>6</xdr:row>
                <xdr:rowOff>57150</xdr:rowOff>
              </to>
            </anchor>
          </objectPr>
        </oleObject>
      </mc:Choice>
      <mc:Fallback>
        <oleObject progId="Document" dvAspect="DVASPECT_ICON" shapeId="29697" r:id="rId4"/>
      </mc:Fallback>
    </mc:AlternateContent>
    <mc:AlternateContent xmlns:mc="http://schemas.openxmlformats.org/markup-compatibility/2006">
      <mc:Choice Requires="x14">
        <oleObject progId="Acrobat Document" dvAspect="DVASPECT_ICON" shapeId="29698" r:id="rId6">
          <objectPr defaultSize="0" r:id="rId7">
            <anchor moveWithCells="1">
              <from>
                <xdr:col>1</xdr:col>
                <xdr:colOff>1314450</xdr:colOff>
                <xdr:row>2</xdr:row>
                <xdr:rowOff>0</xdr:rowOff>
              </from>
              <to>
                <xdr:col>1</xdr:col>
                <xdr:colOff>2228850</xdr:colOff>
                <xdr:row>6</xdr:row>
                <xdr:rowOff>38100</xdr:rowOff>
              </to>
            </anchor>
          </objectPr>
        </oleObject>
      </mc:Choice>
      <mc:Fallback>
        <oleObject progId="Acrobat Document" dvAspect="DVASPECT_ICON" shapeId="29698" r:id="rId6"/>
      </mc:Fallback>
    </mc:AlternateContent>
    <mc:AlternateContent xmlns:mc="http://schemas.openxmlformats.org/markup-compatibility/2006">
      <mc:Choice Requires="x14">
        <oleObject progId="Acrobat Document" dvAspect="DVASPECT_ICON" shapeId="29699" r:id="rId8">
          <objectPr defaultSize="0" r:id="rId9">
            <anchor moveWithCells="1">
              <from>
                <xdr:col>1</xdr:col>
                <xdr:colOff>219075</xdr:colOff>
                <xdr:row>2</xdr:row>
                <xdr:rowOff>9525</xdr:rowOff>
              </from>
              <to>
                <xdr:col>1</xdr:col>
                <xdr:colOff>1133475</xdr:colOff>
                <xdr:row>6</xdr:row>
                <xdr:rowOff>47625</xdr:rowOff>
              </to>
            </anchor>
          </objectPr>
        </oleObject>
      </mc:Choice>
      <mc:Fallback>
        <oleObject progId="Acrobat Document" dvAspect="DVASPECT_ICON" shapeId="2969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1987</v>
      </c>
      <c r="B2" s="2352"/>
      <c r="C2" s="2352"/>
      <c r="D2" s="2352"/>
      <c r="E2" s="2352"/>
      <c r="F2" s="2353"/>
      <c r="G2" s="1074"/>
      <c r="H2" s="1074"/>
    </row>
    <row r="3" spans="1:8" ht="57" customHeight="1" x14ac:dyDescent="0.2">
      <c r="A3" s="2354" t="s">
        <v>1686</v>
      </c>
      <c r="B3" s="2355"/>
      <c r="C3" s="2355"/>
      <c r="D3" s="2355"/>
      <c r="E3" s="2355"/>
      <c r="F3" s="2356"/>
      <c r="G3" s="1074"/>
      <c r="H3" s="1074"/>
    </row>
    <row r="4" spans="1:8" ht="14.25" customHeight="1" x14ac:dyDescent="0.2">
      <c r="A4" s="2360" t="s">
        <v>1988</v>
      </c>
      <c r="B4" s="2361"/>
      <c r="C4" s="2361"/>
      <c r="D4" s="2361"/>
      <c r="E4" s="2361"/>
      <c r="F4" s="2362"/>
      <c r="G4" s="1074"/>
      <c r="H4" s="1074"/>
    </row>
    <row r="5" spans="1:8" ht="14.25" customHeight="1" x14ac:dyDescent="0.2">
      <c r="A5" s="2363" t="s">
        <v>1984</v>
      </c>
      <c r="B5" s="2364"/>
      <c r="C5" s="2364"/>
      <c r="D5" s="2364"/>
      <c r="E5" s="2364"/>
      <c r="F5" s="2365"/>
      <c r="G5" s="1074"/>
      <c r="H5" s="1074"/>
    </row>
    <row r="6" spans="1:8" s="1075" customFormat="1" ht="41.25" customHeight="1" x14ac:dyDescent="0.2">
      <c r="A6" s="2357" t="s">
        <v>1691</v>
      </c>
      <c r="B6" s="2358"/>
      <c r="C6" s="2358"/>
      <c r="D6" s="2358"/>
      <c r="E6" s="2358"/>
      <c r="F6" s="235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685946</v>
      </c>
      <c r="C8" s="1815">
        <f>'Acct Summary 7-8'!D8</f>
        <v>53534</v>
      </c>
      <c r="D8" s="1815">
        <f>'Acct Summary 7-8'!F8</f>
        <v>61562</v>
      </c>
      <c r="E8" s="1815">
        <f>'Acct Summary 7-8'!I8</f>
        <v>8777</v>
      </c>
      <c r="F8" s="1815">
        <f>SUM(B8:E8)</f>
        <v>809819</v>
      </c>
    </row>
    <row r="9" spans="1:8" s="1079" customFormat="1" ht="14.25" customHeight="1" thickBot="1" x14ac:dyDescent="0.25">
      <c r="A9" s="1078" t="s">
        <v>1369</v>
      </c>
      <c r="B9" s="1816">
        <f>'Acct Summary 7-8'!C17</f>
        <v>651570</v>
      </c>
      <c r="C9" s="1816">
        <f>'Acct Summary 7-8'!D17</f>
        <v>37199</v>
      </c>
      <c r="D9" s="1816">
        <f>'Acct Summary 7-8'!F17</f>
        <v>40206</v>
      </c>
      <c r="E9" s="1815"/>
      <c r="F9" s="1815">
        <f>SUM(B9:E9)</f>
        <v>728975</v>
      </c>
    </row>
    <row r="10" spans="1:8" s="1079" customFormat="1" ht="14.25" thickTop="1" thickBot="1" x14ac:dyDescent="0.25">
      <c r="A10" s="1080" t="s">
        <v>1370</v>
      </c>
      <c r="B10" s="1817">
        <f>(B8-B9)</f>
        <v>34376</v>
      </c>
      <c r="C10" s="1817">
        <f>(C8-C9)</f>
        <v>16335</v>
      </c>
      <c r="D10" s="1817">
        <f>(D8-D9)</f>
        <v>21356</v>
      </c>
      <c r="E10" s="1816">
        <f>(E8-E9)</f>
        <v>8777</v>
      </c>
      <c r="F10" s="1818">
        <f>SUM(F8-F9)</f>
        <v>80844</v>
      </c>
    </row>
    <row r="11" spans="1:8" s="1079" customFormat="1" ht="14.25" thickTop="1" thickBot="1" x14ac:dyDescent="0.25">
      <c r="A11" s="1081" t="s">
        <v>1985</v>
      </c>
      <c r="B11" s="1819">
        <f>'Acct Summary 7-8'!C81</f>
        <v>127558</v>
      </c>
      <c r="C11" s="1819">
        <f>'Acct Summary 7-8'!D81</f>
        <v>122120</v>
      </c>
      <c r="D11" s="1819">
        <f>'Acct Summary 7-8'!F81</f>
        <v>106392</v>
      </c>
      <c r="E11" s="1819">
        <f>'Acct Summary 7-8'!I81</f>
        <v>54903</v>
      </c>
      <c r="F11" s="1820">
        <f>SUM(B11:E11)</f>
        <v>410973</v>
      </c>
    </row>
    <row r="12" spans="1:8" ht="16.5" customHeight="1" thickTop="1" x14ac:dyDescent="0.2">
      <c r="A12" s="1082"/>
      <c r="B12" s="1083"/>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4"/>
      <c r="B13" s="1085"/>
      <c r="C13" s="2345"/>
      <c r="D13" s="2346"/>
      <c r="E13" s="2346"/>
      <c r="F13" s="2347"/>
      <c r="H13" s="1074"/>
    </row>
    <row r="14" spans="1:8" ht="19.5" customHeight="1" x14ac:dyDescent="0.2">
      <c r="A14" s="1084"/>
      <c r="B14" s="1085"/>
      <c r="C14" s="2345"/>
      <c r="D14" s="2346"/>
      <c r="E14" s="2346"/>
      <c r="F14" s="2347"/>
      <c r="H14" s="1074"/>
    </row>
    <row r="15" spans="1:8" ht="17.25" customHeight="1" x14ac:dyDescent="0.2">
      <c r="A15" s="1084"/>
      <c r="B15" s="1085"/>
      <c r="C15" s="2348"/>
      <c r="D15" s="2349"/>
      <c r="E15" s="2349"/>
      <c r="F15" s="2350"/>
      <c r="H15" s="1074"/>
    </row>
    <row r="16" spans="1:8" s="310" customFormat="1" ht="51.75" hidden="1" customHeight="1" x14ac:dyDescent="0.2">
      <c r="A16" s="2344" t="s">
        <v>1687</v>
      </c>
      <c r="B16" s="2344"/>
      <c r="C16" s="2344"/>
      <c r="D16" s="2344"/>
      <c r="E16" s="234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73&amp;R&amp;8Page 73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6" t="s">
        <v>665</v>
      </c>
      <c r="B3" s="2367"/>
      <c r="C3" s="2367"/>
      <c r="D3" s="2368"/>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7" t="s">
        <v>1504</v>
      </c>
      <c r="D7" s="2378"/>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9" t="s">
        <v>1008</v>
      </c>
      <c r="B15" s="2370"/>
      <c r="C15" s="2370"/>
      <c r="D15" s="2371"/>
    </row>
    <row r="16" spans="1:4" s="668" customFormat="1" ht="24" customHeight="1" x14ac:dyDescent="0.2">
      <c r="A16" s="2372" t="s">
        <v>663</v>
      </c>
      <c r="B16" s="2373"/>
      <c r="C16" s="2373"/>
      <c r="D16" s="237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1" t="s">
        <v>314</v>
      </c>
      <c r="D21" s="2382"/>
    </row>
    <row r="22" spans="1:10" ht="12.75" x14ac:dyDescent="0.2">
      <c r="A22" s="1139"/>
      <c r="B22" s="1140">
        <v>2</v>
      </c>
      <c r="C22" s="2379" t="s">
        <v>1524</v>
      </c>
      <c r="D22" s="238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3" t="s">
        <v>536</v>
      </c>
      <c r="D43" s="238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5" t="s">
        <v>784</v>
      </c>
      <c r="D56" s="237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5" t="s">
        <v>1696</v>
      </c>
      <c r="D70" s="237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ENTER BUDGET DATA!</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13014062002</v>
      </c>
    </row>
    <row r="3" spans="1:2" x14ac:dyDescent="0.2">
      <c r="A3" t="s">
        <v>956</v>
      </c>
      <c r="B3" s="138" t="str">
        <f>COVER!A15</f>
        <v>Clinton</v>
      </c>
    </row>
    <row r="4" spans="1:2" x14ac:dyDescent="0.2">
      <c r="A4" t="s">
        <v>1007</v>
      </c>
      <c r="B4" s="138" t="str">
        <f>COVER!A17</f>
        <v>Damiansville SD 62</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No</v>
      </c>
    </row>
    <row r="15" spans="1:2" x14ac:dyDescent="0.2">
      <c r="A15" t="s">
        <v>577</v>
      </c>
      <c r="B15" s="138" t="str">
        <f>COVER!T23</f>
        <v>060-009547</v>
      </c>
    </row>
    <row r="16" spans="1:2" x14ac:dyDescent="0.2">
      <c r="A16" t="s">
        <v>422</v>
      </c>
      <c r="B16" s="138" t="str">
        <f>COVER!T13</f>
        <v>Greg M. McCalley &amp; Associates, P.C.</v>
      </c>
    </row>
    <row r="17" spans="1:2" x14ac:dyDescent="0.2">
      <c r="A17" t="s">
        <v>884</v>
      </c>
      <c r="B17" s="138" t="str">
        <f>COVER!T15</f>
        <v xml:space="preserve">Greg M. McCalley  </v>
      </c>
    </row>
    <row r="18" spans="1:2" x14ac:dyDescent="0.2">
      <c r="A18" t="s">
        <v>1150</v>
      </c>
      <c r="B18" s="138" t="str">
        <f>COVER!T17</f>
        <v>855 E. Ferguson Ave.</v>
      </c>
    </row>
    <row r="19" spans="1:2" x14ac:dyDescent="0.2">
      <c r="A19" t="s">
        <v>886</v>
      </c>
      <c r="B19" s="138" t="str">
        <f>COVER!T25</f>
        <v>Greg @dmacpa.com</v>
      </c>
    </row>
    <row r="20" spans="1:2" x14ac:dyDescent="0.2">
      <c r="A20" t="s">
        <v>887</v>
      </c>
      <c r="B20" s="138" t="str">
        <f>COVER!T19</f>
        <v>Wood River</v>
      </c>
    </row>
    <row r="21" spans="1:2" x14ac:dyDescent="0.2">
      <c r="A21" t="s">
        <v>479</v>
      </c>
      <c r="B21" s="138" t="str">
        <f>COVER!X19</f>
        <v>IL</v>
      </c>
    </row>
    <row r="22" spans="1:2" x14ac:dyDescent="0.2">
      <c r="A22" t="s">
        <v>888</v>
      </c>
      <c r="B22" s="138">
        <f>COVER!Z19</f>
        <v>62095</v>
      </c>
    </row>
    <row r="23" spans="1:2" x14ac:dyDescent="0.2">
      <c r="A23" t="s">
        <v>1152</v>
      </c>
      <c r="B23" s="138" t="str">
        <f>COVER!T21</f>
        <v>(618)254-8188</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127558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127558</v>
      </c>
      <c r="D92" s="2" t="str">
        <f t="shared" si="0"/>
        <v>Error?</v>
      </c>
    </row>
    <row r="93" spans="1:4" x14ac:dyDescent="0.2">
      <c r="A93" s="5">
        <v>32</v>
      </c>
      <c r="B93" s="138">
        <f>'Assets-Liab 5-6'!C41</f>
        <v>127558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122120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122120</v>
      </c>
      <c r="D123" s="2" t="str">
        <f t="shared" si="0"/>
        <v>Error?</v>
      </c>
    </row>
    <row r="124" spans="1:4" x14ac:dyDescent="0.2">
      <c r="A124" s="5">
        <v>63</v>
      </c>
      <c r="B124" s="138">
        <f>'Assets-Liab 5-6'!D41</f>
        <v>122120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231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231</v>
      </c>
      <c r="D140" s="2" t="str">
        <f t="shared" si="1"/>
        <v>Error?</v>
      </c>
    </row>
    <row r="141" spans="1:4" x14ac:dyDescent="0.2">
      <c r="A141" s="5">
        <v>80</v>
      </c>
      <c r="B141" s="138">
        <f>'Assets-Liab 5-6'!E41</f>
        <v>231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106392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106392</v>
      </c>
      <c r="D170" s="2" t="str">
        <f t="shared" si="1"/>
        <v>Error?</v>
      </c>
    </row>
    <row r="171" spans="1:4" x14ac:dyDescent="0.2">
      <c r="A171" s="5">
        <v>110</v>
      </c>
      <c r="B171" s="138">
        <f>'Assets-Liab 5-6'!F41</f>
        <v>106392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31970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31970</v>
      </c>
      <c r="D189" s="2" t="str">
        <f t="shared" si="1"/>
        <v>Error?</v>
      </c>
    </row>
    <row r="190" spans="1:4" x14ac:dyDescent="0.2">
      <c r="A190" s="5">
        <v>129</v>
      </c>
      <c r="B190" s="138">
        <f>'Assets-Liab 5-6'!G41</f>
        <v>31970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1258368</v>
      </c>
      <c r="D274" s="2" t="str">
        <f t="shared" si="3"/>
        <v>Error?</v>
      </c>
    </row>
    <row r="275" spans="1:4" x14ac:dyDescent="0.2">
      <c r="A275" s="5">
        <v>214</v>
      </c>
      <c r="B275" s="138">
        <f>'Assets-Liab 5-6'!M18</f>
        <v>0</v>
      </c>
      <c r="D275" s="2" t="str">
        <f t="shared" si="3"/>
        <v>Error?</v>
      </c>
    </row>
    <row r="276" spans="1:4" x14ac:dyDescent="0.2">
      <c r="A276" s="5">
        <v>215</v>
      </c>
      <c r="B276" s="138">
        <f>'Assets-Liab 5-6'!M19</f>
        <v>381437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1639805</v>
      </c>
      <c r="C279" s="2" t="s">
        <v>573</v>
      </c>
      <c r="D279" s="2" t="str">
        <f t="shared" si="3"/>
        <v>Error?</v>
      </c>
    </row>
    <row r="280" spans="1:4" x14ac:dyDescent="0.2">
      <c r="A280" s="5">
        <v>219</v>
      </c>
      <c r="B280" s="138">
        <f>'Assets-Liab 5-6'!M40</f>
        <v>1639805</v>
      </c>
      <c r="D280" s="2" t="str">
        <f t="shared" si="3"/>
        <v>Error?</v>
      </c>
    </row>
    <row r="281" spans="1:4" x14ac:dyDescent="0.2">
      <c r="A281" s="5">
        <v>220</v>
      </c>
      <c r="B281" s="138">
        <f>'Assets-Liab 5-6'!M41</f>
        <v>1639805</v>
      </c>
      <c r="C281" s="2" t="s">
        <v>573</v>
      </c>
      <c r="D281" s="2" t="str">
        <f t="shared" si="3"/>
        <v>Error?</v>
      </c>
    </row>
    <row r="282" spans="1:4" x14ac:dyDescent="0.2">
      <c r="A282" s="5">
        <v>221</v>
      </c>
      <c r="B282" s="138">
        <f>'Assets-Liab 5-6'!N21</f>
        <v>231</v>
      </c>
      <c r="D282" s="2" t="str">
        <f t="shared" si="3"/>
        <v>Error?</v>
      </c>
    </row>
    <row r="283" spans="1:4" x14ac:dyDescent="0.2">
      <c r="A283" s="5">
        <v>222</v>
      </c>
      <c r="B283" s="138">
        <f>'Assets-Liab 5-6'!N22</f>
        <v>914769</v>
      </c>
      <c r="D283" s="2" t="str">
        <f t="shared" si="3"/>
        <v>Error?</v>
      </c>
    </row>
    <row r="284" spans="1:4" x14ac:dyDescent="0.2">
      <c r="A284" s="5">
        <v>223</v>
      </c>
      <c r="B284" s="138">
        <f>'Assets-Liab 5-6'!N23</f>
        <v>915000</v>
      </c>
      <c r="C284" s="2" t="s">
        <v>573</v>
      </c>
      <c r="D284" s="2" t="str">
        <f t="shared" si="3"/>
        <v>Error?</v>
      </c>
    </row>
    <row r="285" spans="1:4" x14ac:dyDescent="0.2">
      <c r="A285" s="5">
        <v>224</v>
      </c>
      <c r="B285" s="138">
        <f>'Assets-Liab 5-6'!N36</f>
        <v>915000</v>
      </c>
      <c r="D285" s="2" t="str">
        <f t="shared" si="3"/>
        <v>Error?</v>
      </c>
    </row>
    <row r="286" spans="1:4" x14ac:dyDescent="0.2">
      <c r="A286" s="10">
        <v>225</v>
      </c>
      <c r="D286" s="2" t="str">
        <f t="shared" si="3"/>
        <v>OK</v>
      </c>
    </row>
    <row r="287" spans="1:4" x14ac:dyDescent="0.2">
      <c r="A287" s="5">
        <v>226</v>
      </c>
      <c r="B287" s="138">
        <f>'Assets-Liab 5-6'!N37</f>
        <v>915000</v>
      </c>
      <c r="C287" s="2" t="s">
        <v>573</v>
      </c>
      <c r="D287" s="2" t="str">
        <f t="shared" si="3"/>
        <v>Error?</v>
      </c>
    </row>
    <row r="288" spans="1:4" x14ac:dyDescent="0.2">
      <c r="A288" s="5">
        <v>227</v>
      </c>
      <c r="B288" s="138">
        <f>'Assets-Liab 5-6'!N41</f>
        <v>915000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346368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408778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51089</v>
      </c>
      <c r="D733" s="2" t="str">
        <f t="shared" si="10"/>
        <v>Error?</v>
      </c>
    </row>
    <row r="734" spans="1:4" x14ac:dyDescent="0.2">
      <c r="A734" s="5">
        <v>673</v>
      </c>
      <c r="B734" s="138">
        <f>'Expenditures 15-22'!C53</f>
        <v>51089</v>
      </c>
      <c r="C734" s="2" t="s">
        <v>573</v>
      </c>
      <c r="D734" s="2" t="str">
        <f t="shared" si="10"/>
        <v>Error?</v>
      </c>
    </row>
    <row r="735" spans="1:4" x14ac:dyDescent="0.2">
      <c r="A735" s="5">
        <v>674</v>
      </c>
      <c r="B735" s="138">
        <f>'Expenditures 15-22'!C55</f>
        <v>15106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15106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16664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16664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82859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491637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52263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52263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7710</v>
      </c>
      <c r="D791" s="2" t="str">
        <f t="shared" si="11"/>
        <v>Error?</v>
      </c>
    </row>
    <row r="792" spans="1:4" x14ac:dyDescent="0.2">
      <c r="A792" s="5">
        <v>731</v>
      </c>
      <c r="B792" s="138">
        <f>'Expenditures 15-22'!D53</f>
        <v>7710</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7710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59973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853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7794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15423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5751</v>
      </c>
      <c r="D848" s="2" t="str">
        <f t="shared" si="12"/>
        <v>Error?</v>
      </c>
    </row>
    <row r="849" spans="1:4" x14ac:dyDescent="0.2">
      <c r="A849" s="5">
        <v>788</v>
      </c>
      <c r="B849" s="138">
        <f>'Expenditures 15-22'!E50</f>
        <v>1685</v>
      </c>
      <c r="D849" s="2" t="str">
        <f t="shared" si="12"/>
        <v>Error?</v>
      </c>
    </row>
    <row r="850" spans="1:4" x14ac:dyDescent="0.2">
      <c r="A850" s="5">
        <v>789</v>
      </c>
      <c r="B850" s="138">
        <f>'Expenditures 15-22'!E53</f>
        <v>7436</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24941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2158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27099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34535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60684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17076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234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17310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1236</v>
      </c>
      <c r="D906" s="2" t="str">
        <f t="shared" si="13"/>
        <v>Error?</v>
      </c>
    </row>
    <row r="907" spans="1:4" x14ac:dyDescent="0.2">
      <c r="A907" s="5">
        <v>846</v>
      </c>
      <c r="B907" s="138">
        <f>'Expenditures 15-22'!F50</f>
        <v>688</v>
      </c>
      <c r="D907" s="2" t="str">
        <f t="shared" si="13"/>
        <v>Error?</v>
      </c>
    </row>
    <row r="908" spans="1:4" x14ac:dyDescent="0.2">
      <c r="A908" s="5">
        <v>847</v>
      </c>
      <c r="B908" s="138">
        <f>'Expenditures 15-22'!F53</f>
        <v>1924</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68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19974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20042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21966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39276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416560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8028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493774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0</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0</v>
      </c>
      <c r="C1119" s="2" t="s">
        <v>573</v>
      </c>
      <c r="D1119" s="2" t="str">
        <f t="shared" si="16"/>
        <v>Error?</v>
      </c>
    </row>
    <row r="1120" spans="1:4" x14ac:dyDescent="0.2">
      <c r="A1120" s="5">
        <v>1059</v>
      </c>
      <c r="B1120" s="138">
        <f>'Expenditures 15-22'!K49</f>
        <v>6987</v>
      </c>
      <c r="C1120" s="2" t="s">
        <v>573</v>
      </c>
      <c r="D1120" s="2" t="str">
        <f t="shared" si="16"/>
        <v>Error?</v>
      </c>
    </row>
    <row r="1121" spans="1:4" x14ac:dyDescent="0.2">
      <c r="A1121" s="5">
        <v>1060</v>
      </c>
      <c r="B1121" s="138">
        <f>'Expenditures 15-22'!K50</f>
        <v>61172</v>
      </c>
      <c r="C1121" s="2" t="s">
        <v>573</v>
      </c>
      <c r="D1121" s="2" t="str">
        <f t="shared" si="16"/>
        <v>Error?</v>
      </c>
    </row>
    <row r="1122" spans="1:4" x14ac:dyDescent="0.2">
      <c r="A1122" s="5">
        <v>1061</v>
      </c>
      <c r="B1122" s="138">
        <f>'Expenditures 15-22'!K53</f>
        <v>68159</v>
      </c>
      <c r="C1122" s="2" t="s">
        <v>573</v>
      </c>
      <c r="D1122" s="2" t="str">
        <f t="shared" si="16"/>
        <v>Error?</v>
      </c>
    </row>
    <row r="1123" spans="1:4" x14ac:dyDescent="0.2">
      <c r="A1123" s="5">
        <v>1062</v>
      </c>
      <c r="B1123" s="138">
        <f>'Expenditures 15-22'!K55</f>
        <v>15106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15106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25009</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38796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63805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147070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10726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651570</v>
      </c>
      <c r="C1152" s="2" t="s">
        <v>573</v>
      </c>
      <c r="D1152" s="2" t="str">
        <f t="shared" si="17"/>
        <v>Error?</v>
      </c>
    </row>
    <row r="1153" spans="1:4" x14ac:dyDescent="0.2">
      <c r="A1153" s="5">
        <v>1092</v>
      </c>
      <c r="B1153" s="138">
        <f>'Expenditures 15-22'!K115</f>
        <v>34376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15639</v>
      </c>
      <c r="D1221" s="2" t="str">
        <f t="shared" si="18"/>
        <v>Error?</v>
      </c>
    </row>
    <row r="1222" spans="1:4" x14ac:dyDescent="0.2">
      <c r="A1222" s="10">
        <v>1161</v>
      </c>
      <c r="D1222" s="2" t="str">
        <f t="shared" si="18"/>
        <v>OK</v>
      </c>
    </row>
    <row r="1223" spans="1:4" x14ac:dyDescent="0.2">
      <c r="A1223" s="5">
        <v>1162</v>
      </c>
      <c r="B1223" s="138">
        <f>'Expenditures 15-22'!C127</f>
        <v>15639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15639</v>
      </c>
      <c r="C1225" s="2" t="s">
        <v>573</v>
      </c>
      <c r="D1225" s="2" t="str">
        <f t="shared" si="18"/>
        <v>Error?</v>
      </c>
    </row>
    <row r="1226" spans="1:4" x14ac:dyDescent="0.2">
      <c r="A1226" s="5">
        <v>1165</v>
      </c>
      <c r="B1226" s="138">
        <f>'Expenditures 15-22'!C151</f>
        <v>15639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5656</v>
      </c>
      <c r="D1237" s="2" t="str">
        <f t="shared" si="18"/>
        <v>Error?</v>
      </c>
    </row>
    <row r="1238" spans="1:4" x14ac:dyDescent="0.2">
      <c r="A1238" s="10">
        <v>1177</v>
      </c>
      <c r="D1238" s="2" t="str">
        <f t="shared" si="18"/>
        <v>OK</v>
      </c>
    </row>
    <row r="1239" spans="1:4" x14ac:dyDescent="0.2">
      <c r="A1239" s="5">
        <v>1178</v>
      </c>
      <c r="B1239" s="138">
        <f>'Expenditures 15-22'!E127</f>
        <v>5656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5656</v>
      </c>
      <c r="C1241" s="2" t="s">
        <v>573</v>
      </c>
      <c r="D1241" s="2" t="str">
        <f t="shared" si="18"/>
        <v>Error?</v>
      </c>
    </row>
    <row r="1242" spans="1:4" x14ac:dyDescent="0.2">
      <c r="A1242" s="5">
        <v>1181</v>
      </c>
      <c r="B1242" s="138">
        <f>'Expenditures 15-22'!E151</f>
        <v>5656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15904</v>
      </c>
      <c r="D1245" s="2" t="str">
        <f t="shared" si="18"/>
        <v>Error?</v>
      </c>
    </row>
    <row r="1246" spans="1:4" x14ac:dyDescent="0.2">
      <c r="A1246" s="10">
        <v>1185</v>
      </c>
      <c r="D1246" s="2" t="str">
        <f t="shared" si="18"/>
        <v>OK</v>
      </c>
    </row>
    <row r="1247" spans="1:4" x14ac:dyDescent="0.2">
      <c r="A1247" s="5">
        <v>1186</v>
      </c>
      <c r="B1247" s="138">
        <f>'Expenditures 15-22'!F127</f>
        <v>15904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15904</v>
      </c>
      <c r="C1249" s="2" t="s">
        <v>573</v>
      </c>
      <c r="D1249" s="2" t="str">
        <f t="shared" si="18"/>
        <v>Error?</v>
      </c>
    </row>
    <row r="1250" spans="1:4" x14ac:dyDescent="0.2">
      <c r="A1250" s="5">
        <v>1189</v>
      </c>
      <c r="B1250" s="138">
        <f>'Expenditures 15-22'!F151</f>
        <v>15904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37199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37199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37199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37199</v>
      </c>
      <c r="C1288" s="2" t="s">
        <v>573</v>
      </c>
      <c r="D1288" s="2" t="str">
        <f t="shared" si="19"/>
        <v>Error?</v>
      </c>
    </row>
    <row r="1289" spans="1:4" x14ac:dyDescent="0.2">
      <c r="A1289" s="5">
        <v>1228</v>
      </c>
      <c r="B1289" s="138">
        <f>'Expenditures 15-22'!K152</f>
        <v>16335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49576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105076</v>
      </c>
      <c r="C1317" s="2" t="s">
        <v>573</v>
      </c>
      <c r="D1317" s="2" t="str">
        <f t="shared" si="19"/>
        <v>Error?</v>
      </c>
    </row>
    <row r="1318" spans="1:4" x14ac:dyDescent="0.2">
      <c r="A1318" s="5">
        <v>1257</v>
      </c>
      <c r="B1318" s="138">
        <f>'Expenditures 15-22'!H174</f>
        <v>105076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49576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55000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105076</v>
      </c>
      <c r="C1331" s="2" t="s">
        <v>573</v>
      </c>
      <c r="D1331" s="2" t="str">
        <f t="shared" si="19"/>
        <v>Error?</v>
      </c>
    </row>
    <row r="1332" spans="1:4" x14ac:dyDescent="0.2">
      <c r="A1332" s="5">
        <v>1271</v>
      </c>
      <c r="B1332" s="138">
        <f>'Expenditures 15-22'!K174</f>
        <v>105076</v>
      </c>
      <c r="C1332" s="2" t="s">
        <v>573</v>
      </c>
      <c r="D1332" s="2" t="str">
        <f t="shared" si="19"/>
        <v>Error?</v>
      </c>
    </row>
    <row r="1333" spans="1:4" x14ac:dyDescent="0.2">
      <c r="A1333" s="5">
        <v>1272</v>
      </c>
      <c r="B1333" s="138">
        <f>'Expenditures 15-22'!K175</f>
        <v>-505</v>
      </c>
      <c r="C1333" s="2" t="s">
        <v>573</v>
      </c>
      <c r="D1333" s="2" t="str">
        <f t="shared" si="19"/>
        <v>Error?</v>
      </c>
    </row>
    <row r="1334" spans="1:4" x14ac:dyDescent="0.2">
      <c r="A1334" s="10">
        <v>1273</v>
      </c>
      <c r="D1334" s="2" t="str">
        <f t="shared" si="19"/>
        <v>OK</v>
      </c>
    </row>
    <row r="1335" spans="1:4" x14ac:dyDescent="0.2">
      <c r="A1335" s="5">
        <v>1274</v>
      </c>
      <c r="B1335" s="138">
        <f>'Expenditures 15-22'!C182</f>
        <v>25464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25464</v>
      </c>
      <c r="C1339" s="2" t="s">
        <v>573</v>
      </c>
      <c r="D1339" s="2" t="str">
        <f t="shared" si="19"/>
        <v>Error?</v>
      </c>
    </row>
    <row r="1340" spans="1:4" x14ac:dyDescent="0.2">
      <c r="A1340" s="5">
        <v>1279</v>
      </c>
      <c r="B1340" s="138">
        <f>'Expenditures 15-22'!C210</f>
        <v>25464</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1553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1553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1553</v>
      </c>
      <c r="C1353" s="2" t="s">
        <v>573</v>
      </c>
      <c r="D1353" s="2" t="str">
        <f t="shared" si="20"/>
        <v>Error?</v>
      </c>
    </row>
    <row r="1354" spans="1:4" x14ac:dyDescent="0.2">
      <c r="A1354" s="5">
        <v>1293</v>
      </c>
      <c r="B1354" s="138">
        <f>'Expenditures 15-22'!F182</f>
        <v>13189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13189</v>
      </c>
      <c r="C1358" s="2" t="s">
        <v>573</v>
      </c>
      <c r="D1358" s="2" t="str">
        <f t="shared" si="20"/>
        <v>Error?</v>
      </c>
    </row>
    <row r="1359" spans="1:4" x14ac:dyDescent="0.2">
      <c r="A1359" s="5">
        <v>1298</v>
      </c>
      <c r="B1359" s="138">
        <f>'Expenditures 15-22'!F210</f>
        <v>13189</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40206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40206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40206</v>
      </c>
      <c r="C1388" s="2" t="s">
        <v>573</v>
      </c>
      <c r="D1388" s="2" t="str">
        <f t="shared" si="20"/>
        <v>Error?</v>
      </c>
    </row>
    <row r="1389" spans="1:4" x14ac:dyDescent="0.2">
      <c r="A1389" s="5">
        <v>1328</v>
      </c>
      <c r="B1389" s="138">
        <f>'Expenditures 15-22'!K211</f>
        <v>21356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7582</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58</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58</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6087</v>
      </c>
      <c r="D1423" s="2" t="str">
        <f t="shared" si="21"/>
        <v>Error?</v>
      </c>
    </row>
    <row r="1424" spans="1:4" x14ac:dyDescent="0.2">
      <c r="A1424" s="5">
        <v>1363</v>
      </c>
      <c r="B1424" s="138">
        <f>'Expenditures 15-22'!D257</f>
        <v>6307</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4911</v>
      </c>
      <c r="D1431" s="2" t="str">
        <f t="shared" si="21"/>
        <v>Error?</v>
      </c>
    </row>
    <row r="1432" spans="1:4" x14ac:dyDescent="0.2">
      <c r="A1432" s="5">
        <v>1371</v>
      </c>
      <c r="B1432" s="138">
        <f>'Expenditures 15-22'!D267</f>
        <v>4221</v>
      </c>
      <c r="D1432" s="2" t="str">
        <f t="shared" si="21"/>
        <v>Error?</v>
      </c>
    </row>
    <row r="1433" spans="1:4" x14ac:dyDescent="0.2">
      <c r="A1433" s="5">
        <v>1372</v>
      </c>
      <c r="B1433" s="138">
        <f>'Expenditures 15-22'!D268</f>
        <v>3346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12478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18843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26425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7582</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58</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58</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6087</v>
      </c>
      <c r="C1487" s="2" t="s">
        <v>573</v>
      </c>
      <c r="D1487" s="2" t="str">
        <f t="shared" si="22"/>
        <v>Error?</v>
      </c>
    </row>
    <row r="1488" spans="1:4" x14ac:dyDescent="0.2">
      <c r="A1488" s="5">
        <v>1427</v>
      </c>
      <c r="B1488" s="138">
        <f>'Expenditures 15-22'!K257</f>
        <v>6307</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4911</v>
      </c>
      <c r="C1495" s="2" t="s">
        <v>573</v>
      </c>
      <c r="D1495" s="2" t="str">
        <f t="shared" si="22"/>
        <v>Error?</v>
      </c>
    </row>
    <row r="1496" spans="1:4" x14ac:dyDescent="0.2">
      <c r="A1496" s="5">
        <v>1435</v>
      </c>
      <c r="B1496" s="138">
        <f>'Expenditures 15-22'!K267</f>
        <v>4221</v>
      </c>
      <c r="C1496" s="2" t="s">
        <v>573</v>
      </c>
      <c r="D1496" s="2" t="str">
        <f t="shared" si="22"/>
        <v>Error?</v>
      </c>
    </row>
    <row r="1497" spans="1:4" x14ac:dyDescent="0.2">
      <c r="A1497" s="5">
        <v>1436</v>
      </c>
      <c r="B1497" s="138">
        <f>'Expenditures 15-22'!K268</f>
        <v>3346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12478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18843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26425</v>
      </c>
      <c r="C1517" s="2" t="s">
        <v>573</v>
      </c>
      <c r="D1517" s="2" t="str">
        <f t="shared" si="22"/>
        <v>Error?</v>
      </c>
    </row>
    <row r="1518" spans="1:4" x14ac:dyDescent="0.2">
      <c r="A1518" s="5">
        <v>1457</v>
      </c>
      <c r="B1518" s="138">
        <f>'Expenditures 15-22'!K296</f>
        <v>6665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93182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127558</v>
      </c>
      <c r="C1630" s="2" t="s">
        <v>573</v>
      </c>
      <c r="D1630" s="2" t="str">
        <f t="shared" si="24"/>
        <v>Error?</v>
      </c>
    </row>
    <row r="1631" spans="1:4" x14ac:dyDescent="0.2">
      <c r="A1631" s="5">
        <v>1570</v>
      </c>
      <c r="B1631" s="138">
        <f>'Acct Summary 7-8'!D79</f>
        <v>105785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122120</v>
      </c>
      <c r="C1644" s="2" t="s">
        <v>573</v>
      </c>
      <c r="D1644" s="2" t="str">
        <f t="shared" si="24"/>
        <v>Error?</v>
      </c>
    </row>
    <row r="1645" spans="1:4" x14ac:dyDescent="0.2">
      <c r="A1645" s="5">
        <v>1584</v>
      </c>
      <c r="B1645" s="138">
        <f>'Acct Summary 7-8'!E79</f>
        <v>736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231</v>
      </c>
      <c r="C1658" s="2" t="s">
        <v>573</v>
      </c>
      <c r="D1658" s="2" t="str">
        <f t="shared" si="24"/>
        <v>Error?</v>
      </c>
    </row>
    <row r="1659" spans="1:4" x14ac:dyDescent="0.2">
      <c r="A1659" s="5">
        <v>1598</v>
      </c>
      <c r="B1659" s="138">
        <f>'Acct Summary 7-8'!F79</f>
        <v>85036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106392</v>
      </c>
      <c r="C1672" s="2" t="s">
        <v>573</v>
      </c>
      <c r="D1672" s="2" t="str">
        <f t="shared" si="25"/>
        <v>Error?</v>
      </c>
    </row>
    <row r="1673" spans="1:4" x14ac:dyDescent="0.2">
      <c r="A1673" s="5">
        <v>1612</v>
      </c>
      <c r="B1673" s="138">
        <f>'Acct Summary 7-8'!G79</f>
        <v>25305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31970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298315</v>
      </c>
      <c r="C1744" s="2" t="s">
        <v>573</v>
      </c>
      <c r="D1744" s="2" t="str">
        <f t="shared" si="26"/>
        <v>Error?</v>
      </c>
    </row>
    <row r="1745" spans="1:5" x14ac:dyDescent="0.2">
      <c r="A1745" s="5">
        <v>1684</v>
      </c>
      <c r="B1745" s="138">
        <f>'Tax Sched 23'!B5</f>
        <v>43870</v>
      </c>
      <c r="C1745" s="2" t="s">
        <v>573</v>
      </c>
      <c r="D1745" s="2" t="str">
        <f t="shared" si="26"/>
        <v>Error?</v>
      </c>
    </row>
    <row r="1746" spans="1:5" x14ac:dyDescent="0.2">
      <c r="A1746" s="5">
        <v>1685</v>
      </c>
      <c r="B1746" s="138">
        <f>'Tax Sched 23'!B6</f>
        <v>104535</v>
      </c>
      <c r="C1746" s="2" t="s">
        <v>573</v>
      </c>
      <c r="D1746" s="2" t="str">
        <f t="shared" si="26"/>
        <v>Error?</v>
      </c>
    </row>
    <row r="1747" spans="1:5" x14ac:dyDescent="0.2">
      <c r="A1747" s="5">
        <v>1686</v>
      </c>
      <c r="B1747" s="138">
        <f>'Tax Sched 23'!B7</f>
        <v>21057</v>
      </c>
      <c r="C1747" s="2" t="s">
        <v>573</v>
      </c>
      <c r="D1747" s="2" t="str">
        <f t="shared" si="26"/>
        <v>Error?</v>
      </c>
    </row>
    <row r="1748" spans="1:5" x14ac:dyDescent="0.2">
      <c r="A1748" s="5">
        <v>1687</v>
      </c>
      <c r="B1748" s="138">
        <f>'Tax Sched 23'!B8</f>
        <v>15463</v>
      </c>
      <c r="C1748" s="2" t="s">
        <v>573</v>
      </c>
      <c r="D1748" s="2" t="str">
        <f t="shared" si="26"/>
        <v>Error?</v>
      </c>
    </row>
    <row r="1749" spans="1:5" x14ac:dyDescent="0.2">
      <c r="A1749" s="5">
        <v>1688</v>
      </c>
      <c r="B1749" s="138">
        <f>'Tax Sched 23'!B10</f>
        <v>8774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94211</v>
      </c>
      <c r="C1752" s="2" t="s">
        <v>573</v>
      </c>
      <c r="D1752" s="2" t="str">
        <f t="shared" si="26"/>
        <v>Error?</v>
      </c>
    </row>
    <row r="1753" spans="1:5" x14ac:dyDescent="0.2">
      <c r="A1753" s="5">
        <v>1692</v>
      </c>
      <c r="B1753" s="138">
        <f>'Tax Sched 23'!B12</f>
        <v>8774</v>
      </c>
      <c r="C1753" s="2" t="s">
        <v>573</v>
      </c>
      <c r="D1753" s="2" t="str">
        <f t="shared" si="26"/>
        <v>Error?</v>
      </c>
    </row>
    <row r="1754" spans="1:5" x14ac:dyDescent="0.2">
      <c r="A1754" s="5">
        <v>1693</v>
      </c>
      <c r="B1754" s="138">
        <f>'Tax Sched 23'!B14</f>
        <v>3510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622806</v>
      </c>
      <c r="C1759" s="2" t="s">
        <v>573</v>
      </c>
      <c r="D1759" s="2" t="str">
        <f t="shared" si="26"/>
        <v>Error?</v>
      </c>
    </row>
    <row r="1760" spans="1:5" x14ac:dyDescent="0.2">
      <c r="A1760" s="5">
        <v>1699</v>
      </c>
      <c r="B1760" s="138">
        <f>'Tax Sched 23'!D4</f>
        <v>298315</v>
      </c>
      <c r="C1760" s="2" t="s">
        <v>573</v>
      </c>
      <c r="D1760" s="2" t="str">
        <f t="shared" si="26"/>
        <v>Error?</v>
      </c>
    </row>
    <row r="1761" spans="1:5" x14ac:dyDescent="0.2">
      <c r="A1761" s="5">
        <v>1700</v>
      </c>
      <c r="B1761" s="138">
        <f>'Tax Sched 23'!D5</f>
        <v>43870</v>
      </c>
      <c r="C1761" s="2" t="s">
        <v>573</v>
      </c>
      <c r="D1761" s="2" t="str">
        <f t="shared" si="26"/>
        <v>Error?</v>
      </c>
    </row>
    <row r="1762" spans="1:5" s="8" customFormat="1" x14ac:dyDescent="0.2">
      <c r="A1762" s="5">
        <v>1701</v>
      </c>
      <c r="B1762" s="138">
        <f>'Tax Sched 23'!D6</f>
        <v>104535</v>
      </c>
      <c r="C1762" s="2" t="s">
        <v>573</v>
      </c>
      <c r="D1762" s="2" t="str">
        <f t="shared" si="26"/>
        <v>Error?</v>
      </c>
      <c r="E1762" s="9"/>
    </row>
    <row r="1763" spans="1:5" x14ac:dyDescent="0.2">
      <c r="A1763" s="5">
        <v>1702</v>
      </c>
      <c r="B1763" s="138">
        <f>'Tax Sched 23'!D7</f>
        <v>21057</v>
      </c>
      <c r="C1763" s="2" t="s">
        <v>573</v>
      </c>
      <c r="D1763" s="2" t="str">
        <f t="shared" si="26"/>
        <v>Error?</v>
      </c>
    </row>
    <row r="1764" spans="1:5" x14ac:dyDescent="0.2">
      <c r="A1764" s="5">
        <v>1703</v>
      </c>
      <c r="B1764" s="138">
        <f>'Tax Sched 23'!D8</f>
        <v>15463</v>
      </c>
      <c r="C1764" s="2" t="s">
        <v>573</v>
      </c>
      <c r="D1764" s="2" t="str">
        <f t="shared" si="26"/>
        <v>Error?</v>
      </c>
    </row>
    <row r="1765" spans="1:5" x14ac:dyDescent="0.2">
      <c r="A1765" s="5">
        <v>1704</v>
      </c>
      <c r="B1765" s="138">
        <f>'Tax Sched 23'!D10</f>
        <v>8774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94211</v>
      </c>
      <c r="C1768" s="2" t="s">
        <v>573</v>
      </c>
      <c r="D1768" s="2" t="str">
        <f t="shared" si="26"/>
        <v>Error?</v>
      </c>
    </row>
    <row r="1769" spans="1:5" x14ac:dyDescent="0.2">
      <c r="A1769" s="5">
        <v>1708</v>
      </c>
      <c r="B1769" s="138">
        <f>'Tax Sched 23'!D12</f>
        <v>8774</v>
      </c>
      <c r="C1769" s="2" t="s">
        <v>573</v>
      </c>
      <c r="D1769" s="2" t="str">
        <f t="shared" si="26"/>
        <v>Error?</v>
      </c>
    </row>
    <row r="1770" spans="1:5" x14ac:dyDescent="0.2">
      <c r="A1770" s="5">
        <v>1709</v>
      </c>
      <c r="B1770" s="138">
        <f>'Tax Sched 23'!D14</f>
        <v>3510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622806</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308089</v>
      </c>
      <c r="C1792" s="2" t="s">
        <v>573</v>
      </c>
      <c r="D1792" s="2" t="str">
        <f t="shared" si="27"/>
        <v>Error?</v>
      </c>
    </row>
    <row r="1793" spans="1:4" x14ac:dyDescent="0.2">
      <c r="A1793" s="5">
        <v>1732</v>
      </c>
      <c r="B1793" s="138">
        <f>'Tax Sched 23'!F5</f>
        <v>45307</v>
      </c>
      <c r="C1793" s="2" t="s">
        <v>573</v>
      </c>
      <c r="D1793" s="2" t="str">
        <f t="shared" si="27"/>
        <v>Error?</v>
      </c>
    </row>
    <row r="1794" spans="1:4" x14ac:dyDescent="0.2">
      <c r="A1794" s="5">
        <v>1733</v>
      </c>
      <c r="B1794" s="138">
        <f>'Tax Sched 23'!F6</f>
        <v>101414</v>
      </c>
      <c r="C1794" s="2" t="s">
        <v>573</v>
      </c>
      <c r="D1794" s="2" t="str">
        <f t="shared" si="27"/>
        <v>Error?</v>
      </c>
    </row>
    <row r="1795" spans="1:4" x14ac:dyDescent="0.2">
      <c r="A1795" s="5">
        <v>1734</v>
      </c>
      <c r="B1795" s="138">
        <f>'Tax Sched 23'!F7</f>
        <v>21747</v>
      </c>
      <c r="C1795" s="2" t="s">
        <v>573</v>
      </c>
      <c r="D1795" s="2" t="str">
        <f t="shared" si="27"/>
        <v>Error?</v>
      </c>
    </row>
    <row r="1796" spans="1:4" x14ac:dyDescent="0.2">
      <c r="A1796" s="5">
        <v>1735</v>
      </c>
      <c r="B1796" s="138">
        <f>'Tax Sched 23'!F8</f>
        <v>16274</v>
      </c>
      <c r="C1796" s="2" t="s">
        <v>573</v>
      </c>
      <c r="D1796" s="2" t="str">
        <f t="shared" si="27"/>
        <v>Error?</v>
      </c>
    </row>
    <row r="1797" spans="1:4" x14ac:dyDescent="0.2">
      <c r="A1797" s="5">
        <v>1736</v>
      </c>
      <c r="B1797" s="138">
        <f>'Tax Sched 23'!F10</f>
        <v>9061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98500</v>
      </c>
      <c r="C1800" s="2" t="s">
        <v>573</v>
      </c>
      <c r="D1800" s="2" t="str">
        <f t="shared" si="27"/>
        <v>Error?</v>
      </c>
    </row>
    <row r="1801" spans="1:4" x14ac:dyDescent="0.2">
      <c r="A1801" s="5">
        <v>1740</v>
      </c>
      <c r="B1801" s="138">
        <f>'Tax Sched 23'!F12</f>
        <v>9061</v>
      </c>
      <c r="C1801" s="2" t="s">
        <v>573</v>
      </c>
      <c r="D1801" s="2" t="str">
        <f t="shared" si="27"/>
        <v>Error?</v>
      </c>
    </row>
    <row r="1802" spans="1:4" x14ac:dyDescent="0.2">
      <c r="A1802" s="5">
        <v>1741</v>
      </c>
      <c r="B1802" s="138">
        <f>'Tax Sched 23'!F14</f>
        <v>3625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638413</v>
      </c>
      <c r="C1807" s="2" t="s">
        <v>573</v>
      </c>
      <c r="D1807" s="2" t="str">
        <f t="shared" si="27"/>
        <v>Error?</v>
      </c>
    </row>
    <row r="1808" spans="1:4" x14ac:dyDescent="0.2">
      <c r="A1808" s="5">
        <v>1747</v>
      </c>
      <c r="B1808" s="138">
        <f>'Tax Sched 23'!E4</f>
        <v>308089</v>
      </c>
      <c r="D1808" s="2" t="str">
        <f t="shared" si="27"/>
        <v>Error?</v>
      </c>
    </row>
    <row r="1809" spans="1:4" x14ac:dyDescent="0.2">
      <c r="A1809" s="5">
        <v>1748</v>
      </c>
      <c r="B1809" s="138">
        <f>'Tax Sched 23'!E5</f>
        <v>45307</v>
      </c>
      <c r="D1809" s="2" t="str">
        <f t="shared" si="27"/>
        <v>Error?</v>
      </c>
    </row>
    <row r="1810" spans="1:4" x14ac:dyDescent="0.2">
      <c r="A1810" s="5">
        <v>1749</v>
      </c>
      <c r="B1810" s="138">
        <f>'Tax Sched 23'!E6</f>
        <v>101414</v>
      </c>
      <c r="D1810" s="2" t="str">
        <f t="shared" si="27"/>
        <v>Error?</v>
      </c>
    </row>
    <row r="1811" spans="1:4" x14ac:dyDescent="0.2">
      <c r="A1811" s="5">
        <v>1750</v>
      </c>
      <c r="B1811" s="138">
        <f>'Tax Sched 23'!E7</f>
        <v>21747</v>
      </c>
      <c r="D1811" s="2" t="str">
        <f t="shared" si="27"/>
        <v>Error?</v>
      </c>
    </row>
    <row r="1812" spans="1:4" x14ac:dyDescent="0.2">
      <c r="A1812" s="5">
        <v>1751</v>
      </c>
      <c r="B1812" s="138">
        <f>'Tax Sched 23'!E8</f>
        <v>16274</v>
      </c>
      <c r="D1812" s="2" t="str">
        <f t="shared" si="27"/>
        <v>Error?</v>
      </c>
    </row>
    <row r="1813" spans="1:4" x14ac:dyDescent="0.2">
      <c r="A1813" s="5">
        <v>1752</v>
      </c>
      <c r="B1813" s="138">
        <f>'Tax Sched 23'!E10</f>
        <v>9061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98500</v>
      </c>
      <c r="D1816" s="2" t="str">
        <f t="shared" si="27"/>
        <v>Error?</v>
      </c>
    </row>
    <row r="1817" spans="1:4" x14ac:dyDescent="0.2">
      <c r="A1817" s="5">
        <v>1756</v>
      </c>
      <c r="B1817" s="138">
        <f>'Tax Sched 23'!E12</f>
        <v>9061</v>
      </c>
      <c r="D1817" s="2" t="str">
        <f t="shared" si="27"/>
        <v>Error?</v>
      </c>
    </row>
    <row r="1818" spans="1:4" x14ac:dyDescent="0.2">
      <c r="A1818" s="5">
        <v>1757</v>
      </c>
      <c r="B1818" s="138">
        <f>'Tax Sched 23'!E14</f>
        <v>3625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638413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970000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3510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3510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3510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1258368</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232746</v>
      </c>
      <c r="D2011" s="2" t="str">
        <f t="shared" si="30"/>
        <v>Error?</v>
      </c>
    </row>
    <row r="2012" spans="1:4" x14ac:dyDescent="0.2">
      <c r="A2012" s="5">
        <v>1951</v>
      </c>
      <c r="B2012" s="138">
        <f>'Cap Outlay Deprec 26'!C13</f>
        <v>148691</v>
      </c>
      <c r="D2012" s="2" t="str">
        <f t="shared" si="30"/>
        <v>Error?</v>
      </c>
    </row>
    <row r="2013" spans="1:4" x14ac:dyDescent="0.2">
      <c r="A2013" s="5">
        <v>1952</v>
      </c>
      <c r="B2013" s="138">
        <f>'Cap Outlay Deprec 26'!C16</f>
        <v>1639805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1258368</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232746</v>
      </c>
      <c r="C2029" s="2" t="s">
        <v>573</v>
      </c>
      <c r="D2029" s="2" t="str">
        <f t="shared" si="30"/>
        <v>Error?</v>
      </c>
    </row>
    <row r="2030" spans="1:4" x14ac:dyDescent="0.2">
      <c r="A2030" s="5">
        <v>1969</v>
      </c>
      <c r="B2030" s="138">
        <f>'Cap Outlay Deprec 26'!F13</f>
        <v>148691</v>
      </c>
      <c r="C2030" s="2" t="s">
        <v>573</v>
      </c>
      <c r="D2030" s="2" t="str">
        <f t="shared" si="30"/>
        <v>Error?</v>
      </c>
    </row>
    <row r="2031" spans="1:4" x14ac:dyDescent="0.2">
      <c r="A2031" s="5">
        <v>1970</v>
      </c>
      <c r="B2031" s="138">
        <f>'Cap Outlay Deprec 26'!F16</f>
        <v>1639805</v>
      </c>
      <c r="C2031" s="2" t="s">
        <v>573</v>
      </c>
      <c r="D2031" s="2" t="str">
        <f t="shared" si="30"/>
        <v>Error?</v>
      </c>
    </row>
    <row r="2032" spans="1:4" x14ac:dyDescent="0.2">
      <c r="A2032" s="10">
        <v>1971</v>
      </c>
      <c r="D2032" s="2" t="str">
        <f t="shared" si="30"/>
        <v>OK</v>
      </c>
    </row>
    <row r="2033" spans="1:4" x14ac:dyDescent="0.2">
      <c r="A2033" s="5">
        <v>1972</v>
      </c>
      <c r="B2033" s="138">
        <f>'Cap Outlay Deprec 26'!H8</f>
        <v>175644</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177089</v>
      </c>
      <c r="D2035" s="2" t="str">
        <f t="shared" si="30"/>
        <v>Error?</v>
      </c>
    </row>
    <row r="2036" spans="1:4" x14ac:dyDescent="0.2">
      <c r="A2036" s="5">
        <v>1975</v>
      </c>
      <c r="B2036" s="138">
        <f>'Cap Outlay Deprec 26'!H13</f>
        <v>148691</v>
      </c>
      <c r="D2036" s="2" t="str">
        <f t="shared" si="30"/>
        <v>Error?</v>
      </c>
    </row>
    <row r="2037" spans="1:4" x14ac:dyDescent="0.2">
      <c r="A2037" s="5">
        <v>1976</v>
      </c>
      <c r="B2037" s="138">
        <f>'Cap Outlay Deprec 26'!H16</f>
        <v>501424</v>
      </c>
      <c r="C2037" s="2" t="s">
        <v>573</v>
      </c>
      <c r="D2037" s="2" t="str">
        <f t="shared" si="30"/>
        <v>Error?</v>
      </c>
    </row>
    <row r="2038" spans="1:4" x14ac:dyDescent="0.2">
      <c r="A2038" s="10">
        <v>1977</v>
      </c>
      <c r="D2038" s="2" t="str">
        <f t="shared" si="30"/>
        <v>OK</v>
      </c>
    </row>
    <row r="2039" spans="1:4" x14ac:dyDescent="0.2">
      <c r="A2039" s="5">
        <v>1978</v>
      </c>
      <c r="B2039" s="138">
        <f>'Cap Outlay Deprec 26'!I8</f>
        <v>25167</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7509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32676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200811</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184598</v>
      </c>
      <c r="C2053" s="2" t="s">
        <v>573</v>
      </c>
      <c r="D2053" s="2" t="str">
        <f t="shared" si="31"/>
        <v>Error?</v>
      </c>
    </row>
    <row r="2054" spans="1:4" x14ac:dyDescent="0.2">
      <c r="A2054" s="5">
        <v>1993</v>
      </c>
      <c r="B2054" s="138">
        <f>'Cap Outlay Deprec 26'!K13</f>
        <v>148691</v>
      </c>
      <c r="C2054" s="2" t="s">
        <v>573</v>
      </c>
      <c r="D2054" s="2" t="str">
        <f t="shared" si="31"/>
        <v>Error?</v>
      </c>
    </row>
    <row r="2055" spans="1:4" x14ac:dyDescent="0.2">
      <c r="A2055" s="5">
        <v>1994</v>
      </c>
      <c r="B2055" s="138">
        <f>'Cap Outlay Deprec 26'!K16</f>
        <v>534100</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1057557</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48148</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1105705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10726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379469</v>
      </c>
      <c r="C2551" s="2" t="s">
        <v>573</v>
      </c>
      <c r="D2551" s="2" t="str">
        <f t="shared" si="38"/>
        <v>Error?</v>
      </c>
    </row>
    <row r="2552" spans="1:4" x14ac:dyDescent="0.2">
      <c r="A2552" s="10">
        <v>2491</v>
      </c>
      <c r="D2552" s="2" t="str">
        <f t="shared" si="38"/>
        <v>OK</v>
      </c>
    </row>
    <row r="2553" spans="1:4" x14ac:dyDescent="0.2">
      <c r="A2553" s="5">
        <v>2492</v>
      </c>
      <c r="B2553" s="138">
        <f>'Acct Summary 7-8'!C6</f>
        <v>255762</v>
      </c>
      <c r="C2553" s="2" t="s">
        <v>573</v>
      </c>
      <c r="D2553" s="2" t="str">
        <f t="shared" si="38"/>
        <v>Error?</v>
      </c>
    </row>
    <row r="2554" spans="1:4" x14ac:dyDescent="0.2">
      <c r="A2554" s="5">
        <v>2493</v>
      </c>
      <c r="B2554" s="138">
        <f>'Acct Summary 7-8'!C7</f>
        <v>50715</v>
      </c>
      <c r="C2554" s="2" t="s">
        <v>573</v>
      </c>
      <c r="D2554" s="2" t="str">
        <f t="shared" si="38"/>
        <v>Error?</v>
      </c>
    </row>
    <row r="2555" spans="1:4" x14ac:dyDescent="0.2">
      <c r="A2555" s="5">
        <v>2494</v>
      </c>
      <c r="B2555" s="138">
        <f>'Acct Summary 7-8'!C8</f>
        <v>685946</v>
      </c>
      <c r="C2555" s="2" t="s">
        <v>573</v>
      </c>
      <c r="D2555" s="2" t="str">
        <f t="shared" si="38"/>
        <v>Error?</v>
      </c>
    </row>
    <row r="2556" spans="1:4" x14ac:dyDescent="0.2">
      <c r="A2556" s="5">
        <v>2495</v>
      </c>
      <c r="B2556" s="138">
        <f>'Acct Summary 7-8'!C12</f>
        <v>493774</v>
      </c>
      <c r="C2556" s="2" t="s">
        <v>573</v>
      </c>
      <c r="D2556" s="2" t="str">
        <f t="shared" si="38"/>
        <v>Error?</v>
      </c>
    </row>
    <row r="2557" spans="1:4" x14ac:dyDescent="0.2">
      <c r="A2557" s="5">
        <v>2496</v>
      </c>
      <c r="B2557" s="138">
        <f>'Acct Summary 7-8'!C13</f>
        <v>147070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10726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651570</v>
      </c>
      <c r="C2561" s="2" t="s">
        <v>573</v>
      </c>
      <c r="D2561" s="2" t="str">
        <f t="shared" si="39"/>
        <v>Error?</v>
      </c>
    </row>
    <row r="2562" spans="1:4" x14ac:dyDescent="0.2">
      <c r="A2562" s="5">
        <v>2501</v>
      </c>
      <c r="B2562" s="138">
        <f>'Acct Summary 7-8'!C20</f>
        <v>34376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51534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2000</v>
      </c>
      <c r="C2567" s="2" t="s">
        <v>573</v>
      </c>
      <c r="D2567" s="2" t="str">
        <f t="shared" si="39"/>
        <v>Error?</v>
      </c>
    </row>
    <row r="2568" spans="1:4" x14ac:dyDescent="0.2">
      <c r="A2568" s="5">
        <v>2507</v>
      </c>
      <c r="B2568" s="138">
        <f>'Acct Summary 7-8'!D8</f>
        <v>53534</v>
      </c>
      <c r="C2568" s="2" t="s">
        <v>573</v>
      </c>
      <c r="D2568" s="2" t="str">
        <f t="shared" si="39"/>
        <v>Error?</v>
      </c>
    </row>
    <row r="2569" spans="1:4" x14ac:dyDescent="0.2">
      <c r="A2569" s="5">
        <v>2508</v>
      </c>
      <c r="B2569" s="138">
        <f>'Acct Summary 7-8'!D13</f>
        <v>37199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37199</v>
      </c>
      <c r="C2573" s="2" t="s">
        <v>573</v>
      </c>
      <c r="D2573" s="2" t="str">
        <f t="shared" si="39"/>
        <v>Error?</v>
      </c>
    </row>
    <row r="2574" spans="1:4" x14ac:dyDescent="0.2">
      <c r="A2574" s="5">
        <v>2513</v>
      </c>
      <c r="B2574" s="138">
        <f>'Acct Summary 7-8'!D20</f>
        <v>16335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55744</v>
      </c>
      <c r="C2591" s="2" t="s">
        <v>573</v>
      </c>
      <c r="D2591" s="2" t="str">
        <f t="shared" si="39"/>
        <v>Error?</v>
      </c>
    </row>
    <row r="2592" spans="1:4" x14ac:dyDescent="0.2">
      <c r="A2592" s="10">
        <v>2531</v>
      </c>
      <c r="D2592" s="2" t="str">
        <f t="shared" si="39"/>
        <v>OK</v>
      </c>
    </row>
    <row r="2593" spans="1:4" x14ac:dyDescent="0.2">
      <c r="A2593" s="5">
        <v>2532</v>
      </c>
      <c r="B2593" s="138">
        <f>'Acct Summary 7-8'!F6</f>
        <v>5818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61562</v>
      </c>
      <c r="C2595" s="2" t="s">
        <v>573</v>
      </c>
      <c r="D2595" s="2" t="str">
        <f t="shared" si="39"/>
        <v>Error?</v>
      </c>
    </row>
    <row r="2596" spans="1:4" x14ac:dyDescent="0.2">
      <c r="A2596" s="5">
        <v>2535</v>
      </c>
      <c r="B2596" s="138">
        <f>'Acct Summary 7-8'!F13</f>
        <v>40206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40206</v>
      </c>
      <c r="C2600" s="2" t="s">
        <v>573</v>
      </c>
      <c r="D2600" s="2" t="str">
        <f t="shared" si="39"/>
        <v>Error?</v>
      </c>
    </row>
    <row r="2601" spans="1:4" x14ac:dyDescent="0.2">
      <c r="A2601" s="5">
        <v>2540</v>
      </c>
      <c r="B2601" s="138">
        <f>'Acct Summary 7-8'!F20</f>
        <v>21356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33090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33090</v>
      </c>
      <c r="C2606" s="2" t="s">
        <v>573</v>
      </c>
      <c r="D2606" s="2" t="str">
        <f t="shared" si="39"/>
        <v>Error?</v>
      </c>
    </row>
    <row r="2607" spans="1:4" x14ac:dyDescent="0.2">
      <c r="A2607" s="5">
        <v>2546</v>
      </c>
      <c r="B2607" s="138">
        <f>'Acct Summary 7-8'!G12</f>
        <v>7582</v>
      </c>
      <c r="C2607" s="2" t="s">
        <v>573</v>
      </c>
      <c r="D2607" s="2" t="str">
        <f t="shared" si="39"/>
        <v>Error?</v>
      </c>
    </row>
    <row r="2608" spans="1:4" x14ac:dyDescent="0.2">
      <c r="A2608" s="5">
        <v>2547</v>
      </c>
      <c r="B2608" s="138">
        <f>'Acct Summary 7-8'!G13</f>
        <v>18843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26425</v>
      </c>
      <c r="C2612" s="2" t="s">
        <v>573</v>
      </c>
      <c r="D2612" s="2" t="str">
        <f t="shared" si="39"/>
        <v>Error?</v>
      </c>
    </row>
    <row r="2613" spans="1:4" x14ac:dyDescent="0.2">
      <c r="A2613" s="5">
        <v>2552</v>
      </c>
      <c r="B2613" s="138">
        <f>'Acct Summary 7-8'!G20</f>
        <v>6665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104571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104571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105076</v>
      </c>
      <c r="C2634" s="2" t="s">
        <v>573</v>
      </c>
      <c r="D2634" s="2" t="str">
        <f t="shared" si="40"/>
        <v>Error?</v>
      </c>
    </row>
    <row r="2635" spans="1:4" x14ac:dyDescent="0.2">
      <c r="A2635" s="5">
        <v>2574</v>
      </c>
      <c r="B2635" s="138">
        <f>'Acct Summary 7-8'!E17</f>
        <v>105076</v>
      </c>
      <c r="C2635" s="2" t="s">
        <v>573</v>
      </c>
      <c r="D2635" s="2" t="str">
        <f t="shared" si="40"/>
        <v>Error?</v>
      </c>
    </row>
    <row r="2636" spans="1:4" x14ac:dyDescent="0.2">
      <c r="A2636" s="5">
        <v>2575</v>
      </c>
      <c r="B2636" s="138">
        <f>'Acct Summary 7-8'!E20</f>
        <v>-505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10726</v>
      </c>
      <c r="C2789" s="2" t="s">
        <v>573</v>
      </c>
      <c r="D2789" s="2" t="str">
        <f t="shared" si="42"/>
        <v>Error?</v>
      </c>
    </row>
    <row r="2790" spans="1:4" x14ac:dyDescent="0.2">
      <c r="A2790" s="5">
        <v>2729</v>
      </c>
      <c r="B2790" s="138">
        <f>'Expenditures 15-22'!E102</f>
        <v>10726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54903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54903</v>
      </c>
      <c r="D2912" s="2" t="str">
        <f t="shared" si="44"/>
        <v>Error?</v>
      </c>
    </row>
    <row r="2913" spans="1:4" x14ac:dyDescent="0.2">
      <c r="A2913" s="5">
        <v>2852</v>
      </c>
      <c r="B2913" s="138">
        <f>'Assets-Liab 5-6'!I41</f>
        <v>54903</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2191</v>
      </c>
      <c r="D2949" s="2" t="str">
        <f t="shared" si="45"/>
        <v>Error?</v>
      </c>
    </row>
    <row r="2950" spans="1:4" x14ac:dyDescent="0.2">
      <c r="A2950" s="5">
        <v>2889</v>
      </c>
      <c r="B2950" s="138">
        <f>'Expenditures 15-22'!E79</f>
        <v>8535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2191</v>
      </c>
      <c r="C2973" s="2" t="s">
        <v>573</v>
      </c>
      <c r="D2973" s="2" t="str">
        <f t="shared" si="45"/>
        <v>Error?</v>
      </c>
    </row>
    <row r="2974" spans="1:4" x14ac:dyDescent="0.2">
      <c r="A2974" s="5">
        <v>2913</v>
      </c>
      <c r="B2974" s="138">
        <f>'Expenditures 15-22'!K79</f>
        <v>8535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60314</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6776</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67090</v>
      </c>
      <c r="C3062" s="2" t="s">
        <v>573</v>
      </c>
      <c r="D3062" s="2" t="str">
        <f t="shared" si="46"/>
        <v>Error?</v>
      </c>
    </row>
    <row r="3063" spans="1:4" x14ac:dyDescent="0.2">
      <c r="A3063" s="10">
        <v>3002</v>
      </c>
      <c r="D3063" s="2" t="str">
        <f t="shared" si="46"/>
        <v>OK</v>
      </c>
    </row>
    <row r="3064" spans="1:4" x14ac:dyDescent="0.2">
      <c r="A3064" s="5">
        <v>3003</v>
      </c>
      <c r="B3064" s="138">
        <f>'Expenditures 15-22'!D219</f>
        <v>697</v>
      </c>
      <c r="D3064" s="2" t="str">
        <f t="shared" si="46"/>
        <v>Error?</v>
      </c>
    </row>
    <row r="3065" spans="1:4" x14ac:dyDescent="0.2">
      <c r="A3065" s="5">
        <v>3004</v>
      </c>
      <c r="B3065" s="138">
        <f>'Expenditures 15-22'!K219</f>
        <v>697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8777</v>
      </c>
      <c r="C3225" s="2" t="s">
        <v>573</v>
      </c>
      <c r="D3225" s="2" t="str">
        <f t="shared" si="49"/>
        <v>Error?</v>
      </c>
    </row>
    <row r="3226" spans="1:4" x14ac:dyDescent="0.2">
      <c r="A3226" s="5">
        <v>3165</v>
      </c>
      <c r="B3226" s="138">
        <f>'Acct Summary 7-8'!I8</f>
        <v>8777</v>
      </c>
      <c r="C3226" s="2" t="s">
        <v>573</v>
      </c>
      <c r="D3226" s="2" t="str">
        <f t="shared" si="49"/>
        <v>Error?</v>
      </c>
    </row>
    <row r="3227" spans="1:4" x14ac:dyDescent="0.2">
      <c r="A3227" s="5">
        <v>3166</v>
      </c>
      <c r="B3227" s="138">
        <f>'Acct Summary 7-8'!I20</f>
        <v>8777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34376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16335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21356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6665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-505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8777</v>
      </c>
      <c r="C3320" s="2" t="s">
        <v>573</v>
      </c>
      <c r="D3320" s="2" t="str">
        <f t="shared" si="50"/>
        <v>Error?</v>
      </c>
    </row>
    <row r="3321" spans="1:4" x14ac:dyDescent="0.2">
      <c r="A3321" s="5">
        <v>3260</v>
      </c>
      <c r="B3321" s="138">
        <f>'Acct Summary 7-8'!I79</f>
        <v>46126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54903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2096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2096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6713</v>
      </c>
      <c r="D3387" s="2" t="str">
        <f t="shared" si="51"/>
        <v>Error?</v>
      </c>
    </row>
    <row r="3388" spans="1:4" x14ac:dyDescent="0.2">
      <c r="A3388" s="5">
        <v>3327</v>
      </c>
      <c r="B3388" s="138">
        <f>'Expenditures 15-22'!D217</f>
        <v>172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6713</v>
      </c>
      <c r="C3390" s="2" t="s">
        <v>573</v>
      </c>
      <c r="D3390" s="2" t="str">
        <f t="shared" si="51"/>
        <v>Error?</v>
      </c>
    </row>
    <row r="3391" spans="1:4" x14ac:dyDescent="0.2">
      <c r="A3391" s="5">
        <v>3330</v>
      </c>
      <c r="B3391" s="138">
        <f>'Expenditures 15-22'!K217</f>
        <v>172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127558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122120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231</v>
      </c>
      <c r="D3417" s="2" t="str">
        <f t="shared" si="52"/>
        <v>Error?</v>
      </c>
    </row>
    <row r="3418" spans="1:4" x14ac:dyDescent="0.2">
      <c r="A3418" s="10">
        <v>3357</v>
      </c>
      <c r="D3418" s="2" t="str">
        <f t="shared" si="52"/>
        <v>OK</v>
      </c>
    </row>
    <row r="3419" spans="1:4" x14ac:dyDescent="0.2">
      <c r="A3419" s="5">
        <v>3358</v>
      </c>
      <c r="B3419" s="138">
        <f>'Assets-Liab 5-6'!F4</f>
        <v>106392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31970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54903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15523</v>
      </c>
      <c r="C3446" s="2" t="s">
        <v>573</v>
      </c>
      <c r="D3446" s="2" t="str">
        <f t="shared" si="52"/>
        <v>Error?</v>
      </c>
    </row>
    <row r="3447" spans="1:4" x14ac:dyDescent="0.2">
      <c r="A3447" s="5">
        <v>3386</v>
      </c>
      <c r="B3447" s="138">
        <f>'Tax Sched 23'!D16</f>
        <v>15523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16274</v>
      </c>
      <c r="C3449" s="2" t="s">
        <v>573</v>
      </c>
      <c r="D3449" s="2" t="str">
        <f t="shared" si="52"/>
        <v>Error?</v>
      </c>
    </row>
    <row r="3450" spans="1:4" x14ac:dyDescent="0.2">
      <c r="A3450" s="5">
        <v>3389</v>
      </c>
      <c r="B3450" s="138">
        <f>'Tax Sched 23'!E16</f>
        <v>16274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49735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49735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49735</v>
      </c>
      <c r="D3567" s="2" t="str">
        <f t="shared" si="54"/>
        <v>Error?</v>
      </c>
    </row>
    <row r="3568" spans="1:4" x14ac:dyDescent="0.2">
      <c r="A3568" s="5">
        <v>3507</v>
      </c>
      <c r="B3568" s="138">
        <f>'Assets-Liab 5-6'!K41</f>
        <v>49735</v>
      </c>
      <c r="C3568" s="2" t="s">
        <v>573</v>
      </c>
      <c r="D3568" s="2" t="str">
        <f t="shared" si="54"/>
        <v>Error?</v>
      </c>
    </row>
    <row r="3569" spans="1:4" x14ac:dyDescent="0.2">
      <c r="A3569" s="5">
        <v>3508</v>
      </c>
      <c r="B3569" s="138">
        <f>'Acct Summary 7-8'!K4</f>
        <v>8777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8777</v>
      </c>
      <c r="C3571" s="2" t="s">
        <v>573</v>
      </c>
      <c r="D3571" s="2" t="str">
        <f t="shared" si="54"/>
        <v>Error?</v>
      </c>
    </row>
    <row r="3572" spans="1:4" x14ac:dyDescent="0.2">
      <c r="A3572" s="5">
        <v>3511</v>
      </c>
      <c r="B3572" s="138">
        <f>'Acct Summary 7-8'!K13</f>
        <v>7065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7065</v>
      </c>
      <c r="C3575" s="2" t="s">
        <v>573</v>
      </c>
      <c r="D3575" s="2" t="str">
        <f t="shared" si="54"/>
        <v>Error?</v>
      </c>
    </row>
    <row r="3576" spans="1:4" x14ac:dyDescent="0.2">
      <c r="A3576" s="5">
        <v>3515</v>
      </c>
      <c r="B3576" s="138">
        <f>'Acct Summary 7-8'!K20</f>
        <v>1712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1712</v>
      </c>
      <c r="C3588" s="2" t="s">
        <v>573</v>
      </c>
      <c r="D3588" s="2" t="str">
        <f t="shared" si="55"/>
        <v>Error?</v>
      </c>
    </row>
    <row r="3589" spans="1:4" x14ac:dyDescent="0.2">
      <c r="A3589" s="5">
        <v>3528</v>
      </c>
      <c r="B3589" s="138">
        <f>'Acct Summary 7-8'!K79</f>
        <v>48023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49735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7065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7065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7065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7065</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7065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7065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7065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1712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8774</v>
      </c>
      <c r="C3725" s="2" t="s">
        <v>573</v>
      </c>
      <c r="D3725" s="2" t="str">
        <f t="shared" si="57"/>
        <v>Error?</v>
      </c>
    </row>
    <row r="3726" spans="1:4" x14ac:dyDescent="0.2">
      <c r="A3726" s="5">
        <v>3665</v>
      </c>
      <c r="B3726" s="138">
        <f>'Tax Sched 23'!D13</f>
        <v>8774</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9061</v>
      </c>
      <c r="C3728" s="2" t="s">
        <v>573</v>
      </c>
      <c r="D3728" s="2" t="str">
        <f t="shared" si="57"/>
        <v>Error?</v>
      </c>
    </row>
    <row r="3729" spans="1:4" x14ac:dyDescent="0.2">
      <c r="A3729" s="5">
        <v>3668</v>
      </c>
      <c r="B3729" s="138">
        <f>'Tax Sched 23'!E13</f>
        <v>9061</v>
      </c>
      <c r="D3729" s="2" t="str">
        <f t="shared" si="57"/>
        <v>Error?</v>
      </c>
    </row>
    <row r="3730" spans="1:4" x14ac:dyDescent="0.2">
      <c r="A3730" s="5">
        <v>3669</v>
      </c>
      <c r="B3730" s="138">
        <f>'ICR Computation 30'!E10</f>
        <v>22132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359521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1045467</v>
      </c>
      <c r="C4122" s="2" t="s">
        <v>573</v>
      </c>
      <c r="D4122" s="2" t="str">
        <f t="shared" si="63"/>
        <v>Error?</v>
      </c>
    </row>
    <row r="4123" spans="1:4" x14ac:dyDescent="0.2">
      <c r="A4123" s="5">
        <v>4062</v>
      </c>
      <c r="B4123" s="138">
        <f>'Acct Summary 7-8'!D10</f>
        <v>53534</v>
      </c>
      <c r="C4123" s="2" t="s">
        <v>573</v>
      </c>
      <c r="D4123" s="2" t="str">
        <f t="shared" si="63"/>
        <v>Error?</v>
      </c>
    </row>
    <row r="4124" spans="1:4" x14ac:dyDescent="0.2">
      <c r="A4124" s="5">
        <v>4063</v>
      </c>
      <c r="B4124" s="138">
        <f>'Acct Summary 7-8'!E10</f>
        <v>104571</v>
      </c>
      <c r="C4124" s="2" t="s">
        <v>573</v>
      </c>
      <c r="D4124" s="2" t="str">
        <f t="shared" si="63"/>
        <v>Error?</v>
      </c>
    </row>
    <row r="4125" spans="1:4" x14ac:dyDescent="0.2">
      <c r="A4125" s="5">
        <v>4064</v>
      </c>
      <c r="B4125" s="138">
        <f>'Acct Summary 7-8'!F10</f>
        <v>61562</v>
      </c>
      <c r="C4125" s="2" t="s">
        <v>573</v>
      </c>
      <c r="D4125" s="2" t="str">
        <f t="shared" si="63"/>
        <v>Error?</v>
      </c>
    </row>
    <row r="4126" spans="1:4" x14ac:dyDescent="0.2">
      <c r="A4126" s="5">
        <v>4065</v>
      </c>
      <c r="B4126" s="138">
        <f>'Acct Summary 7-8'!G10</f>
        <v>33090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8777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8777</v>
      </c>
      <c r="C4130" s="2" t="s">
        <v>573</v>
      </c>
      <c r="D4130" s="2" t="str">
        <f t="shared" si="63"/>
        <v>Error?</v>
      </c>
    </row>
    <row r="4131" spans="1:4" x14ac:dyDescent="0.2">
      <c r="A4131" s="5">
        <v>4070</v>
      </c>
      <c r="B4131" s="138">
        <f>'Acct Summary 7-8'!C18</f>
        <v>359521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1011091</v>
      </c>
      <c r="C4136" s="2" t="s">
        <v>573</v>
      </c>
      <c r="D4136" s="2" t="str">
        <f t="shared" si="63"/>
        <v>Error?</v>
      </c>
    </row>
    <row r="4137" spans="1:4" x14ac:dyDescent="0.2">
      <c r="A4137" s="5">
        <v>4076</v>
      </c>
      <c r="B4137" s="138">
        <f>'Acct Summary 7-8'!D19</f>
        <v>37199</v>
      </c>
      <c r="C4137" s="2" t="s">
        <v>573</v>
      </c>
      <c r="D4137" s="2" t="str">
        <f t="shared" si="63"/>
        <v>Error?</v>
      </c>
    </row>
    <row r="4138" spans="1:4" x14ac:dyDescent="0.2">
      <c r="A4138" s="5">
        <v>4077</v>
      </c>
      <c r="B4138" s="138">
        <f>'Acct Summary 7-8'!E19</f>
        <v>105076</v>
      </c>
      <c r="C4138" s="2" t="s">
        <v>573</v>
      </c>
      <c r="D4138" s="2" t="str">
        <f t="shared" si="63"/>
        <v>Error?</v>
      </c>
    </row>
    <row r="4139" spans="1:4" x14ac:dyDescent="0.2">
      <c r="A4139" s="5">
        <v>4078</v>
      </c>
      <c r="B4139" s="138">
        <f>'Acct Summary 7-8'!F19</f>
        <v>40206</v>
      </c>
      <c r="C4139" s="2" t="s">
        <v>573</v>
      </c>
      <c r="D4139" s="2" t="str">
        <f t="shared" si="63"/>
        <v>Error?</v>
      </c>
    </row>
    <row r="4140" spans="1:4" x14ac:dyDescent="0.2">
      <c r="A4140" s="5">
        <v>4079</v>
      </c>
      <c r="B4140" s="138">
        <f>'Acct Summary 7-8'!G19</f>
        <v>26425</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7065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915000</v>
      </c>
      <c r="C4171" s="2" t="s">
        <v>573</v>
      </c>
      <c r="D4171" s="2" t="str">
        <f t="shared" si="64"/>
        <v>Error?</v>
      </c>
    </row>
    <row r="4172" spans="1:4" x14ac:dyDescent="0.2">
      <c r="A4172" s="5">
        <v>4111</v>
      </c>
      <c r="B4172" s="138">
        <f>'Short-Term Long-Term Debt 24'!J49</f>
        <v>914769</v>
      </c>
      <c r="C4172" s="2" t="s">
        <v>573</v>
      </c>
      <c r="D4172" s="2" t="str">
        <f t="shared" si="64"/>
        <v>Error?</v>
      </c>
    </row>
    <row r="4173" spans="1:4" x14ac:dyDescent="0.2">
      <c r="A4173" s="5">
        <v>4112</v>
      </c>
      <c r="B4173" s="138">
        <f>'Short-Term Long-Term Debt 24'!H49</f>
        <v>55000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1700.0000000000002</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2070</v>
      </c>
      <c r="C4268" s="2" t="s">
        <v>573</v>
      </c>
      <c r="D4268" s="2" t="str">
        <f t="shared" si="65"/>
        <v>Error?</v>
      </c>
    </row>
    <row r="4269" spans="1:5" x14ac:dyDescent="0.2">
      <c r="A4269" s="12">
        <v>4208</v>
      </c>
      <c r="B4269" s="138">
        <f>'FP Info 3'!J16</f>
        <v>410973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167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382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2000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27912</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18122899</v>
      </c>
      <c r="D4995" s="2" t="str">
        <f t="shared" si="77"/>
        <v>Error?</v>
      </c>
    </row>
    <row r="4996" spans="1:4" x14ac:dyDescent="0.2">
      <c r="A4996" s="12">
        <v>4935</v>
      </c>
      <c r="B4996" s="138">
        <f>'FP Info 3'!H31</f>
        <v>1250480.0310000002</v>
      </c>
      <c r="D4996" s="2" t="str">
        <f t="shared" si="77"/>
        <v>Error?</v>
      </c>
    </row>
    <row r="4997" spans="1:4" x14ac:dyDescent="0.2">
      <c r="A4997" s="12">
        <v>4936</v>
      </c>
      <c r="B4997" s="138">
        <f>'FP Info 3'!H37</f>
        <v>915000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8774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298315</v>
      </c>
      <c r="D5061" s="2" t="str">
        <f t="shared" si="78"/>
        <v>Error?</v>
      </c>
    </row>
    <row r="5062" spans="1:4" x14ac:dyDescent="0.2">
      <c r="A5062" s="10">
        <v>5001</v>
      </c>
      <c r="D5062" s="2" t="str">
        <f t="shared" si="78"/>
        <v>OK</v>
      </c>
    </row>
    <row r="5063" spans="1:4" x14ac:dyDescent="0.2">
      <c r="A5063" s="5">
        <v>5002</v>
      </c>
      <c r="B5063" s="138">
        <f>'Revenues 9-14'!C7</f>
        <v>3510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310599</v>
      </c>
      <c r="C5066" s="2" t="s">
        <v>573</v>
      </c>
      <c r="D5066" s="2" t="str">
        <f t="shared" si="78"/>
        <v>Error?</v>
      </c>
    </row>
    <row r="5067" spans="1:4" x14ac:dyDescent="0.2">
      <c r="A5067" s="5">
        <v>5006</v>
      </c>
      <c r="B5067" s="138">
        <f>'Revenues 9-14'!C14</f>
        <v>100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5000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5100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2643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2643</v>
      </c>
      <c r="C5090" s="2" t="s">
        <v>573</v>
      </c>
      <c r="D5090" s="2" t="str">
        <f t="shared" si="78"/>
        <v>Error?</v>
      </c>
    </row>
    <row r="5091" spans="1:4" x14ac:dyDescent="0.2">
      <c r="A5091" s="5">
        <v>5030</v>
      </c>
      <c r="B5091" s="138">
        <f>'Revenues 9-14'!C70</f>
        <v>692</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972</v>
      </c>
      <c r="D5095" s="2" t="str">
        <f t="shared" si="78"/>
        <v>Error?</v>
      </c>
    </row>
    <row r="5096" spans="1:4" x14ac:dyDescent="0.2">
      <c r="A5096" s="5">
        <v>5035</v>
      </c>
      <c r="B5096" s="138">
        <f>'Revenues 9-14'!C75</f>
        <v>23761</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3280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3280</v>
      </c>
      <c r="C5102" s="2" t="s">
        <v>573</v>
      </c>
      <c r="D5102" s="2" t="str">
        <f t="shared" si="78"/>
        <v>Error?</v>
      </c>
    </row>
    <row r="5103" spans="1:4" x14ac:dyDescent="0.2">
      <c r="A5103" s="5">
        <v>5042</v>
      </c>
      <c r="B5103" s="138">
        <f>'Revenues 9-14'!C84</f>
        <v>9562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9562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3442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10527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10555</v>
      </c>
      <c r="D5119" s="2" t="str">
        <f t="shared" ref="D5119:D5182" si="79">IF(ISBLANK(B5119),"OK",IF(A5119-B5119=0,"OK","Error?"))</f>
        <v>Error?</v>
      </c>
    </row>
    <row r="5120" spans="1:4" x14ac:dyDescent="0.2">
      <c r="A5120" s="5">
        <v>5059</v>
      </c>
      <c r="B5120" s="138">
        <f>'Revenues 9-14'!C108</f>
        <v>24524</v>
      </c>
      <c r="C5120" s="2" t="s">
        <v>573</v>
      </c>
      <c r="D5120" s="2" t="str">
        <f t="shared" si="79"/>
        <v>Error?</v>
      </c>
    </row>
    <row r="5121" spans="1:4" x14ac:dyDescent="0.2">
      <c r="A5121" s="5">
        <v>5060</v>
      </c>
      <c r="B5121" s="138">
        <f>'Revenues 9-14'!C109</f>
        <v>379469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255506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255506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256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256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256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255762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27912</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17626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17626</v>
      </c>
      <c r="C5246" s="2" t="s">
        <v>573</v>
      </c>
      <c r="D5246" s="2" t="str">
        <f t="shared" si="80"/>
        <v>Error?</v>
      </c>
    </row>
    <row r="5247" spans="1:4" x14ac:dyDescent="0.2">
      <c r="A5247" s="5">
        <v>5186</v>
      </c>
      <c r="B5247" s="138">
        <f>'Revenues 9-14'!C200</f>
        <v>4628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4628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22803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50715</v>
      </c>
      <c r="C5326" s="2" t="s">
        <v>573</v>
      </c>
      <c r="D5326" s="2" t="str">
        <f t="shared" si="82"/>
        <v>Error?</v>
      </c>
    </row>
    <row r="5327" spans="1:5" x14ac:dyDescent="0.2">
      <c r="A5327" s="5">
        <v>5266</v>
      </c>
      <c r="B5327" s="138">
        <f>'Revenues 9-14'!C268</f>
        <v>685946</v>
      </c>
      <c r="C5327" s="2" t="s">
        <v>573</v>
      </c>
      <c r="D5327" s="2" t="str">
        <f t="shared" si="82"/>
        <v>Error?</v>
      </c>
    </row>
    <row r="5328" spans="1:5" x14ac:dyDescent="0.2">
      <c r="A5328" s="5">
        <v>5267</v>
      </c>
      <c r="B5328" s="138">
        <f>'Revenues 9-14'!D5</f>
        <v>43870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43870</v>
      </c>
      <c r="C5334" s="2" t="s">
        <v>573</v>
      </c>
      <c r="D5334" s="2" t="str">
        <f t="shared" si="82"/>
        <v>Error?</v>
      </c>
    </row>
    <row r="5335" spans="1:4" x14ac:dyDescent="0.2">
      <c r="A5335" s="5">
        <v>5274</v>
      </c>
      <c r="B5335" s="138">
        <f>'Revenues 9-14'!D14</f>
        <v>14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3950</v>
      </c>
      <c r="D5349" s="2" t="str">
        <f t="shared" si="82"/>
        <v>Error?</v>
      </c>
    </row>
    <row r="5350" spans="1:4" x14ac:dyDescent="0.2">
      <c r="A5350" s="5">
        <v>5289</v>
      </c>
      <c r="B5350" s="138">
        <f>'Revenues 9-14'!D96</f>
        <v>3700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7650</v>
      </c>
      <c r="C5355" s="2" t="s">
        <v>573</v>
      </c>
      <c r="D5355" s="2" t="str">
        <f t="shared" si="82"/>
        <v>Error?</v>
      </c>
    </row>
    <row r="5356" spans="1:4" x14ac:dyDescent="0.2">
      <c r="A5356" s="5">
        <v>5295</v>
      </c>
      <c r="B5356" s="138">
        <f>'Revenues 9-14'!D109</f>
        <v>51534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2000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2000</v>
      </c>
      <c r="C5507" s="2" t="s">
        <v>573</v>
      </c>
      <c r="D5507" s="2" t="str">
        <f t="shared" si="85"/>
        <v>Error?</v>
      </c>
    </row>
    <row r="5508" spans="1:4" x14ac:dyDescent="0.2">
      <c r="A5508" s="5">
        <v>5447</v>
      </c>
      <c r="B5508" s="138">
        <f>'Revenues 9-14'!D268</f>
        <v>53534</v>
      </c>
      <c r="C5508" s="2" t="s">
        <v>573</v>
      </c>
      <c r="D5508" s="2" t="str">
        <f t="shared" si="85"/>
        <v>Error?</v>
      </c>
    </row>
    <row r="5509" spans="1:4" x14ac:dyDescent="0.2">
      <c r="A5509" s="5">
        <v>5448</v>
      </c>
      <c r="B5509" s="138">
        <f>'Revenues 9-14'!E5</f>
        <v>104535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104535</v>
      </c>
      <c r="C5513" s="2" t="s">
        <v>573</v>
      </c>
      <c r="D5513" s="2" t="str">
        <f t="shared" si="85"/>
        <v>Error?</v>
      </c>
    </row>
    <row r="5514" spans="1:4" x14ac:dyDescent="0.2">
      <c r="A5514" s="5">
        <v>5453</v>
      </c>
      <c r="B5514" s="138">
        <f>'Revenues 9-14'!E14</f>
        <v>36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36</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104571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104571</v>
      </c>
      <c r="C5552" s="2" t="s">
        <v>573</v>
      </c>
      <c r="D5552" s="2" t="str">
        <f t="shared" si="85"/>
        <v>Error?</v>
      </c>
    </row>
    <row r="5553" spans="1:4" x14ac:dyDescent="0.2">
      <c r="A5553" s="5">
        <v>5492</v>
      </c>
      <c r="B5553" s="138">
        <f>'Revenues 9-14'!F5</f>
        <v>21057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21057</v>
      </c>
      <c r="C5557" s="2" t="s">
        <v>573</v>
      </c>
      <c r="D5557" s="2" t="str">
        <f t="shared" si="85"/>
        <v>Error?</v>
      </c>
    </row>
    <row r="5558" spans="1:4" x14ac:dyDescent="0.2">
      <c r="A5558" s="5">
        <v>5497</v>
      </c>
      <c r="B5558" s="138">
        <f>'Revenues 9-14'!F14</f>
        <v>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32955</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32955</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1725</v>
      </c>
      <c r="D5586" s="2" t="str">
        <f t="shared" si="86"/>
        <v>Error?</v>
      </c>
    </row>
    <row r="5587" spans="1:4" x14ac:dyDescent="0.2">
      <c r="A5587" s="5">
        <v>5526</v>
      </c>
      <c r="B5587" s="138">
        <f>'Revenues 9-14'!F108</f>
        <v>1725</v>
      </c>
      <c r="C5587" s="2" t="s">
        <v>573</v>
      </c>
      <c r="D5587" s="2" t="str">
        <f t="shared" si="86"/>
        <v>Error?</v>
      </c>
    </row>
    <row r="5588" spans="1:4" x14ac:dyDescent="0.2">
      <c r="A5588" s="5">
        <v>5527</v>
      </c>
      <c r="B5588" s="138">
        <f>'Revenues 9-14'!F109</f>
        <v>55744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525</v>
      </c>
      <c r="D5615" s="2" t="str">
        <f t="shared" si="86"/>
        <v>Error?</v>
      </c>
    </row>
    <row r="5616" spans="1:4" x14ac:dyDescent="0.2">
      <c r="A5616" s="10">
        <v>5555</v>
      </c>
      <c r="D5616" s="2" t="str">
        <f t="shared" si="86"/>
        <v>OK</v>
      </c>
    </row>
    <row r="5617" spans="1:5" x14ac:dyDescent="0.2">
      <c r="A5617" s="5">
        <v>5556</v>
      </c>
      <c r="B5617" s="138">
        <f>'Revenues 9-14'!F153</f>
        <v>5293</v>
      </c>
      <c r="D5617" s="2" t="str">
        <f t="shared" si="86"/>
        <v>Error?</v>
      </c>
    </row>
    <row r="5618" spans="1:5" x14ac:dyDescent="0.2">
      <c r="A5618" s="5">
        <v>5557</v>
      </c>
      <c r="B5618" s="138">
        <f>'Revenues 9-14'!F155</f>
        <v>5818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5818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5818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61562</v>
      </c>
      <c r="C5720" s="2" t="s">
        <v>573</v>
      </c>
      <c r="D5720" s="2" t="str">
        <f t="shared" si="88"/>
        <v>Error?</v>
      </c>
    </row>
    <row r="5721" spans="1:4" x14ac:dyDescent="0.2">
      <c r="A5721" s="5">
        <v>5660</v>
      </c>
      <c r="B5721" s="138">
        <f>'Revenues 9-14'!G5</f>
        <v>15463</v>
      </c>
      <c r="D5721" s="2" t="str">
        <f t="shared" si="88"/>
        <v>Error?</v>
      </c>
    </row>
    <row r="5722" spans="1:4" x14ac:dyDescent="0.2">
      <c r="A5722" s="5">
        <v>5661</v>
      </c>
      <c r="B5722" s="138">
        <f>'Revenues 9-14'!G7</f>
        <v>0</v>
      </c>
      <c r="D5722" s="2" t="str">
        <f t="shared" si="88"/>
        <v>Error?</v>
      </c>
    </row>
    <row r="5723" spans="1:4" x14ac:dyDescent="0.2">
      <c r="A5723" s="5">
        <v>5662</v>
      </c>
      <c r="B5723" s="138">
        <f>'Revenues 9-14'!G8</f>
        <v>15523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30986</v>
      </c>
      <c r="C5725" s="2" t="s">
        <v>573</v>
      </c>
      <c r="D5725" s="2" t="str">
        <f t="shared" si="88"/>
        <v>Error?</v>
      </c>
    </row>
    <row r="5726" spans="1:4" x14ac:dyDescent="0.2">
      <c r="A5726" s="5">
        <v>5665</v>
      </c>
      <c r="B5726" s="138">
        <f>'Revenues 9-14'!G14</f>
        <v>6</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2098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2104</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33090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8774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8774</v>
      </c>
      <c r="C5918" s="2" t="s">
        <v>573</v>
      </c>
      <c r="D5918" s="2" t="str">
        <f t="shared" si="91"/>
        <v>Error?</v>
      </c>
    </row>
    <row r="5919" spans="1:4" x14ac:dyDescent="0.2">
      <c r="A5919" s="5">
        <v>5858</v>
      </c>
      <c r="B5919" s="138">
        <f>'Revenues 9-14'!I14</f>
        <v>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8777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8774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8774</v>
      </c>
      <c r="C5987" s="2" t="s">
        <v>573</v>
      </c>
      <c r="D5987" s="2" t="str">
        <f t="shared" si="92"/>
        <v>Error?</v>
      </c>
    </row>
    <row r="5988" spans="1:4" x14ac:dyDescent="0.2">
      <c r="A5988" s="5">
        <v>5927</v>
      </c>
      <c r="B5988" s="138">
        <f>'Revenues 9-14'!K14</f>
        <v>3</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8777</v>
      </c>
      <c r="C6023" s="2" t="s">
        <v>573</v>
      </c>
      <c r="D6023" s="2" t="str">
        <f t="shared" si="93"/>
        <v>Error?</v>
      </c>
    </row>
    <row r="6024" spans="1:5" x14ac:dyDescent="0.2">
      <c r="A6024" s="5">
        <v>5963</v>
      </c>
      <c r="B6024" s="138">
        <f>'Revenues 9-14'!G109</f>
        <v>33090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8777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8777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22097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83.483000000000004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39133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39133</v>
      </c>
      <c r="D6215" s="2" t="str">
        <f t="shared" si="96"/>
        <v>Error?</v>
      </c>
      <c r="E6215" s="2" t="s">
        <v>190</v>
      </c>
    </row>
    <row r="6216" spans="1:5" x14ac:dyDescent="0.2">
      <c r="A6216">
        <v>6155</v>
      </c>
      <c r="B6216" s="138">
        <f>'Assets-Liab 5-6'!J41</f>
        <v>39133</v>
      </c>
      <c r="D6216" s="2" t="str">
        <f t="shared" si="96"/>
        <v>Error?</v>
      </c>
      <c r="E6216" s="2" t="s">
        <v>190</v>
      </c>
    </row>
    <row r="6217" spans="1:5" x14ac:dyDescent="0.2">
      <c r="A6217">
        <v>6156</v>
      </c>
      <c r="B6217" s="138">
        <f>'Assets-Liab 5-6'!J4</f>
        <v>39133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94234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94234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94234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91380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91380</v>
      </c>
      <c r="D6229" s="2" t="str">
        <f t="shared" si="96"/>
        <v>Error?</v>
      </c>
      <c r="E6229" s="2" t="s">
        <v>190</v>
      </c>
    </row>
    <row r="6230" spans="1:5" x14ac:dyDescent="0.2">
      <c r="A6230">
        <v>6169</v>
      </c>
      <c r="B6230" s="138">
        <f>'Acct Summary 7-8'!J20</f>
        <v>2854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2854</v>
      </c>
      <c r="D6263" s="2" t="str">
        <f t="shared" si="96"/>
        <v>Error?</v>
      </c>
      <c r="E6263" s="2" t="s">
        <v>190</v>
      </c>
    </row>
    <row r="6264" spans="1:5" x14ac:dyDescent="0.2">
      <c r="A6264">
        <v>6203</v>
      </c>
      <c r="B6264" s="138">
        <f>'Acct Summary 7-8'!J79</f>
        <v>36279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39133</v>
      </c>
      <c r="D6266" s="2" t="str">
        <f t="shared" si="96"/>
        <v>Error?</v>
      </c>
      <c r="E6266" s="2" t="s">
        <v>190</v>
      </c>
    </row>
    <row r="6267" spans="1:5" x14ac:dyDescent="0.2">
      <c r="A6267">
        <v>6206</v>
      </c>
      <c r="B6267" s="138">
        <f>'Acct Summary 7-8'!C82</f>
        <v>34376</v>
      </c>
      <c r="D6267" s="2" t="str">
        <f t="shared" si="96"/>
        <v>Error?</v>
      </c>
      <c r="E6267" s="2" t="s">
        <v>190</v>
      </c>
    </row>
    <row r="6268" spans="1:5" x14ac:dyDescent="0.2">
      <c r="A6268">
        <v>6207</v>
      </c>
      <c r="B6268" s="138">
        <f>'Acct Summary 7-8'!D82</f>
        <v>16335</v>
      </c>
      <c r="D6268" s="2" t="str">
        <f t="shared" si="96"/>
        <v>Error?</v>
      </c>
      <c r="E6268" s="2" t="s">
        <v>190</v>
      </c>
    </row>
    <row r="6269" spans="1:5" x14ac:dyDescent="0.2">
      <c r="A6269">
        <v>6208</v>
      </c>
      <c r="B6269" s="138">
        <f>'Acct Summary 7-8'!E82</f>
        <v>-505</v>
      </c>
      <c r="D6269" s="2" t="str">
        <f t="shared" si="96"/>
        <v>Error?</v>
      </c>
      <c r="E6269" s="2" t="s">
        <v>190</v>
      </c>
    </row>
    <row r="6270" spans="1:5" x14ac:dyDescent="0.2">
      <c r="A6270">
        <v>6209</v>
      </c>
      <c r="B6270" s="138">
        <f>'Acct Summary 7-8'!F82</f>
        <v>21356</v>
      </c>
      <c r="D6270" s="2" t="str">
        <f t="shared" si="96"/>
        <v>Error?</v>
      </c>
      <c r="E6270" s="2" t="s">
        <v>190</v>
      </c>
    </row>
    <row r="6271" spans="1:5" x14ac:dyDescent="0.2">
      <c r="A6271">
        <v>6210</v>
      </c>
      <c r="B6271" s="138">
        <f>'Acct Summary 7-8'!G82</f>
        <v>6665</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8777</v>
      </c>
      <c r="D6273" s="2" t="str">
        <f t="shared" si="97"/>
        <v>Error?</v>
      </c>
      <c r="E6273" s="2" t="s">
        <v>190</v>
      </c>
    </row>
    <row r="6274" spans="1:5" x14ac:dyDescent="0.2">
      <c r="A6274">
        <v>6213</v>
      </c>
      <c r="B6274" s="138">
        <f>'Acct Summary 7-8'!J82</f>
        <v>2854</v>
      </c>
      <c r="D6274" s="2" t="str">
        <f t="shared" si="97"/>
        <v>Error?</v>
      </c>
      <c r="E6274" s="2" t="s">
        <v>190</v>
      </c>
    </row>
    <row r="6275" spans="1:5" x14ac:dyDescent="0.2">
      <c r="A6275">
        <v>6214</v>
      </c>
      <c r="B6275" s="138">
        <f>'Acct Summary 7-8'!K82</f>
        <v>1712</v>
      </c>
      <c r="D6275" s="2" t="str">
        <f t="shared" si="97"/>
        <v>Error?</v>
      </c>
      <c r="E6275" s="2" t="s">
        <v>190</v>
      </c>
    </row>
    <row r="6276" spans="1:5" x14ac:dyDescent="0.2">
      <c r="A6276">
        <v>6215</v>
      </c>
      <c r="B6276" s="138">
        <f>'Acct Summary 7-8'!C83</f>
        <v>0.26949309333793253</v>
      </c>
      <c r="D6276" s="2" t="str">
        <f t="shared" si="97"/>
        <v>Error?</v>
      </c>
      <c r="E6276" s="2" t="s">
        <v>190</v>
      </c>
    </row>
    <row r="6277" spans="1:5" x14ac:dyDescent="0.2">
      <c r="A6277">
        <v>6216</v>
      </c>
      <c r="B6277" s="138">
        <f>'Acct Summary 7-8'!D83</f>
        <v>0.1337618735669833</v>
      </c>
      <c r="D6277" s="2" t="str">
        <f t="shared" si="97"/>
        <v>Error?</v>
      </c>
      <c r="E6277" s="2" t="s">
        <v>190</v>
      </c>
    </row>
    <row r="6278" spans="1:5" x14ac:dyDescent="0.2">
      <c r="A6278">
        <v>6217</v>
      </c>
      <c r="B6278" s="138">
        <f>'Acct Summary 7-8'!E83</f>
        <v>-2.1861471861471862</v>
      </c>
      <c r="D6278" s="2" t="str">
        <f t="shared" si="97"/>
        <v>Error?</v>
      </c>
      <c r="E6278" s="2" t="s">
        <v>190</v>
      </c>
    </row>
    <row r="6279" spans="1:5" x14ac:dyDescent="0.2">
      <c r="A6279">
        <v>6218</v>
      </c>
      <c r="B6279" s="138">
        <f>'Acct Summary 7-8'!F83</f>
        <v>0.20072937814873298</v>
      </c>
      <c r="D6279" s="2" t="str">
        <f t="shared" si="97"/>
        <v>Error?</v>
      </c>
      <c r="E6279" s="2" t="s">
        <v>190</v>
      </c>
    </row>
    <row r="6280" spans="1:5" x14ac:dyDescent="0.2">
      <c r="A6280">
        <v>6219</v>
      </c>
      <c r="B6280" s="138">
        <f>'Acct Summary 7-8'!G83</f>
        <v>0.20847669690334689</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0.15986375972169098</v>
      </c>
      <c r="D6282" s="2" t="str">
        <f t="shared" si="97"/>
        <v>Error?</v>
      </c>
      <c r="E6282" s="2" t="s">
        <v>190</v>
      </c>
    </row>
    <row r="6283" spans="1:5" x14ac:dyDescent="0.2">
      <c r="A6283">
        <v>6222</v>
      </c>
      <c r="B6283" s="138">
        <f>'Acct Summary 7-8'!J83</f>
        <v>7.2930774538113613E-2</v>
      </c>
      <c r="D6283" s="2" t="str">
        <f t="shared" si="97"/>
        <v>Error?</v>
      </c>
      <c r="E6283" s="2" t="s">
        <v>190</v>
      </c>
    </row>
    <row r="6284" spans="1:5" x14ac:dyDescent="0.2">
      <c r="A6284">
        <v>6223</v>
      </c>
      <c r="B6284" s="138">
        <f>'Acct Summary 7-8'!K83</f>
        <v>3.4422438926309439E-2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94211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94211</v>
      </c>
      <c r="D6301" s="2" t="str">
        <f t="shared" si="97"/>
        <v>Error?</v>
      </c>
      <c r="E6301" s="2" t="s">
        <v>190</v>
      </c>
    </row>
    <row r="6302" spans="1:5" x14ac:dyDescent="0.2">
      <c r="A6302">
        <v>6241</v>
      </c>
      <c r="B6302" s="138">
        <f>'Revenues 9-14'!J14</f>
        <v>23</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23</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94234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91380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94234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220</v>
      </c>
      <c r="D7093" s="2" t="str">
        <f t="shared" si="109"/>
        <v>Error?</v>
      </c>
    </row>
    <row r="7094" spans="1:4" x14ac:dyDescent="0.2">
      <c r="A7094">
        <v>7033</v>
      </c>
      <c r="B7094" s="138">
        <f>'Expenditures 15-22'!K254</f>
        <v>220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5189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5189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7832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7832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73467</v>
      </c>
      <c r="D7172" s="2" t="str">
        <f t="shared" si="111"/>
        <v>Error?</v>
      </c>
    </row>
    <row r="7173" spans="1:4" x14ac:dyDescent="0.2">
      <c r="A7173">
        <v>7112</v>
      </c>
      <c r="B7173" s="138">
        <f>'Expenditures 15-22'!D325</f>
        <v>2497</v>
      </c>
      <c r="D7173" s="2" t="str">
        <f t="shared" si="111"/>
        <v>Error?</v>
      </c>
    </row>
    <row r="7174" spans="1:4" x14ac:dyDescent="0.2">
      <c r="A7174">
        <v>7113</v>
      </c>
      <c r="B7174" s="138">
        <f>'Expenditures 15-22'!E325</f>
        <v>2395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78359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73467</v>
      </c>
      <c r="D7199" s="2" t="str">
        <f t="shared" si="111"/>
        <v>Error?</v>
      </c>
    </row>
    <row r="7200" spans="1:4" x14ac:dyDescent="0.2">
      <c r="A7200">
        <v>7139</v>
      </c>
      <c r="B7200" s="138">
        <f>'Expenditures 15-22'!D330</f>
        <v>2497</v>
      </c>
      <c r="D7200" s="2" t="str">
        <f t="shared" si="111"/>
        <v>Error?</v>
      </c>
    </row>
    <row r="7201" spans="1:4" x14ac:dyDescent="0.2">
      <c r="A7201">
        <v>7140</v>
      </c>
      <c r="B7201" s="138">
        <f>'Expenditures 15-22'!E330</f>
        <v>15416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91380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73467</v>
      </c>
      <c r="D7216" s="2" t="str">
        <f t="shared" si="111"/>
        <v>Error?</v>
      </c>
    </row>
    <row r="7217" spans="1:4" x14ac:dyDescent="0.2">
      <c r="A7217">
        <v>7156</v>
      </c>
      <c r="B7217" s="138">
        <f>'Expenditures 15-22'!D342</f>
        <v>2497</v>
      </c>
      <c r="D7217" s="2" t="str">
        <f t="shared" si="111"/>
        <v>Error?</v>
      </c>
    </row>
    <row r="7218" spans="1:4" x14ac:dyDescent="0.2">
      <c r="A7218">
        <v>7157</v>
      </c>
      <c r="B7218" s="138">
        <f>'Expenditures 15-22'!E342</f>
        <v>15416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91380</v>
      </c>
      <c r="D7224" s="2" t="str">
        <f t="shared" si="111"/>
        <v>Error?</v>
      </c>
    </row>
    <row r="7225" spans="1:4" x14ac:dyDescent="0.2">
      <c r="A7225">
        <v>7164</v>
      </c>
      <c r="B7225" s="138">
        <f>'Expenditures 15-22'!K343</f>
        <v>2854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32676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3510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8664</v>
      </c>
      <c r="D7797" s="2" t="str">
        <f t="shared" si="127"/>
        <v>Error?</v>
      </c>
      <c r="E7797" s="4" t="s">
        <v>1904</v>
      </c>
    </row>
    <row r="7798" spans="1:5" x14ac:dyDescent="0.2">
      <c r="A7798">
        <v>7737</v>
      </c>
      <c r="B7798" s="138">
        <f>'Contracts Paid in CY 29'!F141</f>
        <v>8664</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5" t="s">
        <v>1191</v>
      </c>
      <c r="B2" s="2385"/>
      <c r="C2" s="2385"/>
      <c r="D2" s="2385"/>
      <c r="E2" s="2385"/>
      <c r="F2" s="2385"/>
      <c r="G2" s="2385"/>
      <c r="H2" s="2385"/>
      <c r="I2" s="2385"/>
      <c r="J2" s="2385"/>
      <c r="K2" s="2385"/>
      <c r="L2" s="2385"/>
    </row>
    <row r="3" spans="1:29" ht="13.5" customHeight="1" x14ac:dyDescent="0.2">
      <c r="A3" s="2416" t="s">
        <v>1190</v>
      </c>
      <c r="B3" s="2416"/>
      <c r="C3" s="2416"/>
      <c r="D3" s="2416"/>
      <c r="E3" s="2416"/>
      <c r="F3" s="2416"/>
      <c r="G3" s="2416"/>
      <c r="H3" s="2416"/>
      <c r="I3" s="2416"/>
      <c r="J3" s="2416"/>
      <c r="K3" s="2416"/>
      <c r="L3" s="2416"/>
    </row>
    <row r="4" spans="1:29" ht="13.5" customHeight="1" x14ac:dyDescent="0.2">
      <c r="A4" s="2385" t="s">
        <v>1989</v>
      </c>
      <c r="B4" s="2406"/>
      <c r="C4" s="2406"/>
      <c r="D4" s="2406"/>
      <c r="E4" s="2406"/>
      <c r="F4" s="2406"/>
      <c r="G4" s="2406"/>
      <c r="H4" s="2406"/>
      <c r="I4" s="2406"/>
      <c r="J4" s="2406"/>
      <c r="K4" s="2406"/>
      <c r="L4" s="240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7" t="str">
        <f>COVER!A17</f>
        <v>Damiansville SD 62</v>
      </c>
      <c r="B7" s="2408"/>
      <c r="C7" s="2408"/>
      <c r="D7" s="2409"/>
      <c r="E7" s="2410">
        <f>COVER!A13</f>
        <v>13014062002</v>
      </c>
      <c r="F7" s="2411"/>
      <c r="G7" s="2417" t="str">
        <f>COVER!T23</f>
        <v>060-009547</v>
      </c>
      <c r="H7" s="2418"/>
      <c r="I7" s="2418"/>
      <c r="J7" s="2418"/>
      <c r="K7" s="2418"/>
      <c r="L7" s="241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0"/>
      <c r="B9" s="2421"/>
      <c r="C9" s="2421"/>
      <c r="D9" s="2421"/>
      <c r="E9" s="2421"/>
      <c r="F9" s="2422"/>
      <c r="G9" s="2391" t="str">
        <f>COVER!T13</f>
        <v>Greg M. McCalley &amp; Associates, P.C.</v>
      </c>
      <c r="H9" s="2423"/>
      <c r="I9" s="2423"/>
      <c r="J9" s="2423"/>
      <c r="K9" s="2423"/>
      <c r="L9" s="2424"/>
    </row>
    <row r="10" spans="1:29" ht="13.5" customHeight="1" x14ac:dyDescent="0.2">
      <c r="A10" s="2397">
        <f>COVER!A38</f>
        <v>0</v>
      </c>
      <c r="B10" s="2398"/>
      <c r="C10" s="2398"/>
      <c r="D10" s="2398"/>
      <c r="E10" s="2398"/>
      <c r="F10" s="2399"/>
      <c r="G10" s="2391" t="str">
        <f>COVER!T17</f>
        <v>855 E. Ferguson Ave.</v>
      </c>
      <c r="H10" s="2392"/>
      <c r="I10" s="2392"/>
      <c r="J10" s="2392"/>
      <c r="K10" s="2392"/>
      <c r="L10" s="2393"/>
    </row>
    <row r="11" spans="1:29" ht="13.5" customHeight="1" x14ac:dyDescent="0.2">
      <c r="A11" s="1184" t="s">
        <v>1519</v>
      </c>
      <c r="B11" s="1185"/>
      <c r="C11" s="1186"/>
      <c r="D11" s="1191"/>
      <c r="E11" s="1186"/>
      <c r="F11" s="1190"/>
      <c r="G11" s="2391" t="str">
        <f>COVER!T19</f>
        <v>Wood River</v>
      </c>
      <c r="H11" s="2392"/>
      <c r="I11" s="2392"/>
      <c r="J11" s="2392"/>
      <c r="K11" s="2392"/>
      <c r="L11" s="2393"/>
    </row>
    <row r="12" spans="1:29" ht="13.5" customHeight="1" x14ac:dyDescent="0.2">
      <c r="A12" s="2400" t="s">
        <v>1518</v>
      </c>
      <c r="B12" s="2401"/>
      <c r="C12" s="2401"/>
      <c r="D12" s="2401"/>
      <c r="E12" s="2401"/>
      <c r="F12" s="2402"/>
      <c r="G12" s="2394"/>
      <c r="H12" s="2395"/>
      <c r="I12" s="2395"/>
      <c r="J12" s="2395"/>
      <c r="K12" s="2395"/>
      <c r="L12" s="2396"/>
    </row>
    <row r="13" spans="1:29" ht="13.5" customHeight="1" x14ac:dyDescent="0.2">
      <c r="A13" s="2391"/>
      <c r="B13" s="2392"/>
      <c r="C13" s="2392"/>
      <c r="D13" s="2392"/>
      <c r="E13" s="2392"/>
      <c r="F13" s="2393"/>
      <c r="G13" s="2386" t="s">
        <v>1520</v>
      </c>
      <c r="H13" s="2387"/>
      <c r="I13" s="2403" t="str">
        <f>COVER!T25</f>
        <v>Greg @dmacpa.com</v>
      </c>
      <c r="J13" s="2404"/>
      <c r="K13" s="2404"/>
      <c r="L13" s="2405"/>
    </row>
    <row r="14" spans="1:29" ht="13.5" customHeight="1" x14ac:dyDescent="0.2">
      <c r="A14" s="2391" t="str">
        <f>COVER!A19</f>
        <v>101East Main</v>
      </c>
      <c r="B14" s="2392"/>
      <c r="C14" s="2392"/>
      <c r="D14" s="2392"/>
      <c r="E14" s="2392"/>
      <c r="F14" s="2393"/>
      <c r="G14" s="1195" t="s">
        <v>1185</v>
      </c>
      <c r="H14" s="1193"/>
      <c r="I14" s="1193"/>
      <c r="J14" s="1193"/>
      <c r="K14" s="1193"/>
      <c r="L14" s="1194"/>
    </row>
    <row r="15" spans="1:29" ht="13.5" customHeight="1" x14ac:dyDescent="0.2">
      <c r="A15" s="2391" t="str">
        <f>COVER!A21</f>
        <v xml:space="preserve">Damiansville  </v>
      </c>
      <c r="B15" s="2392"/>
      <c r="C15" s="2392"/>
      <c r="D15" s="2392"/>
      <c r="E15" s="2392"/>
      <c r="F15" s="2393"/>
      <c r="G15" s="2388" t="str">
        <f>COVER!T15</f>
        <v xml:space="preserve">Greg M. McCalley  </v>
      </c>
      <c r="H15" s="2389"/>
      <c r="I15" s="2389"/>
      <c r="J15" s="2389"/>
      <c r="K15" s="2389"/>
      <c r="L15" s="2390"/>
    </row>
    <row r="16" spans="1:29" ht="12.2" customHeight="1" x14ac:dyDescent="0.2">
      <c r="A16" s="2413">
        <f>COVER!A25</f>
        <v>62215</v>
      </c>
      <c r="B16" s="2414"/>
      <c r="C16" s="2414"/>
      <c r="D16" s="2414"/>
      <c r="E16" s="2414"/>
      <c r="F16" s="2415"/>
      <c r="G16" s="2425"/>
      <c r="H16" s="2426"/>
      <c r="I16" s="2426"/>
      <c r="J16" s="2426"/>
      <c r="K16" s="2426"/>
      <c r="L16" s="2427"/>
    </row>
    <row r="17" spans="1:13" ht="12.2" customHeight="1" x14ac:dyDescent="0.2">
      <c r="A17" s="2428"/>
      <c r="B17" s="2414"/>
      <c r="C17" s="2414"/>
      <c r="D17" s="2414"/>
      <c r="E17" s="2414"/>
      <c r="F17" s="2415"/>
      <c r="G17" s="1195" t="s">
        <v>1184</v>
      </c>
      <c r="H17" s="1193"/>
      <c r="I17" s="1193"/>
      <c r="J17" s="1193"/>
      <c r="K17" s="1197" t="s">
        <v>1183</v>
      </c>
      <c r="L17" s="1190"/>
      <c r="M17" s="1183"/>
    </row>
    <row r="18" spans="1:13" ht="12.2" customHeight="1" x14ac:dyDescent="0.2">
      <c r="A18" s="2397"/>
      <c r="B18" s="2398"/>
      <c r="C18" s="2398"/>
      <c r="D18" s="2398"/>
      <c r="E18" s="2398"/>
      <c r="F18" s="2399"/>
      <c r="G18" s="2407" t="str">
        <f>COVER!T21</f>
        <v>(618)254-8188</v>
      </c>
      <c r="H18" s="2408"/>
      <c r="I18" s="2408"/>
      <c r="J18" s="2408"/>
      <c r="K18" s="2407" t="str">
        <f>COVER!X21</f>
        <v>(618)254-8680</v>
      </c>
      <c r="L18" s="241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9" t="str">
        <f>'Single Audit Cover'!A7</f>
        <v>Damiansville SD 62</v>
      </c>
      <c r="B1" s="2406"/>
      <c r="C1" s="2406"/>
      <c r="D1" s="2406"/>
    </row>
    <row r="2" spans="1:11" s="1212" customFormat="1" ht="12.75" x14ac:dyDescent="0.2">
      <c r="A2" s="2430">
        <f>'Single Audit Cover'!E7</f>
        <v>13014062002</v>
      </c>
      <c r="B2" s="2431"/>
      <c r="C2" s="2431"/>
      <c r="D2" s="2431"/>
    </row>
    <row r="3" spans="1:11" s="1212" customFormat="1" ht="12.75" x14ac:dyDescent="0.2">
      <c r="A3" s="2429" t="s">
        <v>1513</v>
      </c>
      <c r="B3" s="2406"/>
      <c r="C3" s="2406"/>
      <c r="D3" s="2406"/>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3" t="str">
        <f>'Single Audit Cover'!A7</f>
        <v>Damiansville SD 62</v>
      </c>
      <c r="B1" s="2433"/>
      <c r="C1" s="2433"/>
      <c r="D1" s="2433"/>
      <c r="E1" s="2433"/>
    </row>
    <row r="2" spans="1:5" x14ac:dyDescent="0.2">
      <c r="A2" s="2434">
        <f>'Single Audit Cover'!E7</f>
        <v>13014062002</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7" t="s">
        <v>1243</v>
      </c>
    </row>
    <row r="10" spans="1:5" x14ac:dyDescent="0.2">
      <c r="A10" s="1258" t="s">
        <v>1242</v>
      </c>
      <c r="B10" s="1259" t="s">
        <v>1241</v>
      </c>
      <c r="C10" s="1259"/>
      <c r="D10" s="1260">
        <f>SUM('Acct Summary 7-8'!C7:K7)</f>
        <v>52715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52715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5"/>
      <c r="B24" s="2435"/>
      <c r="D24" s="1265"/>
    </row>
    <row r="25" spans="1:4" x14ac:dyDescent="0.2">
      <c r="A25" s="2432"/>
      <c r="B25" s="2432"/>
      <c r="D25" s="1265"/>
    </row>
    <row r="26" spans="1:4" x14ac:dyDescent="0.2">
      <c r="A26" s="2432"/>
      <c r="B26" s="2432"/>
      <c r="D26" s="1265"/>
    </row>
    <row r="27" spans="1:4" x14ac:dyDescent="0.2">
      <c r="A27" s="2432"/>
      <c r="B27" s="2432"/>
      <c r="D27" s="1265"/>
    </row>
    <row r="28" spans="1:4" x14ac:dyDescent="0.2">
      <c r="A28" s="2432"/>
      <c r="B28" s="2432"/>
      <c r="D28" s="1265"/>
    </row>
    <row r="29" spans="1:4" x14ac:dyDescent="0.2">
      <c r="A29" s="2432"/>
      <c r="B29" s="2432"/>
      <c r="D29" s="1265"/>
    </row>
    <row r="30" spans="1:4" x14ac:dyDescent="0.2">
      <c r="A30" s="2432"/>
      <c r="B30" s="2432"/>
      <c r="D30" s="1265"/>
    </row>
    <row r="32" spans="1:4" x14ac:dyDescent="0.2">
      <c r="A32" s="1257" t="s">
        <v>1233</v>
      </c>
      <c r="D32" s="1260">
        <f>SUM(D19:D30)</f>
        <v>52715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2"/>
      <c r="B40" s="2432"/>
      <c r="D40" s="1265"/>
    </row>
    <row r="41" spans="1:4" x14ac:dyDescent="0.2">
      <c r="A41" s="2432"/>
      <c r="B41" s="2432"/>
      <c r="D41" s="1268"/>
    </row>
    <row r="42" spans="1:4" x14ac:dyDescent="0.2">
      <c r="A42" s="2432"/>
      <c r="B42" s="2432"/>
      <c r="D42" s="1268"/>
    </row>
    <row r="43" spans="1:4" x14ac:dyDescent="0.2">
      <c r="A43" s="2432"/>
      <c r="B43" s="2432"/>
      <c r="D43" s="1268"/>
    </row>
    <row r="44" spans="1:4" x14ac:dyDescent="0.2">
      <c r="A44" s="2432"/>
      <c r="B44" s="2432"/>
      <c r="D44" s="1268"/>
    </row>
    <row r="45" spans="1:4" x14ac:dyDescent="0.2">
      <c r="A45" s="2432"/>
      <c r="B45" s="2432"/>
      <c r="D45" s="1268"/>
    </row>
    <row r="47" spans="1:4" x14ac:dyDescent="0.2">
      <c r="B47" s="1269" t="s">
        <v>1227</v>
      </c>
      <c r="C47" s="1269"/>
      <c r="D47" s="1270">
        <f>SUM(D35:D45)</f>
        <v>0</v>
      </c>
    </row>
    <row r="49" spans="2:4" x14ac:dyDescent="0.2">
      <c r="B49" s="1269" t="s">
        <v>1226</v>
      </c>
      <c r="C49" s="1269"/>
      <c r="D49" s="1270">
        <f>D32-D47</f>
        <v>52715</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6" t="str">
        <f>'Single Audit Cover'!A7</f>
        <v>Damiansville SD 62</v>
      </c>
      <c r="C1" s="2437"/>
      <c r="D1" s="2437"/>
      <c r="E1" s="2437"/>
      <c r="F1" s="2437"/>
      <c r="G1" s="2437"/>
      <c r="H1" s="2437"/>
      <c r="I1" s="2437"/>
      <c r="J1" s="2437"/>
      <c r="K1" s="2437"/>
      <c r="L1" s="2437"/>
      <c r="M1" s="2437"/>
    </row>
    <row r="2" spans="2:14" ht="15" x14ac:dyDescent="0.2">
      <c r="B2" s="2438">
        <f>'Single Audit Cover'!E7</f>
        <v>13014062002</v>
      </c>
      <c r="C2" s="2438"/>
      <c r="D2" s="2438"/>
      <c r="E2" s="2438"/>
      <c r="F2" s="2438"/>
      <c r="G2" s="2438"/>
      <c r="H2" s="2438"/>
      <c r="I2" s="2438"/>
      <c r="J2" s="2438"/>
      <c r="K2" s="2438"/>
      <c r="L2" s="2438"/>
      <c r="M2" s="2438"/>
      <c r="N2" s="1299"/>
    </row>
    <row r="3" spans="2:14" ht="15" x14ac:dyDescent="0.2">
      <c r="B3" s="2439" t="s">
        <v>1219</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Damiansville SD 62</v>
      </c>
      <c r="B1" s="2450"/>
      <c r="C1" s="2450"/>
      <c r="D1" s="2450"/>
      <c r="E1" s="2450"/>
      <c r="F1" s="2450"/>
    </row>
    <row r="2" spans="1:7" ht="13.5" customHeight="1" x14ac:dyDescent="0.2">
      <c r="A2" s="2438">
        <f>'Single Audit Cover'!E7</f>
        <v>13014062002</v>
      </c>
      <c r="B2" s="2438"/>
      <c r="C2" s="2438"/>
      <c r="D2" s="2438"/>
      <c r="E2" s="2438"/>
      <c r="F2" s="2438"/>
      <c r="G2" s="1272"/>
    </row>
    <row r="3" spans="1:7" ht="15.75" customHeight="1" x14ac:dyDescent="0.2">
      <c r="A3" s="2451" t="s">
        <v>1271</v>
      </c>
      <c r="B3" s="2451"/>
      <c r="C3" s="2451"/>
      <c r="D3" s="2451"/>
      <c r="E3" s="2451"/>
      <c r="F3" s="2451"/>
    </row>
    <row r="4" spans="1:7" ht="13.5" customHeight="1" x14ac:dyDescent="0.2">
      <c r="A4" s="2452" t="str">
        <f>'Single Audit Cover'!A4</f>
        <v>Year Ending June 30, 2019</v>
      </c>
      <c r="B4" s="2452"/>
      <c r="C4" s="2452"/>
      <c r="D4" s="2452"/>
      <c r="E4" s="2452"/>
      <c r="F4" s="2452"/>
    </row>
    <row r="5" spans="1:7" ht="8.25" customHeight="1" x14ac:dyDescent="0.2">
      <c r="C5" s="317"/>
      <c r="D5" s="317"/>
    </row>
    <row r="6" spans="1:7" ht="13.5" customHeight="1" x14ac:dyDescent="0.2">
      <c r="A6" s="1273" t="s">
        <v>1728</v>
      </c>
      <c r="C6" s="317"/>
      <c r="D6" s="317"/>
    </row>
    <row r="7" spans="1:7" ht="60.95" customHeight="1" x14ac:dyDescent="0.2">
      <c r="A7" s="2449" t="s">
        <v>1729</v>
      </c>
      <c r="B7" s="2449"/>
      <c r="C7" s="2449"/>
      <c r="D7" s="2449"/>
      <c r="E7" s="2449"/>
      <c r="F7" s="2449"/>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9" t="s">
        <v>1731</v>
      </c>
      <c r="B13" s="2449"/>
      <c r="C13" s="2449"/>
      <c r="D13" s="2449"/>
      <c r="E13" s="2449"/>
      <c r="F13" s="2449"/>
    </row>
    <row r="14" spans="1:7" ht="9.75" customHeight="1" x14ac:dyDescent="0.2">
      <c r="C14" s="1257"/>
      <c r="D14" s="1257"/>
    </row>
    <row r="15" spans="1:7" ht="13.5" customHeight="1" x14ac:dyDescent="0.2">
      <c r="C15" s="1846" t="s">
        <v>1270</v>
      </c>
      <c r="D15" s="2447" t="s">
        <v>1269</v>
      </c>
      <c r="E15" s="2447"/>
      <c r="F15" s="2447"/>
    </row>
    <row r="16" spans="1:7" ht="13.5" customHeight="1" x14ac:dyDescent="0.2">
      <c r="A16" s="1279"/>
      <c r="B16" s="1273" t="s">
        <v>1268</v>
      </c>
      <c r="C16" s="1846" t="s">
        <v>1267</v>
      </c>
      <c r="D16" s="2448" t="s">
        <v>1588</v>
      </c>
      <c r="E16" s="2448"/>
      <c r="F16" s="2448"/>
    </row>
    <row r="17" spans="1:6" ht="20.45" customHeight="1" x14ac:dyDescent="0.2">
      <c r="A17" s="1280"/>
      <c r="B17" s="1281"/>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1" t="s">
        <v>1551</v>
      </c>
      <c r="C51" s="2441"/>
      <c r="D51" s="2441"/>
    </row>
    <row r="52" spans="1:5" ht="14.25" customHeight="1" x14ac:dyDescent="0.2">
      <c r="A52" s="1298"/>
      <c r="B52" s="2441"/>
      <c r="C52" s="2441"/>
      <c r="D52" s="2441"/>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1"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1168</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2" t="s">
        <v>1633</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313</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1323</v>
      </c>
      <c r="B70" s="2075"/>
      <c r="C70" s="2075"/>
      <c r="D70" s="2075"/>
      <c r="E70" s="2076"/>
      <c r="F70" s="2076"/>
      <c r="G70" s="2076"/>
      <c r="H70" s="2076"/>
      <c r="I70" s="207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1320</v>
      </c>
      <c r="B83" s="2077"/>
      <c r="C83" s="2077"/>
      <c r="D83" s="207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2077</v>
      </c>
      <c r="D114" s="206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1330</v>
      </c>
      <c r="D117" s="2070"/>
      <c r="E117" s="2071"/>
      <c r="F117" s="2071"/>
      <c r="G117" s="2071"/>
      <c r="H117" s="2071"/>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4" t="str">
        <f>'Single Audit Cover'!A7</f>
        <v>Damiansville SD 62</v>
      </c>
      <c r="C1" s="2465"/>
      <c r="D1" s="2465"/>
      <c r="E1" s="2465"/>
      <c r="F1" s="2465"/>
      <c r="G1" s="2465"/>
      <c r="H1" s="2465"/>
      <c r="I1" s="2465"/>
      <c r="J1" s="1406"/>
    </row>
    <row r="2" spans="2:10" s="317" customFormat="1" ht="12.75" customHeight="1" x14ac:dyDescent="0.2">
      <c r="B2" s="2466">
        <f>'Single Audit Cover'!E7</f>
        <v>13014062002</v>
      </c>
      <c r="C2" s="2467"/>
      <c r="D2" s="2467"/>
      <c r="E2" s="2467"/>
      <c r="F2" s="2467"/>
      <c r="G2" s="2467"/>
      <c r="H2" s="2467"/>
      <c r="I2" s="2467"/>
      <c r="J2" s="1406"/>
    </row>
    <row r="3" spans="2:10" s="317" customFormat="1" ht="12.75" customHeight="1" x14ac:dyDescent="0.2">
      <c r="B3" s="2468" t="s">
        <v>1285</v>
      </c>
      <c r="C3" s="2469"/>
      <c r="D3" s="2469"/>
      <c r="E3" s="2469"/>
      <c r="F3" s="2469"/>
      <c r="G3" s="2469"/>
      <c r="H3" s="2469"/>
      <c r="I3" s="2469"/>
      <c r="J3" s="1407"/>
    </row>
    <row r="4" spans="2:10" s="317" customFormat="1" ht="12.75" customHeight="1" x14ac:dyDescent="0.2">
      <c r="B4" s="2468" t="str">
        <f>'Single Audit Cover'!A4</f>
        <v>Year Ending June 30, 2019</v>
      </c>
      <c r="C4" s="2469"/>
      <c r="D4" s="2469"/>
      <c r="E4" s="2469"/>
      <c r="F4" s="2469"/>
      <c r="G4" s="2469"/>
      <c r="H4" s="2469"/>
      <c r="I4" s="246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8" t="s">
        <v>1284</v>
      </c>
      <c r="C7" s="2469"/>
      <c r="D7" s="2469"/>
      <c r="E7" s="2469"/>
      <c r="F7" s="2469"/>
      <c r="G7" s="2469"/>
      <c r="H7" s="2469"/>
      <c r="I7" s="246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0"/>
      <c r="D11" s="247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1"/>
      <c r="E29" s="2471"/>
      <c r="F29" s="2471"/>
      <c r="G29" s="2471"/>
      <c r="H29" s="2471"/>
      <c r="I29" s="2471"/>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2" t="s">
        <v>1751</v>
      </c>
      <c r="D37" s="2473"/>
      <c r="E37" s="2473"/>
      <c r="F37" s="2474"/>
      <c r="G37" s="2472" t="s">
        <v>1592</v>
      </c>
      <c r="H37" s="2473"/>
      <c r="I37" s="2474"/>
    </row>
    <row r="38" spans="2:9" ht="16.5" customHeight="1" x14ac:dyDescent="0.2">
      <c r="B38" s="1428"/>
      <c r="C38" s="2460"/>
      <c r="D38" s="2461"/>
      <c r="E38" s="2461"/>
      <c r="F38" s="2462"/>
      <c r="G38" s="2475"/>
      <c r="H38" s="2476"/>
      <c r="I38" s="2477"/>
    </row>
    <row r="39" spans="2:9" ht="16.5" customHeight="1" x14ac:dyDescent="0.2">
      <c r="B39" s="1428"/>
      <c r="C39" s="2460"/>
      <c r="D39" s="2461"/>
      <c r="E39" s="2461"/>
      <c r="F39" s="2462"/>
      <c r="G39" s="2463"/>
      <c r="H39" s="2463"/>
      <c r="I39" s="2463"/>
    </row>
    <row r="40" spans="2:9" ht="16.5" customHeight="1" x14ac:dyDescent="0.2">
      <c r="B40" s="1428"/>
      <c r="C40" s="2460"/>
      <c r="D40" s="2461"/>
      <c r="E40" s="2461"/>
      <c r="F40" s="2462"/>
      <c r="G40" s="2463"/>
      <c r="H40" s="2463"/>
      <c r="I40" s="2463"/>
    </row>
    <row r="41" spans="2:9" ht="16.5" customHeight="1" x14ac:dyDescent="0.2">
      <c r="B41" s="1428"/>
      <c r="C41" s="2460"/>
      <c r="D41" s="2461"/>
      <c r="E41" s="2461"/>
      <c r="F41" s="2462"/>
      <c r="G41" s="2463"/>
      <c r="H41" s="2463"/>
      <c r="I41" s="2463"/>
    </row>
    <row r="42" spans="2:9" ht="16.5" customHeight="1" x14ac:dyDescent="0.2">
      <c r="B42" s="1428"/>
      <c r="C42" s="2460"/>
      <c r="D42" s="2461"/>
      <c r="E42" s="2461"/>
      <c r="F42" s="2462"/>
      <c r="G42" s="2463"/>
      <c r="H42" s="2463"/>
      <c r="I42" s="2463"/>
    </row>
    <row r="43" spans="2:9" ht="16.5" customHeight="1" x14ac:dyDescent="0.2">
      <c r="B43" s="1428"/>
      <c r="C43" s="2453" t="s">
        <v>1593</v>
      </c>
      <c r="D43" s="2454"/>
      <c r="E43" s="2454"/>
      <c r="F43" s="2455"/>
      <c r="G43" s="2456">
        <f>SUM(G38:I42)</f>
        <v>0</v>
      </c>
      <c r="H43" s="2456"/>
      <c r="I43" s="2456"/>
    </row>
    <row r="44" spans="2:9" ht="12.75" customHeight="1" x14ac:dyDescent="0.2"/>
    <row r="45" spans="2:9" ht="12.75" customHeight="1" x14ac:dyDescent="0.2">
      <c r="B45" s="1419" t="s">
        <v>1841</v>
      </c>
      <c r="D45" s="2457">
        <v>0</v>
      </c>
      <c r="E45" s="2458"/>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9"/>
      <c r="F49" s="2459"/>
      <c r="G49" s="2459"/>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4" t="str">
        <f>'Single Audit Cover'!A7</f>
        <v>Damiansville SD 62</v>
      </c>
      <c r="C1" s="2464"/>
      <c r="D1" s="2464"/>
      <c r="E1" s="2464"/>
      <c r="F1" s="2464"/>
      <c r="G1" s="2464"/>
      <c r="H1" s="2464"/>
      <c r="I1" s="2464"/>
      <c r="J1" s="2464"/>
      <c r="K1" s="2464"/>
      <c r="L1" s="1371"/>
      <c r="M1" s="1371"/>
    </row>
    <row r="2" spans="1:13" ht="12" customHeight="1" x14ac:dyDescent="0.2">
      <c r="B2" s="2466">
        <f>'Single Audit Cover'!E7</f>
        <v>13014062002</v>
      </c>
      <c r="C2" s="2466"/>
      <c r="D2" s="2466"/>
      <c r="E2" s="2466"/>
      <c r="F2" s="2466"/>
      <c r="G2" s="2466"/>
      <c r="H2" s="2466"/>
      <c r="I2" s="2466"/>
      <c r="J2" s="2466"/>
      <c r="K2" s="2466"/>
      <c r="L2" s="1372"/>
      <c r="M2" s="1373"/>
    </row>
    <row r="3" spans="1:13" ht="10.35" customHeight="1" x14ac:dyDescent="0.2">
      <c r="B3" s="2480" t="s">
        <v>1285</v>
      </c>
      <c r="C3" s="2480"/>
      <c r="D3" s="2480"/>
      <c r="E3" s="2480"/>
      <c r="F3" s="2480"/>
      <c r="G3" s="2480"/>
      <c r="H3" s="2480"/>
      <c r="I3" s="2480"/>
      <c r="J3" s="2480"/>
      <c r="K3" s="2480"/>
      <c r="L3" s="1374"/>
      <c r="M3" s="1374"/>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1" t="s">
        <v>1296</v>
      </c>
      <c r="C7" s="2481"/>
      <c r="D7" s="2482"/>
      <c r="E7" s="2482"/>
      <c r="F7" s="2482"/>
      <c r="G7" s="2482"/>
      <c r="H7" s="2482"/>
      <c r="I7" s="2482"/>
      <c r="J7" s="2482"/>
      <c r="K7" s="248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9"/>
      <c r="C14" s="2479"/>
      <c r="D14" s="2479"/>
      <c r="E14" s="2479"/>
      <c r="F14" s="2479"/>
      <c r="G14" s="2479"/>
      <c r="H14" s="2479"/>
      <c r="I14" s="2479"/>
      <c r="J14" s="2479"/>
      <c r="K14" s="247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9"/>
      <c r="C17" s="2479"/>
      <c r="D17" s="2479"/>
      <c r="E17" s="2479"/>
      <c r="F17" s="2479"/>
      <c r="G17" s="2479"/>
      <c r="H17" s="2479"/>
      <c r="I17" s="2479"/>
      <c r="J17" s="2479"/>
      <c r="K17" s="2479"/>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3"/>
      <c r="C20" s="2483"/>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9"/>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9"/>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8"/>
      <c r="C29" s="2478"/>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8"/>
      <c r="C32" s="2478"/>
      <c r="D32" s="2479"/>
      <c r="E32" s="2479"/>
      <c r="F32" s="2479"/>
      <c r="G32" s="2479"/>
      <c r="H32" s="2479"/>
      <c r="I32" s="2479"/>
      <c r="J32" s="2479"/>
      <c r="K32" s="247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Damiansville SD 62</v>
      </c>
      <c r="C1" s="2487"/>
      <c r="D1" s="2487"/>
      <c r="E1" s="2487"/>
      <c r="F1" s="2487"/>
      <c r="G1" s="2487"/>
      <c r="H1" s="2487"/>
      <c r="I1" s="2487"/>
      <c r="J1" s="2487"/>
      <c r="K1" s="2487"/>
      <c r="L1" s="1449"/>
    </row>
    <row r="2" spans="1:12" ht="12.75" customHeight="1" x14ac:dyDescent="0.2">
      <c r="B2" s="2488">
        <f>'Single Audit Cover'!E7</f>
        <v>13014062002</v>
      </c>
      <c r="C2" s="2488"/>
      <c r="D2" s="2488"/>
      <c r="E2" s="2488"/>
      <c r="F2" s="2488"/>
      <c r="G2" s="2488"/>
      <c r="H2" s="2488"/>
      <c r="I2" s="2488"/>
      <c r="J2" s="2488"/>
      <c r="K2" s="2488"/>
      <c r="L2" s="1450"/>
    </row>
    <row r="3" spans="1:12" ht="12.75" customHeight="1" x14ac:dyDescent="0.2">
      <c r="B3" s="2480" t="s">
        <v>1285</v>
      </c>
      <c r="C3" s="2480"/>
      <c r="D3" s="2480"/>
      <c r="E3" s="2480"/>
      <c r="F3" s="2480"/>
      <c r="G3" s="2480"/>
      <c r="H3" s="2480"/>
      <c r="I3" s="2480"/>
      <c r="J3" s="2480"/>
      <c r="K3" s="2480"/>
      <c r="L3" s="1374"/>
    </row>
    <row r="4" spans="1:12" ht="12.75" customHeight="1" x14ac:dyDescent="0.2">
      <c r="B4" s="2480" t="str">
        <f>'Single Audit Cover'!A4</f>
        <v>Year Ending June 30, 2019</v>
      </c>
      <c r="C4" s="2480"/>
      <c r="D4" s="2480"/>
      <c r="E4" s="2480"/>
      <c r="F4" s="2480"/>
      <c r="G4" s="2480"/>
      <c r="H4" s="2480"/>
      <c r="I4" s="2480"/>
      <c r="J4" s="2480"/>
      <c r="K4" s="2480"/>
      <c r="L4" s="1374"/>
    </row>
    <row r="5" spans="1:12" ht="5.25" customHeight="1" x14ac:dyDescent="0.2">
      <c r="B5" s="1257" t="s">
        <v>1169</v>
      </c>
      <c r="C5" s="1257"/>
      <c r="L5" s="322"/>
    </row>
    <row r="6" spans="1:12" ht="30.75" customHeight="1" x14ac:dyDescent="0.2">
      <c r="A6" s="322"/>
      <c r="B6" s="2489" t="s">
        <v>1308</v>
      </c>
      <c r="C6" s="2489"/>
      <c r="D6" s="2489"/>
      <c r="E6" s="2489"/>
      <c r="F6" s="2489"/>
      <c r="G6" s="2489"/>
      <c r="H6" s="2489"/>
      <c r="I6" s="2489"/>
      <c r="J6" s="2489"/>
      <c r="K6" s="248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1"/>
      <c r="G12" s="2471"/>
      <c r="H12" s="2471"/>
      <c r="I12" s="2471"/>
      <c r="J12" s="2471"/>
      <c r="K12" s="247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4"/>
      <c r="E14" s="2484"/>
      <c r="F14" s="2484"/>
      <c r="H14" s="1459" t="s">
        <v>1303</v>
      </c>
      <c r="I14" s="2485"/>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5"/>
      <c r="E16" s="2485"/>
      <c r="F16" s="2485"/>
      <c r="G16" s="2485"/>
      <c r="H16" s="2485"/>
      <c r="I16" s="2485"/>
      <c r="J16" s="2485"/>
      <c r="K16" s="2485"/>
      <c r="L16" s="322"/>
    </row>
    <row r="17" spans="2:12" ht="13.5" customHeight="1" x14ac:dyDescent="0.2">
      <c r="B17" s="1384" t="s">
        <v>1301</v>
      </c>
      <c r="C17" s="1384"/>
      <c r="D17" s="2486"/>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9"/>
      <c r="C20" s="2479"/>
      <c r="D20" s="2479"/>
      <c r="E20" s="2479"/>
      <c r="F20" s="2479"/>
      <c r="G20" s="2479"/>
      <c r="H20" s="2479"/>
      <c r="I20" s="2479"/>
      <c r="J20" s="2479"/>
      <c r="K20" s="247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4" t="str">
        <f>'Single Audit Cover'!A7</f>
        <v>Damiansville SD 62</v>
      </c>
      <c r="C1" s="2464"/>
      <c r="D1" s="2464"/>
      <c r="E1" s="1469"/>
    </row>
    <row r="2" spans="2:5" s="1279" customFormat="1" ht="12.75" customHeight="1" x14ac:dyDescent="0.2">
      <c r="B2" s="2466">
        <f>'Single Audit Cover'!E7</f>
        <v>13014062002</v>
      </c>
      <c r="C2" s="2466"/>
      <c r="D2" s="2466"/>
      <c r="E2" s="1470"/>
    </row>
    <row r="3" spans="2:5" ht="12.75" customHeight="1" x14ac:dyDescent="0.2">
      <c r="B3" s="2480" t="s">
        <v>1766</v>
      </c>
      <c r="C3" s="2480"/>
      <c r="D3" s="2480"/>
      <c r="E3" s="1271"/>
    </row>
    <row r="4" spans="2:5" s="1279" customFormat="1" ht="12.75" customHeight="1" x14ac:dyDescent="0.2">
      <c r="B4" s="2490" t="str">
        <f>'Single Audit Cover'!A4</f>
        <v>Year Ending June 30, 2019</v>
      </c>
      <c r="C4" s="2490"/>
      <c r="D4" s="2490"/>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T33" sqref="T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386</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18122899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1.7000000000000001E-2</v>
      </c>
      <c r="E10" s="356" t="s">
        <v>1005</v>
      </c>
      <c r="F10" s="355">
        <v>2.5000000000000001E-3</v>
      </c>
      <c r="G10" s="356" t="s">
        <v>1005</v>
      </c>
      <c r="H10" s="355">
        <v>1.1999999999999999E-3</v>
      </c>
      <c r="I10" s="356" t="s">
        <v>1006</v>
      </c>
      <c r="J10" s="1732">
        <f>ROUND(D10+F10+H10,5)</f>
        <v>2.07E-2</v>
      </c>
      <c r="K10" s="222"/>
      <c r="L10" s="355">
        <v>5.0000000000000001E-4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809819</v>
      </c>
      <c r="E16" s="356"/>
      <c r="F16" s="1733">
        <f>SUM('Acct Summary 7-8'!C17,'Acct Summary 7-8'!D17,'Acct Summary 7-8'!F17)</f>
        <v>728975</v>
      </c>
      <c r="G16" s="356"/>
      <c r="H16" s="1733">
        <f>SUM(D16-F16)</f>
        <v>80844</v>
      </c>
      <c r="I16" s="222"/>
      <c r="J16" s="1733">
        <f>SUM('Acct Summary 7-8'!C81,'Acct Summary 7-8'!D81,'Acct Summary 7-8'!F81,'Acct Summary 7-8'!I81)</f>
        <v>410973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1250480.0310000002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915000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556</v>
      </c>
      <c r="B2" s="2107"/>
      <c r="C2" s="2107"/>
      <c r="D2" s="2107"/>
      <c r="E2" s="2107"/>
      <c r="F2" s="2107"/>
      <c r="G2" s="2107"/>
      <c r="H2" s="2107"/>
      <c r="I2" s="2107"/>
      <c r="J2" s="2107"/>
      <c r="K2" s="2107"/>
      <c r="L2" s="2107"/>
      <c r="M2" s="2107"/>
      <c r="N2" s="2107"/>
      <c r="O2" s="2107"/>
      <c r="P2" s="2107"/>
      <c r="Q2" s="2107"/>
      <c r="R2" s="2107"/>
    </row>
    <row r="3" spans="1:18" ht="12.75" x14ac:dyDescent="0.2">
      <c r="A3" s="2108" t="s">
        <v>1413</v>
      </c>
      <c r="B3" s="2108"/>
      <c r="C3" s="2108"/>
      <c r="D3" s="2108"/>
      <c r="E3" s="2108"/>
      <c r="F3" s="2108"/>
      <c r="G3" s="2108"/>
      <c r="H3" s="2108"/>
      <c r="I3" s="2108"/>
      <c r="J3" s="2108"/>
      <c r="K3" s="2108"/>
      <c r="L3" s="2108"/>
      <c r="M3" s="2108"/>
      <c r="N3" s="2108"/>
      <c r="O3" s="2108"/>
      <c r="P3" s="2108"/>
      <c r="Q3" s="2108"/>
      <c r="R3" s="2108"/>
    </row>
    <row r="4" spans="1:18" x14ac:dyDescent="0.2">
      <c r="A4" s="2109" t="s">
        <v>1554</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Damiansville SD 62</v>
      </c>
      <c r="E7" s="391"/>
      <c r="G7" s="252"/>
      <c r="H7" s="387"/>
      <c r="I7" s="387"/>
      <c r="J7" s="387"/>
      <c r="K7" s="387"/>
      <c r="L7" s="329"/>
      <c r="M7" s="329"/>
      <c r="N7" s="329"/>
      <c r="O7" s="329"/>
      <c r="P7" s="329"/>
    </row>
    <row r="8" spans="1:18" ht="12.75" x14ac:dyDescent="0.2">
      <c r="A8" s="329"/>
      <c r="B8" s="329"/>
      <c r="C8" s="389" t="s">
        <v>1125</v>
      </c>
      <c r="D8" s="392">
        <f>COVER!A13</f>
        <v>13014062002</v>
      </c>
      <c r="E8" s="393"/>
      <c r="G8" s="329"/>
      <c r="H8" s="329"/>
      <c r="I8" s="329"/>
      <c r="J8" s="329"/>
      <c r="K8" s="329"/>
      <c r="L8" s="329"/>
      <c r="M8" s="329"/>
      <c r="N8" s="329"/>
      <c r="O8" s="329"/>
      <c r="P8" s="329"/>
    </row>
    <row r="9" spans="1:18" ht="12.75" x14ac:dyDescent="0.2">
      <c r="A9" s="329"/>
      <c r="B9" s="329"/>
      <c r="C9" s="389" t="s">
        <v>713</v>
      </c>
      <c r="D9" s="394" t="str">
        <f>COVER!A15</f>
        <v>Clinton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410973</v>
      </c>
      <c r="I12" s="404"/>
      <c r="J12" s="404"/>
      <c r="K12" s="405">
        <f>TRUNC((H12/H13*100000),5)/100000</f>
        <v>0.50748747549999995</v>
      </c>
      <c r="L12" s="406"/>
      <c r="M12" s="360" t="s">
        <v>1144</v>
      </c>
      <c r="N12" s="360"/>
      <c r="O12" s="407">
        <v>0.35</v>
      </c>
      <c r="P12" s="218"/>
      <c r="Q12" s="218"/>
    </row>
    <row r="13" spans="1:18" s="408" customFormat="1" ht="12.75" x14ac:dyDescent="0.2">
      <c r="A13" s="218"/>
      <c r="B13" s="401"/>
      <c r="C13" s="2105" t="s">
        <v>1324</v>
      </c>
      <c r="D13" s="2106"/>
      <c r="E13" s="218"/>
      <c r="F13" s="409" t="s">
        <v>793</v>
      </c>
      <c r="G13" s="402"/>
      <c r="H13" s="403">
        <f>SUM('Acct Summary 7-8'!C8+'Acct Summary 7-8'!D8+'Acct Summary 7-8'!F8+'Acct Summary 7-8'!I8)+H14</f>
        <v>809819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728975</v>
      </c>
      <c r="I17" s="404"/>
      <c r="J17" s="416"/>
      <c r="K17" s="405">
        <f>TRUNC((H17/H18*100000),5)/100000</f>
        <v>0.90017028489999995</v>
      </c>
      <c r="L17" s="406"/>
      <c r="M17" s="417" t="s">
        <v>1171</v>
      </c>
      <c r="O17" s="418" t="str">
        <f>IF(AND(O16="2", J20 &gt; 2),"1",IF(AND(O16 = "1", J20 &gt; 2),"2",IF(AND(O16="1", J20 &gt;1),"1","0")))</f>
        <v>0</v>
      </c>
      <c r="P17" s="218"/>
    </row>
    <row r="18" spans="1:18" s="408" customFormat="1" ht="11.25" x14ac:dyDescent="0.2">
      <c r="A18" s="218"/>
      <c r="B18" s="401"/>
      <c r="C18" s="2105" t="s">
        <v>1317</v>
      </c>
      <c r="D18" s="2106"/>
      <c r="E18" s="218"/>
      <c r="F18" s="419" t="s">
        <v>794</v>
      </c>
      <c r="G18" s="402"/>
      <c r="H18" s="403">
        <f>SUM('Acct Summary 7-8'!C8+'Acct Summary 7-8'!D8+'Acct Summary 7-8'!F8+'Acct Summary 7-8'!I8)+H19</f>
        <v>809819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2" t="s">
        <v>1412</v>
      </c>
      <c r="D24" s="2102"/>
      <c r="E24" s="218"/>
      <c r="F24" s="218" t="s">
        <v>445</v>
      </c>
      <c r="G24" s="402"/>
      <c r="H24" s="403">
        <f>SUM('Assets-Liab 5-6'!C4+'Assets-Liab 5-6'!D4+'Assets-Liab 5-6'!F4+'Assets-Liab 5-6'!I4+'Assets-Liab 5-6'!C5+'Assets-Liab 5-6'!D5+'Assets-Liab 5-6'!F5+'Assets-Liab 5-6'!I5)</f>
        <v>410973</v>
      </c>
      <c r="I24" s="422"/>
      <c r="J24" s="422"/>
      <c r="K24" s="423">
        <f>TRUNC(((H24/H25*100000)/100000),2)</f>
        <v>202.95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2024.93056</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318872.40791000001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915000</v>
      </c>
      <c r="I32" s="420"/>
      <c r="J32" s="420"/>
      <c r="K32" s="423">
        <f>TRUNC(100-((((H32/H33*100))*100)/100),2)</f>
        <v>26.82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1250480.0310000002</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pane="bottomLeft" activeCell="F5" sqref="F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2" t="s">
        <v>973</v>
      </c>
      <c r="B3" s="2113"/>
      <c r="C3" s="1559"/>
      <c r="D3" s="1560"/>
      <c r="E3" s="1560"/>
      <c r="F3" s="1560"/>
      <c r="G3" s="1560"/>
      <c r="H3" s="1560"/>
      <c r="I3" s="1560"/>
      <c r="J3" s="1560"/>
      <c r="K3" s="1560"/>
      <c r="L3" s="1560"/>
      <c r="M3" s="1561"/>
      <c r="N3" s="1562"/>
    </row>
    <row r="4" spans="1:14" ht="13.5" customHeight="1" x14ac:dyDescent="0.2">
      <c r="A4" s="463" t="s">
        <v>1651</v>
      </c>
      <c r="B4" s="464"/>
      <c r="C4" s="465">
        <v>127558</v>
      </c>
      <c r="D4" s="466">
        <v>122120</v>
      </c>
      <c r="E4" s="466">
        <v>231</v>
      </c>
      <c r="F4" s="466">
        <v>106392</v>
      </c>
      <c r="G4" s="466">
        <v>31970</v>
      </c>
      <c r="H4" s="466"/>
      <c r="I4" s="466">
        <v>54903</v>
      </c>
      <c r="J4" s="467">
        <v>39133</v>
      </c>
      <c r="K4" s="466">
        <v>49735</v>
      </c>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127558</v>
      </c>
      <c r="D13" s="1737">
        <f t="shared" ref="D13:L13" si="0">SUM(D4:D12)</f>
        <v>122120</v>
      </c>
      <c r="E13" s="1737">
        <f t="shared" si="0"/>
        <v>231</v>
      </c>
      <c r="F13" s="1737">
        <f t="shared" si="0"/>
        <v>106392</v>
      </c>
      <c r="G13" s="1737">
        <f t="shared" si="0"/>
        <v>31970</v>
      </c>
      <c r="H13" s="1737">
        <f t="shared" si="0"/>
        <v>0</v>
      </c>
      <c r="I13" s="1737">
        <f t="shared" si="0"/>
        <v>54903</v>
      </c>
      <c r="J13" s="1737">
        <f t="shared" si="0"/>
        <v>39133</v>
      </c>
      <c r="K13" s="1737">
        <f t="shared" si="0"/>
        <v>49735</v>
      </c>
      <c r="L13" s="1737">
        <f t="shared" si="0"/>
        <v>0</v>
      </c>
      <c r="M13" s="468"/>
      <c r="N13" s="469"/>
    </row>
    <row r="14" spans="1:14" ht="18" customHeight="1" thickTop="1" x14ac:dyDescent="0.2">
      <c r="A14" s="2114" t="s">
        <v>147</v>
      </c>
      <c r="B14" s="2115"/>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v>1258368</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381437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231</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914769</v>
      </c>
    </row>
    <row r="23" spans="1:14" ht="13.5" customHeight="1" thickBot="1" x14ac:dyDescent="0.25">
      <c r="A23" s="1736" t="s">
        <v>643</v>
      </c>
      <c r="B23" s="1741"/>
      <c r="C23" s="468"/>
      <c r="D23" s="468"/>
      <c r="E23" s="468"/>
      <c r="F23" s="468"/>
      <c r="G23" s="468"/>
      <c r="H23" s="468"/>
      <c r="I23" s="468"/>
      <c r="J23" s="468"/>
      <c r="K23" s="468"/>
      <c r="L23" s="468"/>
      <c r="M23" s="1688">
        <f>SUM(M15:M22)</f>
        <v>1639805</v>
      </c>
      <c r="N23" s="1688">
        <f>SUM(N21:N22)</f>
        <v>915000</v>
      </c>
    </row>
    <row r="24" spans="1:14" ht="18" customHeight="1" thickTop="1" x14ac:dyDescent="0.2">
      <c r="A24" s="2116" t="s">
        <v>598</v>
      </c>
      <c r="B24" s="2117"/>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8" t="s">
        <v>529</v>
      </c>
      <c r="B35" s="2119"/>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915000</v>
      </c>
    </row>
    <row r="37" spans="1:14" ht="13.5" thickBot="1" x14ac:dyDescent="0.25">
      <c r="A37" s="1736" t="s">
        <v>653</v>
      </c>
      <c r="B37" s="1741"/>
      <c r="C37" s="477"/>
      <c r="D37" s="477"/>
      <c r="E37" s="477"/>
      <c r="F37" s="477"/>
      <c r="G37" s="477"/>
      <c r="H37" s="477"/>
      <c r="I37" s="477"/>
      <c r="J37" s="477"/>
      <c r="K37" s="477"/>
      <c r="L37" s="480"/>
      <c r="M37" s="468"/>
      <c r="N37" s="1688">
        <f>SUM(N36:N36)</f>
        <v>915000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127558</v>
      </c>
      <c r="D39" s="466">
        <v>122120</v>
      </c>
      <c r="E39" s="466">
        <v>231</v>
      </c>
      <c r="F39" s="466">
        <v>106392</v>
      </c>
      <c r="G39" s="466">
        <v>31970</v>
      </c>
      <c r="H39" s="466"/>
      <c r="I39" s="466">
        <v>54903</v>
      </c>
      <c r="J39" s="467">
        <v>39133</v>
      </c>
      <c r="K39" s="466">
        <v>49735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1639805</v>
      </c>
      <c r="N40" s="497"/>
    </row>
    <row r="41" spans="1:14" ht="13.5" customHeight="1" thickBot="1" x14ac:dyDescent="0.25">
      <c r="A41" s="1736" t="s">
        <v>655</v>
      </c>
      <c r="B41" s="1706"/>
      <c r="C41" s="1688">
        <f>(SUM(C34,C37,C38,C39))</f>
        <v>127558</v>
      </c>
      <c r="D41" s="1688">
        <f t="shared" ref="D41:L41" si="2">SUM(D34,D37,D38:D39)</f>
        <v>122120</v>
      </c>
      <c r="E41" s="1688">
        <f t="shared" si="2"/>
        <v>231</v>
      </c>
      <c r="F41" s="1688">
        <f t="shared" si="2"/>
        <v>106392</v>
      </c>
      <c r="G41" s="1688">
        <f t="shared" si="2"/>
        <v>31970</v>
      </c>
      <c r="H41" s="1688">
        <f t="shared" si="2"/>
        <v>0</v>
      </c>
      <c r="I41" s="1688">
        <f t="shared" si="2"/>
        <v>54903</v>
      </c>
      <c r="J41" s="1688">
        <f t="shared" si="2"/>
        <v>39133</v>
      </c>
      <c r="K41" s="1688">
        <f t="shared" si="2"/>
        <v>49735</v>
      </c>
      <c r="L41" s="1688">
        <f t="shared" si="2"/>
        <v>0</v>
      </c>
      <c r="M41" s="1688">
        <f>SUM(M40)</f>
        <v>1639805</v>
      </c>
      <c r="N41" s="1688">
        <f>SUM(N37)</f>
        <v>915000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&amp;CThe Notes to the Financial Statements are an intregal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5" activePane="bottomLeft" state="frozen"/>
      <selection pane="bottomLeft" activeCell="E79" sqref="E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0" t="s">
        <v>1175</v>
      </c>
      <c r="B3" s="2141"/>
      <c r="C3" s="1573"/>
      <c r="D3" s="1574"/>
      <c r="E3" s="1574"/>
      <c r="F3" s="1574"/>
      <c r="G3" s="1574"/>
      <c r="H3" s="1574"/>
      <c r="I3" s="1574"/>
      <c r="J3" s="1574"/>
      <c r="K3" s="1575"/>
      <c r="L3" s="506"/>
    </row>
    <row r="4" spans="1:13" ht="15.75" customHeight="1" x14ac:dyDescent="0.2">
      <c r="A4" s="1928" t="s">
        <v>1499</v>
      </c>
      <c r="B4" s="1929">
        <v>1000</v>
      </c>
      <c r="C4" s="1742">
        <f>'Revenues 9-14'!C109</f>
        <v>379469</v>
      </c>
      <c r="D4" s="1742">
        <f>'Revenues 9-14'!D109</f>
        <v>51534</v>
      </c>
      <c r="E4" s="1742">
        <f>'Revenues 9-14'!E109</f>
        <v>104571</v>
      </c>
      <c r="F4" s="1742">
        <f>'Revenues 9-14'!F109</f>
        <v>55744</v>
      </c>
      <c r="G4" s="1742">
        <f>'Revenues 9-14'!G109</f>
        <v>33090</v>
      </c>
      <c r="H4" s="1742">
        <f>'Revenues 9-14'!H109</f>
        <v>0</v>
      </c>
      <c r="I4" s="1742">
        <f>'Revenues 9-14'!I109</f>
        <v>8777</v>
      </c>
      <c r="J4" s="1742">
        <f>'Revenues 9-14'!J109</f>
        <v>94234</v>
      </c>
      <c r="K4" s="1742">
        <f>'Revenues 9-14'!K109</f>
        <v>8777</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255762</v>
      </c>
      <c r="D6" s="1743">
        <f>'Revenues 9-14'!D170</f>
        <v>0</v>
      </c>
      <c r="E6" s="1743">
        <f>'Revenues 9-14'!E170</f>
        <v>0</v>
      </c>
      <c r="F6" s="1743">
        <f>'Revenues 9-14'!F170</f>
        <v>5818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50715</v>
      </c>
      <c r="D7" s="1743">
        <f>'Revenues 9-14'!D267</f>
        <v>2000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685946</v>
      </c>
      <c r="D8" s="1688">
        <f t="shared" ref="D8:K8" si="0">SUM(D4:D7)</f>
        <v>53534</v>
      </c>
      <c r="E8" s="1688">
        <f t="shared" si="0"/>
        <v>104571</v>
      </c>
      <c r="F8" s="1688">
        <f t="shared" si="0"/>
        <v>61562</v>
      </c>
      <c r="G8" s="1688">
        <f t="shared" si="0"/>
        <v>33090</v>
      </c>
      <c r="H8" s="1688">
        <f t="shared" si="0"/>
        <v>0</v>
      </c>
      <c r="I8" s="1688">
        <f t="shared" si="0"/>
        <v>8777</v>
      </c>
      <c r="J8" s="1688">
        <f t="shared" si="0"/>
        <v>94234</v>
      </c>
      <c r="K8" s="1688">
        <f t="shared" si="0"/>
        <v>8777</v>
      </c>
      <c r="L8" s="347"/>
    </row>
    <row r="9" spans="1:13" ht="15.75" thickTop="1" x14ac:dyDescent="0.2">
      <c r="A9" s="514" t="s">
        <v>1653</v>
      </c>
      <c r="B9" s="515">
        <v>3998</v>
      </c>
      <c r="C9" s="481">
        <v>359521</v>
      </c>
      <c r="D9" s="516"/>
      <c r="E9" s="481"/>
      <c r="F9" s="481"/>
      <c r="G9" s="517"/>
      <c r="H9" s="481"/>
      <c r="I9" s="509" t="s">
        <v>1169</v>
      </c>
      <c r="J9" s="478"/>
      <c r="K9" s="481"/>
      <c r="L9" s="347"/>
    </row>
    <row r="10" spans="1:13" s="519" customFormat="1" ht="13.5" thickBot="1" x14ac:dyDescent="0.25">
      <c r="A10" s="1736" t="s">
        <v>1173</v>
      </c>
      <c r="B10" s="1709"/>
      <c r="C10" s="1688">
        <f>SUM(C8:C9)</f>
        <v>1045467</v>
      </c>
      <c r="D10" s="1688">
        <f t="shared" ref="D10:K10" si="1">SUM(D8:D9)</f>
        <v>53534</v>
      </c>
      <c r="E10" s="1688">
        <f t="shared" si="1"/>
        <v>104571</v>
      </c>
      <c r="F10" s="1688">
        <f t="shared" si="1"/>
        <v>61562</v>
      </c>
      <c r="G10" s="1688">
        <f t="shared" si="1"/>
        <v>33090</v>
      </c>
      <c r="H10" s="1688">
        <f t="shared" si="1"/>
        <v>0</v>
      </c>
      <c r="I10" s="1688">
        <f t="shared" si="1"/>
        <v>8777</v>
      </c>
      <c r="J10" s="1688">
        <f t="shared" si="1"/>
        <v>94234</v>
      </c>
      <c r="K10" s="1688">
        <f t="shared" si="1"/>
        <v>8777</v>
      </c>
      <c r="L10" s="518"/>
    </row>
    <row r="11" spans="1:13" s="519" customFormat="1" ht="16.7" customHeight="1" thickTop="1" x14ac:dyDescent="0.2">
      <c r="A11" s="2114" t="s">
        <v>1176</v>
      </c>
      <c r="B11" s="2115"/>
      <c r="C11" s="1570"/>
      <c r="D11" s="1571"/>
      <c r="E11" s="1571"/>
      <c r="F11" s="1571"/>
      <c r="G11" s="1571"/>
      <c r="H11" s="1571"/>
      <c r="I11" s="1571"/>
      <c r="J11" s="1571"/>
      <c r="K11" s="1572"/>
      <c r="L11" s="518"/>
    </row>
    <row r="12" spans="1:13" ht="15.75" customHeight="1" x14ac:dyDescent="0.2">
      <c r="A12" s="1576" t="s">
        <v>456</v>
      </c>
      <c r="B12" s="1578">
        <v>1000</v>
      </c>
      <c r="C12" s="1742">
        <f>'Expenditures 15-22'!K33</f>
        <v>493774</v>
      </c>
      <c r="D12" s="520" t="s">
        <v>1169</v>
      </c>
      <c r="E12" s="468" t="s">
        <v>1169</v>
      </c>
      <c r="F12" s="468" t="s">
        <v>1169</v>
      </c>
      <c r="G12" s="1742">
        <f>'Expenditures 15-22'!K229</f>
        <v>7582</v>
      </c>
      <c r="H12" s="521"/>
      <c r="I12" s="468" t="s">
        <v>1169</v>
      </c>
      <c r="J12" s="468" t="s">
        <v>1169</v>
      </c>
      <c r="K12" s="521" t="s">
        <v>1169</v>
      </c>
      <c r="L12" s="347"/>
    </row>
    <row r="13" spans="1:13" ht="15.75" customHeight="1" x14ac:dyDescent="0.2">
      <c r="A13" s="1576" t="s">
        <v>457</v>
      </c>
      <c r="B13" s="1578">
        <v>2000</v>
      </c>
      <c r="C13" s="1743">
        <f>'Expenditures 15-22'!K74</f>
        <v>147070</v>
      </c>
      <c r="D13" s="1743">
        <f>'Expenditures 15-22'!K129</f>
        <v>37199</v>
      </c>
      <c r="E13" s="469" t="s">
        <v>1169</v>
      </c>
      <c r="F13" s="1743">
        <f>'Expenditures 15-22'!K184</f>
        <v>40206</v>
      </c>
      <c r="G13" s="1743">
        <f>'Expenditures 15-22'!K279</f>
        <v>18843</v>
      </c>
      <c r="H13" s="1743">
        <f>'Expenditures 15-22'!K303</f>
        <v>0</v>
      </c>
      <c r="I13" s="468" t="s">
        <v>1169</v>
      </c>
      <c r="J13" s="1743">
        <f>'Expenditures 15-22'!K330</f>
        <v>91380</v>
      </c>
      <c r="K13" s="1747">
        <f>'Expenditures 15-22'!K352</f>
        <v>7065</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10726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105076</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651570</v>
      </c>
      <c r="D17" s="1688">
        <f t="shared" si="2"/>
        <v>37199</v>
      </c>
      <c r="E17" s="1688">
        <f t="shared" si="2"/>
        <v>105076</v>
      </c>
      <c r="F17" s="1688">
        <f t="shared" si="2"/>
        <v>40206</v>
      </c>
      <c r="G17" s="1688">
        <f t="shared" si="2"/>
        <v>26425</v>
      </c>
      <c r="H17" s="1688">
        <f t="shared" si="2"/>
        <v>0</v>
      </c>
      <c r="I17" s="468"/>
      <c r="J17" s="1688">
        <f>SUM(J12:J16)</f>
        <v>91380</v>
      </c>
      <c r="K17" s="1688">
        <f>SUM(K12:K16)</f>
        <v>7065</v>
      </c>
      <c r="L17" s="347"/>
    </row>
    <row r="18" spans="1:12" ht="15" customHeight="1" thickTop="1" x14ac:dyDescent="0.2">
      <c r="A18" s="1744" t="s">
        <v>1654</v>
      </c>
      <c r="B18" s="1745">
        <v>4180</v>
      </c>
      <c r="C18" s="1742">
        <f t="shared" ref="C18:H18" si="3">C9</f>
        <v>359521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1011091</v>
      </c>
      <c r="D19" s="1688">
        <f t="shared" si="4"/>
        <v>37199</v>
      </c>
      <c r="E19" s="1688">
        <f t="shared" si="4"/>
        <v>105076</v>
      </c>
      <c r="F19" s="1688">
        <f t="shared" si="4"/>
        <v>40206</v>
      </c>
      <c r="G19" s="1688">
        <f t="shared" si="4"/>
        <v>26425</v>
      </c>
      <c r="H19" s="1688">
        <f t="shared" si="4"/>
        <v>0</v>
      </c>
      <c r="I19" s="468"/>
      <c r="J19" s="1688">
        <f>SUM(J17:J18)</f>
        <v>91380</v>
      </c>
      <c r="K19" s="1688">
        <f>SUM(K17:K18)</f>
        <v>7065</v>
      </c>
      <c r="L19" s="347"/>
    </row>
    <row r="20" spans="1:12" ht="16.5" thickTop="1" thickBot="1" x14ac:dyDescent="0.25">
      <c r="A20" s="2130" t="s">
        <v>1655</v>
      </c>
      <c r="B20" s="2131"/>
      <c r="C20" s="1746">
        <f>C8-C17</f>
        <v>34376</v>
      </c>
      <c r="D20" s="1746">
        <f t="shared" ref="D20:K20" si="5">D8-D17</f>
        <v>16335</v>
      </c>
      <c r="E20" s="1746">
        <f t="shared" si="5"/>
        <v>-505</v>
      </c>
      <c r="F20" s="1746">
        <f t="shared" si="5"/>
        <v>21356</v>
      </c>
      <c r="G20" s="1746">
        <f t="shared" si="5"/>
        <v>6665</v>
      </c>
      <c r="H20" s="1746">
        <f t="shared" si="5"/>
        <v>0</v>
      </c>
      <c r="I20" s="1746">
        <f t="shared" si="5"/>
        <v>8777</v>
      </c>
      <c r="J20" s="1746">
        <f t="shared" si="5"/>
        <v>2854</v>
      </c>
      <c r="K20" s="1746">
        <f t="shared" si="5"/>
        <v>1712</v>
      </c>
      <c r="L20" s="347"/>
    </row>
    <row r="21" spans="1:12" ht="16.7" customHeight="1" thickTop="1" x14ac:dyDescent="0.2">
      <c r="A21" s="2142" t="s">
        <v>595</v>
      </c>
      <c r="B21" s="2143"/>
      <c r="C21" s="1570"/>
      <c r="D21" s="1571"/>
      <c r="E21" s="1571"/>
      <c r="F21" s="1571"/>
      <c r="G21" s="1571"/>
      <c r="H21" s="1571"/>
      <c r="I21" s="1571"/>
      <c r="J21" s="1571"/>
      <c r="K21" s="1572"/>
      <c r="L21" s="524"/>
    </row>
    <row r="22" spans="1:12" ht="15.75" customHeight="1" collapsed="1" x14ac:dyDescent="0.2">
      <c r="A22" s="2138" t="s">
        <v>596</v>
      </c>
      <c r="B22" s="2139"/>
      <c r="C22" s="477"/>
      <c r="D22" s="477"/>
      <c r="E22" s="477"/>
      <c r="F22" s="477"/>
      <c r="G22" s="477"/>
      <c r="H22" s="477"/>
      <c r="I22" s="477"/>
      <c r="J22" s="477"/>
      <c r="K22" s="477"/>
      <c r="L22" s="347"/>
    </row>
    <row r="23" spans="1:12" s="485" customFormat="1" ht="15.75" customHeight="1" x14ac:dyDescent="0.2">
      <c r="A23" s="2134" t="s">
        <v>293</v>
      </c>
      <c r="B23" s="2135"/>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6" t="s">
        <v>981</v>
      </c>
      <c r="B32" s="2137"/>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4" t="s">
        <v>374</v>
      </c>
      <c r="B44" s="2145"/>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0" t="s">
        <v>440</v>
      </c>
      <c r="B76" s="2121"/>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2" t="s">
        <v>1177</v>
      </c>
      <c r="B77" s="2123"/>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6" t="s">
        <v>597</v>
      </c>
      <c r="B78" s="2127"/>
      <c r="C78" s="1702">
        <f t="shared" ref="C78:K78" si="9">C20+C77</f>
        <v>34376</v>
      </c>
      <c r="D78" s="1702">
        <f t="shared" si="9"/>
        <v>16335</v>
      </c>
      <c r="E78" s="1702">
        <f t="shared" si="9"/>
        <v>-505</v>
      </c>
      <c r="F78" s="1702">
        <f t="shared" si="9"/>
        <v>21356</v>
      </c>
      <c r="G78" s="1702">
        <f t="shared" si="9"/>
        <v>6665</v>
      </c>
      <c r="H78" s="1702">
        <f t="shared" si="9"/>
        <v>0</v>
      </c>
      <c r="I78" s="1702">
        <f t="shared" si="9"/>
        <v>8777</v>
      </c>
      <c r="J78" s="1702">
        <f t="shared" si="9"/>
        <v>2854</v>
      </c>
      <c r="K78" s="1702">
        <f t="shared" si="9"/>
        <v>1712</v>
      </c>
      <c r="L78" s="533"/>
    </row>
    <row r="79" spans="1:12" ht="13.5" thickTop="1" x14ac:dyDescent="0.2">
      <c r="A79" s="1494" t="s">
        <v>1949</v>
      </c>
      <c r="B79" s="534"/>
      <c r="C79" s="478">
        <v>93182</v>
      </c>
      <c r="D79" s="535">
        <v>105785</v>
      </c>
      <c r="E79" s="535">
        <v>736</v>
      </c>
      <c r="F79" s="535">
        <v>85036</v>
      </c>
      <c r="G79" s="535">
        <v>25305</v>
      </c>
      <c r="H79" s="535"/>
      <c r="I79" s="535">
        <v>46126</v>
      </c>
      <c r="J79" s="535">
        <v>36279</v>
      </c>
      <c r="K79" s="535">
        <v>48023</v>
      </c>
      <c r="L79" s="347"/>
    </row>
    <row r="80" spans="1:12" x14ac:dyDescent="0.2">
      <c r="A80" s="2132" t="s">
        <v>1795</v>
      </c>
      <c r="B80" s="2133"/>
      <c r="C80" s="467"/>
      <c r="D80" s="467"/>
      <c r="E80" s="467"/>
      <c r="F80" s="467"/>
      <c r="G80" s="467"/>
      <c r="H80" s="467"/>
      <c r="I80" s="467"/>
      <c r="J80" s="467"/>
      <c r="K80" s="467"/>
      <c r="L80" s="347"/>
    </row>
    <row r="81" spans="1:12" ht="13.5" thickBot="1" x14ac:dyDescent="0.25">
      <c r="A81" s="2124" t="s">
        <v>1950</v>
      </c>
      <c r="B81" s="2125"/>
      <c r="C81" s="1688">
        <f>(SUM(C78:C80))</f>
        <v>127558</v>
      </c>
      <c r="D81" s="1688">
        <f>SUM(D78:D80)</f>
        <v>122120</v>
      </c>
      <c r="E81" s="1688">
        <f t="shared" ref="E81:K81" si="10">SUM(E78:E80)</f>
        <v>231</v>
      </c>
      <c r="F81" s="1688">
        <f t="shared" si="10"/>
        <v>106392</v>
      </c>
      <c r="G81" s="1688">
        <f t="shared" si="10"/>
        <v>31970</v>
      </c>
      <c r="H81" s="1688">
        <f t="shared" si="10"/>
        <v>0</v>
      </c>
      <c r="I81" s="1688">
        <f t="shared" si="10"/>
        <v>54903</v>
      </c>
      <c r="J81" s="1688">
        <f t="shared" si="10"/>
        <v>39133</v>
      </c>
      <c r="K81" s="1688">
        <f t="shared" si="10"/>
        <v>49735</v>
      </c>
      <c r="L81" s="347"/>
    </row>
    <row r="82" spans="1:12" ht="0.75" customHeight="1" thickTop="1" thickBot="1" x14ac:dyDescent="0.25">
      <c r="A82" s="536" t="s">
        <v>343</v>
      </c>
      <c r="B82" s="537"/>
      <c r="C82" s="538">
        <f>(C81-C79)</f>
        <v>34376</v>
      </c>
      <c r="D82" s="538">
        <f t="shared" ref="D82:K82" si="11">(D81-D79)</f>
        <v>16335</v>
      </c>
      <c r="E82" s="538">
        <f t="shared" si="11"/>
        <v>-505</v>
      </c>
      <c r="F82" s="538">
        <f t="shared" si="11"/>
        <v>21356</v>
      </c>
      <c r="G82" s="538">
        <f t="shared" si="11"/>
        <v>6665</v>
      </c>
      <c r="H82" s="538">
        <f t="shared" si="11"/>
        <v>0</v>
      </c>
      <c r="I82" s="538">
        <f t="shared" si="11"/>
        <v>8777</v>
      </c>
      <c r="J82" s="538">
        <f t="shared" si="11"/>
        <v>2854</v>
      </c>
      <c r="K82" s="538">
        <f t="shared" si="11"/>
        <v>1712</v>
      </c>
    </row>
    <row r="83" spans="1:12" ht="14.25" hidden="1" thickTop="1" thickBot="1" x14ac:dyDescent="0.25">
      <c r="A83" s="539" t="s">
        <v>344</v>
      </c>
      <c r="B83" s="464"/>
      <c r="C83" s="540">
        <f>C82/C81</f>
        <v>0.26949309333793253</v>
      </c>
      <c r="D83" s="540">
        <f t="shared" ref="D83:K83" si="12">D82/D81</f>
        <v>0.1337618735669833</v>
      </c>
      <c r="E83" s="540">
        <f t="shared" si="12"/>
        <v>-2.1861471861471862</v>
      </c>
      <c r="F83" s="540">
        <f t="shared" si="12"/>
        <v>0.20072937814873298</v>
      </c>
      <c r="G83" s="540">
        <f t="shared" si="12"/>
        <v>0.20847669690334689</v>
      </c>
      <c r="H83" s="540" t="e">
        <f t="shared" si="12"/>
        <v>#DIV/0!</v>
      </c>
      <c r="I83" s="540">
        <f t="shared" si="12"/>
        <v>0.15986375972169098</v>
      </c>
      <c r="J83" s="540">
        <f t="shared" si="12"/>
        <v>7.2930774538113613E-2</v>
      </c>
      <c r="K83" s="540">
        <f t="shared" si="12"/>
        <v>3.4422438926309439E-2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&amp;Cthe Notes to the Financial Statements are an intregal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6" activePane="bottomLeft" state="frozen"/>
      <selection pane="bottomLeft" activeCell="D265" sqref="D2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1802</v>
      </c>
      <c r="B1" s="452"/>
      <c r="C1" s="453" t="s">
        <v>425</v>
      </c>
      <c r="D1" s="453" t="s">
        <v>426</v>
      </c>
      <c r="E1" s="453" t="s">
        <v>427</v>
      </c>
      <c r="F1" s="453" t="s">
        <v>428</v>
      </c>
      <c r="G1" s="453" t="s">
        <v>429</v>
      </c>
      <c r="H1" s="453" t="s">
        <v>430</v>
      </c>
      <c r="I1" s="453" t="s">
        <v>431</v>
      </c>
      <c r="J1" s="453" t="s">
        <v>432</v>
      </c>
      <c r="K1" s="453" t="s">
        <v>756</v>
      </c>
    </row>
    <row r="2" spans="1:12" ht="36" x14ac:dyDescent="0.2">
      <c r="A2" s="212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298315</v>
      </c>
      <c r="D5" s="481">
        <v>43870</v>
      </c>
      <c r="E5" s="466">
        <v>104535</v>
      </c>
      <c r="F5" s="548">
        <v>21057</v>
      </c>
      <c r="G5" s="466">
        <v>15463</v>
      </c>
      <c r="H5" s="466"/>
      <c r="I5" s="466">
        <v>8774</v>
      </c>
      <c r="J5" s="467">
        <v>94211</v>
      </c>
      <c r="K5" s="466">
        <v>8774</v>
      </c>
    </row>
    <row r="6" spans="1:12" ht="15" x14ac:dyDescent="0.2">
      <c r="A6" s="463" t="s">
        <v>1662</v>
      </c>
      <c r="B6" s="470">
        <v>1130</v>
      </c>
      <c r="C6" s="466">
        <v>8774</v>
      </c>
      <c r="D6" s="466"/>
      <c r="E6" s="475"/>
      <c r="F6" s="475"/>
      <c r="G6" s="468"/>
      <c r="H6" s="468"/>
      <c r="I6" s="468"/>
      <c r="J6" s="468"/>
      <c r="K6" s="468"/>
    </row>
    <row r="7" spans="1:12" x14ac:dyDescent="0.2">
      <c r="A7" s="463" t="s">
        <v>110</v>
      </c>
      <c r="B7" s="549">
        <v>1140</v>
      </c>
      <c r="C7" s="466">
        <v>3510</v>
      </c>
      <c r="D7" s="466"/>
      <c r="E7" s="468"/>
      <c r="F7" s="467"/>
      <c r="G7" s="467"/>
      <c r="H7" s="467"/>
      <c r="I7" s="468"/>
      <c r="J7" s="468"/>
      <c r="K7" s="468"/>
    </row>
    <row r="8" spans="1:12" x14ac:dyDescent="0.2">
      <c r="A8" s="463" t="s">
        <v>413</v>
      </c>
      <c r="B8" s="470">
        <v>1150</v>
      </c>
      <c r="C8" s="475"/>
      <c r="D8" s="475"/>
      <c r="E8" s="477"/>
      <c r="F8" s="477"/>
      <c r="G8" s="481">
        <v>15523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310599</v>
      </c>
      <c r="D12" s="1707">
        <f t="shared" si="0"/>
        <v>43870</v>
      </c>
      <c r="E12" s="1707">
        <f t="shared" si="0"/>
        <v>104535</v>
      </c>
      <c r="F12" s="1707">
        <f t="shared" si="0"/>
        <v>21057</v>
      </c>
      <c r="G12" s="1707">
        <f t="shared" si="0"/>
        <v>30986</v>
      </c>
      <c r="H12" s="1707">
        <f t="shared" si="0"/>
        <v>0</v>
      </c>
      <c r="I12" s="1707">
        <f t="shared" si="0"/>
        <v>8774</v>
      </c>
      <c r="J12" s="1707">
        <f t="shared" si="0"/>
        <v>94211</v>
      </c>
      <c r="K12" s="1688">
        <f t="shared" si="0"/>
        <v>8774</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100</v>
      </c>
      <c r="D14" s="466">
        <v>14</v>
      </c>
      <c r="E14" s="466">
        <v>36</v>
      </c>
      <c r="F14" s="466">
        <v>7</v>
      </c>
      <c r="G14" s="466">
        <v>6</v>
      </c>
      <c r="H14" s="466"/>
      <c r="I14" s="466">
        <v>3</v>
      </c>
      <c r="J14" s="467">
        <v>23</v>
      </c>
      <c r="K14" s="466">
        <v>3</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5000</v>
      </c>
      <c r="D16" s="466"/>
      <c r="E16" s="466"/>
      <c r="F16" s="466"/>
      <c r="G16" s="466">
        <v>2098</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5100</v>
      </c>
      <c r="D18" s="1710">
        <f t="shared" ref="D18:K18" si="1">SUM(D14:D17)</f>
        <v>14</v>
      </c>
      <c r="E18" s="1710">
        <f t="shared" si="1"/>
        <v>36</v>
      </c>
      <c r="F18" s="1710">
        <f t="shared" si="1"/>
        <v>7</v>
      </c>
      <c r="G18" s="1710">
        <f t="shared" si="1"/>
        <v>2104</v>
      </c>
      <c r="H18" s="1710">
        <f t="shared" si="1"/>
        <v>0</v>
      </c>
      <c r="I18" s="1710">
        <f t="shared" si="1"/>
        <v>3</v>
      </c>
      <c r="J18" s="1710">
        <f t="shared" si="1"/>
        <v>23</v>
      </c>
      <c r="K18" s="1711">
        <f t="shared" si="1"/>
        <v>3</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v>32955</v>
      </c>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32955</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2643</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2643</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22097</v>
      </c>
      <c r="D69" s="468"/>
      <c r="E69" s="468"/>
      <c r="F69" s="468"/>
      <c r="G69" s="468"/>
      <c r="H69" s="468"/>
      <c r="I69" s="468"/>
      <c r="J69" s="468"/>
      <c r="K69" s="468"/>
    </row>
    <row r="70" spans="1:11" ht="12.75" customHeight="1" x14ac:dyDescent="0.2">
      <c r="A70" s="463" t="s">
        <v>997</v>
      </c>
      <c r="B70" s="470">
        <v>1612</v>
      </c>
      <c r="C70" s="551">
        <v>692</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v>972</v>
      </c>
      <c r="D74" s="468"/>
      <c r="E74" s="468"/>
      <c r="F74" s="468"/>
      <c r="G74" s="468"/>
      <c r="H74" s="468"/>
      <c r="I74" s="468"/>
      <c r="J74" s="468"/>
      <c r="K74" s="468"/>
    </row>
    <row r="75" spans="1:11" ht="12.75" customHeight="1" thickBot="1" x14ac:dyDescent="0.25">
      <c r="A75" s="1708" t="s">
        <v>548</v>
      </c>
      <c r="B75" s="1709"/>
      <c r="C75" s="1688">
        <f>SUM(C69:C74)</f>
        <v>23761</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3280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3280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9562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9562</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3950</v>
      </c>
      <c r="E95" s="521"/>
      <c r="F95" s="521"/>
      <c r="G95" s="521"/>
      <c r="H95" s="521"/>
      <c r="I95" s="521"/>
      <c r="J95" s="521"/>
      <c r="K95" s="521"/>
    </row>
    <row r="96" spans="1:11" ht="12.75" customHeight="1" x14ac:dyDescent="0.2">
      <c r="A96" s="463" t="s">
        <v>391</v>
      </c>
      <c r="B96" s="470">
        <v>1920</v>
      </c>
      <c r="C96" s="551">
        <v>3442</v>
      </c>
      <c r="D96" s="551">
        <v>3700</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10527</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10555</v>
      </c>
      <c r="D107" s="466"/>
      <c r="E107" s="466"/>
      <c r="F107" s="466">
        <v>1725</v>
      </c>
      <c r="G107" s="466"/>
      <c r="H107" s="466"/>
      <c r="I107" s="466"/>
      <c r="J107" s="467"/>
      <c r="K107" s="466"/>
    </row>
    <row r="108" spans="1:12" ht="12.75" customHeight="1" thickBot="1" x14ac:dyDescent="0.25">
      <c r="A108" s="1708" t="s">
        <v>487</v>
      </c>
      <c r="B108" s="1712"/>
      <c r="C108" s="1707">
        <f>SUM(C95:C107)</f>
        <v>24524</v>
      </c>
      <c r="D108" s="1707">
        <f t="shared" ref="D108:K108" si="3">SUM(D95:D107)</f>
        <v>7650</v>
      </c>
      <c r="E108" s="1707">
        <f t="shared" si="3"/>
        <v>0</v>
      </c>
      <c r="F108" s="1707">
        <f t="shared" si="3"/>
        <v>1725</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379469</v>
      </c>
      <c r="D109" s="1715">
        <f t="shared" si="4"/>
        <v>51534</v>
      </c>
      <c r="E109" s="1715">
        <f t="shared" si="4"/>
        <v>104571</v>
      </c>
      <c r="F109" s="1715">
        <f t="shared" si="4"/>
        <v>55744</v>
      </c>
      <c r="G109" s="1715">
        <f t="shared" si="4"/>
        <v>33090</v>
      </c>
      <c r="H109" s="1715">
        <f t="shared" si="4"/>
        <v>0</v>
      </c>
      <c r="I109" s="1715">
        <f t="shared" si="4"/>
        <v>8777</v>
      </c>
      <c r="J109" s="1715">
        <f t="shared" si="4"/>
        <v>94234</v>
      </c>
      <c r="K109" s="1702">
        <f t="shared" si="4"/>
        <v>8777</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255506</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255506</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256</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256</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525</v>
      </c>
      <c r="G152" s="467"/>
      <c r="H152" s="468"/>
      <c r="I152" s="468"/>
      <c r="J152" s="468"/>
      <c r="K152" s="468"/>
    </row>
    <row r="153" spans="1:11" ht="12.75" customHeight="1" x14ac:dyDescent="0.2">
      <c r="A153" s="463" t="s">
        <v>1057</v>
      </c>
      <c r="B153" s="562">
        <v>3510</v>
      </c>
      <c r="C153" s="551"/>
      <c r="D153" s="466"/>
      <c r="E153" s="561"/>
      <c r="F153" s="466">
        <v>5293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5818</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8" t="s">
        <v>398</v>
      </c>
      <c r="B169" s="2149"/>
      <c r="C169" s="1722">
        <f t="shared" ref="C169:K169" si="6">SUM(C132,C141,C145,C146:C150,C155,C156:C167,C168)</f>
        <v>256</v>
      </c>
      <c r="D169" s="1722">
        <f t="shared" si="6"/>
        <v>0</v>
      </c>
      <c r="E169" s="1722">
        <f t="shared" si="6"/>
        <v>0</v>
      </c>
      <c r="F169" s="1722">
        <f t="shared" si="6"/>
        <v>5818</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255762</v>
      </c>
      <c r="D170" s="1715">
        <f t="shared" si="7"/>
        <v>0</v>
      </c>
      <c r="E170" s="1715">
        <f t="shared" si="7"/>
        <v>0</v>
      </c>
      <c r="F170" s="1715">
        <f t="shared" si="7"/>
        <v>5818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0" t="s">
        <v>1492</v>
      </c>
      <c r="B172" s="215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v>27912</v>
      </c>
      <c r="D174" s="466"/>
      <c r="E174" s="467"/>
      <c r="F174" s="466"/>
      <c r="G174" s="466"/>
      <c r="H174" s="467"/>
      <c r="I174" s="467"/>
      <c r="J174" s="467"/>
      <c r="K174" s="467"/>
    </row>
    <row r="175" spans="1:11" ht="13.5" thickBot="1" x14ac:dyDescent="0.25">
      <c r="A175" s="2154" t="s">
        <v>1665</v>
      </c>
      <c r="B175" s="2155"/>
      <c r="C175" s="1707">
        <f>SUM(C173:C174)</f>
        <v>27912</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8" t="s">
        <v>1664</v>
      </c>
      <c r="B176" s="215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6" t="s">
        <v>785</v>
      </c>
      <c r="B181" s="2157"/>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2" t="s">
        <v>1803</v>
      </c>
      <c r="B182" s="2153"/>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17626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17626</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4628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4628</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382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167</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v>2000</v>
      </c>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22803</v>
      </c>
      <c r="D266" s="1715">
        <f t="shared" si="10"/>
        <v>2000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50715</v>
      </c>
      <c r="D267" s="1715">
        <f>SUM(D175,D181,D266)</f>
        <v>2000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685946</v>
      </c>
      <c r="D268" s="1715">
        <f t="shared" si="12"/>
        <v>53534</v>
      </c>
      <c r="E268" s="1715">
        <f t="shared" si="12"/>
        <v>104571</v>
      </c>
      <c r="F268" s="1715">
        <f t="shared" si="12"/>
        <v>61562</v>
      </c>
      <c r="G268" s="1715">
        <f t="shared" si="12"/>
        <v>33090</v>
      </c>
      <c r="H268" s="1715">
        <f t="shared" si="12"/>
        <v>0</v>
      </c>
      <c r="I268" s="1715">
        <f t="shared" si="12"/>
        <v>8777</v>
      </c>
      <c r="J268" s="1715">
        <f t="shared" si="12"/>
        <v>94234</v>
      </c>
      <c r="K268" s="1702">
        <f t="shared" si="12"/>
        <v>8777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10" orientation="landscape" useFirstPageNumber="1" r:id="rId1"/>
  <headerFooter alignWithMargins="0">
    <oddHeader>&amp;L&amp;8Page &amp;P&amp;C&amp;"Arial,Bold"&amp;9STATEMENT OF REVENUES RECEIVED/REVENUES
FOR THE YEAR ENDING JUNE 30, 2019&amp;R&amp;8Page &amp;P</oddHeader>
    <oddFooter>&amp;CThe Notes to the Financial Statements are an intregal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52" activePane="bottomLeft" state="frozen"/>
      <selection pane="bottomLeft" activeCell="E350" sqref="E35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6" t="s">
        <v>297</v>
      </c>
      <c r="B3" s="2167"/>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346368</v>
      </c>
      <c r="D5" s="466">
        <v>52263</v>
      </c>
      <c r="E5" s="466">
        <v>853</v>
      </c>
      <c r="F5" s="466">
        <v>17076</v>
      </c>
      <c r="G5" s="466"/>
      <c r="H5" s="466"/>
      <c r="I5" s="467"/>
      <c r="J5" s="467"/>
      <c r="K5" s="1671">
        <f>SUM(C5:J5)</f>
        <v>416560</v>
      </c>
      <c r="L5" s="466">
        <v>420500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2096</v>
      </c>
      <c r="D8" s="466"/>
      <c r="E8" s="466"/>
      <c r="F8" s="466"/>
      <c r="G8" s="466"/>
      <c r="H8" s="466"/>
      <c r="I8" s="467"/>
      <c r="J8" s="467"/>
      <c r="K8" s="1671">
        <f t="shared" si="0"/>
        <v>2096</v>
      </c>
      <c r="L8" s="466">
        <v>15250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60314</v>
      </c>
      <c r="D10" s="466"/>
      <c r="E10" s="466">
        <v>6776</v>
      </c>
      <c r="F10" s="466"/>
      <c r="G10" s="466"/>
      <c r="H10" s="466"/>
      <c r="I10" s="467"/>
      <c r="J10" s="467"/>
      <c r="K10" s="1671">
        <f t="shared" si="0"/>
        <v>67090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c r="D14" s="466"/>
      <c r="E14" s="466">
        <v>7794</v>
      </c>
      <c r="F14" s="466">
        <v>234</v>
      </c>
      <c r="G14" s="466"/>
      <c r="H14" s="466"/>
      <c r="I14" s="467"/>
      <c r="J14" s="467"/>
      <c r="K14" s="1671">
        <f t="shared" si="0"/>
        <v>8028</v>
      </c>
      <c r="L14" s="466">
        <v>5100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408778</v>
      </c>
      <c r="D33" s="1670">
        <f t="shared" ref="D33:L33" si="1">SUM(D5:D32)</f>
        <v>52263</v>
      </c>
      <c r="E33" s="1670">
        <f t="shared" si="1"/>
        <v>15423</v>
      </c>
      <c r="F33" s="1670">
        <f t="shared" si="1"/>
        <v>17310</v>
      </c>
      <c r="G33" s="1670">
        <f t="shared" si="1"/>
        <v>0</v>
      </c>
      <c r="H33" s="1670">
        <f t="shared" si="1"/>
        <v>0</v>
      </c>
      <c r="I33" s="1670">
        <f t="shared" si="1"/>
        <v>0</v>
      </c>
      <c r="J33" s="1670">
        <f t="shared" si="1"/>
        <v>0</v>
      </c>
      <c r="K33" s="1670">
        <f t="shared" si="1"/>
        <v>493774</v>
      </c>
      <c r="L33" s="1670">
        <f t="shared" si="1"/>
        <v>440850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0</v>
      </c>
      <c r="F42" s="1670">
        <f t="shared" si="3"/>
        <v>0</v>
      </c>
      <c r="G42" s="1670">
        <f t="shared" si="3"/>
        <v>0</v>
      </c>
      <c r="H42" s="1670">
        <f t="shared" si="3"/>
        <v>0</v>
      </c>
      <c r="I42" s="1670">
        <f t="shared" si="3"/>
        <v>0</v>
      </c>
      <c r="J42" s="1670">
        <f t="shared" si="3"/>
        <v>0</v>
      </c>
      <c r="K42" s="1670">
        <f t="shared" si="3"/>
        <v>0</v>
      </c>
      <c r="L42" s="1670">
        <f t="shared" si="3"/>
        <v>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0</v>
      </c>
      <c r="F47" s="1670">
        <f t="shared" si="4"/>
        <v>0</v>
      </c>
      <c r="G47" s="1670">
        <f t="shared" si="4"/>
        <v>0</v>
      </c>
      <c r="H47" s="1670">
        <f t="shared" si="4"/>
        <v>0</v>
      </c>
      <c r="I47" s="1670">
        <f t="shared" si="4"/>
        <v>0</v>
      </c>
      <c r="J47" s="1670">
        <f t="shared" si="4"/>
        <v>0</v>
      </c>
      <c r="K47" s="1670">
        <f t="shared" si="4"/>
        <v>0</v>
      </c>
      <c r="L47" s="1670">
        <f>SUM(L44:L46)</f>
        <v>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5751</v>
      </c>
      <c r="F49" s="481">
        <v>1236</v>
      </c>
      <c r="G49" s="481"/>
      <c r="H49" s="481"/>
      <c r="I49" s="467"/>
      <c r="J49" s="467"/>
      <c r="K49" s="1672">
        <f>SUM(C49:J49)</f>
        <v>6987</v>
      </c>
      <c r="L49" s="481">
        <v>6700</v>
      </c>
    </row>
    <row r="50" spans="1:14" x14ac:dyDescent="0.2">
      <c r="A50" s="1504" t="s">
        <v>818</v>
      </c>
      <c r="B50" s="614">
        <v>2320</v>
      </c>
      <c r="C50" s="466">
        <v>51089</v>
      </c>
      <c r="D50" s="466">
        <v>7710</v>
      </c>
      <c r="E50" s="466">
        <v>1685</v>
      </c>
      <c r="F50" s="466">
        <v>688</v>
      </c>
      <c r="G50" s="466"/>
      <c r="H50" s="466"/>
      <c r="I50" s="467"/>
      <c r="J50" s="467"/>
      <c r="K50" s="1672">
        <f>SUM(C50:J50)</f>
        <v>61172</v>
      </c>
      <c r="L50" s="466">
        <v>64500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51089</v>
      </c>
      <c r="D53" s="1670">
        <f t="shared" ref="D53:L53" si="5">SUM(D49:D52)</f>
        <v>7710</v>
      </c>
      <c r="E53" s="1670">
        <f t="shared" si="5"/>
        <v>7436</v>
      </c>
      <c r="F53" s="1670">
        <f t="shared" si="5"/>
        <v>1924</v>
      </c>
      <c r="G53" s="1670">
        <f t="shared" si="5"/>
        <v>0</v>
      </c>
      <c r="H53" s="1670">
        <f t="shared" si="5"/>
        <v>0</v>
      </c>
      <c r="I53" s="1670">
        <f t="shared" si="5"/>
        <v>0</v>
      </c>
      <c r="J53" s="1670">
        <f t="shared" si="5"/>
        <v>0</v>
      </c>
      <c r="K53" s="1670">
        <f t="shared" si="5"/>
        <v>68159</v>
      </c>
      <c r="L53" s="1670">
        <f t="shared" si="5"/>
        <v>71200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15106</v>
      </c>
      <c r="D55" s="481"/>
      <c r="E55" s="481"/>
      <c r="F55" s="481"/>
      <c r="G55" s="481"/>
      <c r="H55" s="481"/>
      <c r="I55" s="467"/>
      <c r="J55" s="467"/>
      <c r="K55" s="1672">
        <f>SUM(C55:J55)</f>
        <v>15106</v>
      </c>
      <c r="L55" s="481">
        <v>15500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15106</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15106</v>
      </c>
      <c r="L57" s="1670">
        <f>SUM(L55:L56)</f>
        <v>15500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v>24941</v>
      </c>
      <c r="F61" s="466">
        <v>68</v>
      </c>
      <c r="G61" s="466"/>
      <c r="H61" s="466"/>
      <c r="I61" s="467"/>
      <c r="J61" s="467"/>
      <c r="K61" s="1672">
        <f t="shared" si="7"/>
        <v>25009</v>
      </c>
      <c r="L61" s="466">
        <v>25600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16664</v>
      </c>
      <c r="D63" s="466"/>
      <c r="E63" s="466">
        <v>2158</v>
      </c>
      <c r="F63" s="466">
        <v>19974</v>
      </c>
      <c r="G63" s="466"/>
      <c r="H63" s="466"/>
      <c r="I63" s="467"/>
      <c r="J63" s="467"/>
      <c r="K63" s="1672">
        <f t="shared" si="7"/>
        <v>38796</v>
      </c>
      <c r="L63" s="466">
        <v>38900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16664</v>
      </c>
      <c r="D65" s="1670">
        <f t="shared" ref="D65:L65" si="8">SUM(D59:D64)</f>
        <v>0</v>
      </c>
      <c r="E65" s="1670">
        <f t="shared" si="8"/>
        <v>27099</v>
      </c>
      <c r="F65" s="1670">
        <f t="shared" si="8"/>
        <v>20042</v>
      </c>
      <c r="G65" s="1670">
        <f t="shared" si="8"/>
        <v>0</v>
      </c>
      <c r="H65" s="1670">
        <f t="shared" si="8"/>
        <v>0</v>
      </c>
      <c r="I65" s="1670">
        <f t="shared" si="8"/>
        <v>0</v>
      </c>
      <c r="J65" s="1670">
        <f t="shared" si="8"/>
        <v>0</v>
      </c>
      <c r="K65" s="1670">
        <f t="shared" si="8"/>
        <v>63805</v>
      </c>
      <c r="L65" s="1670">
        <f t="shared" si="8"/>
        <v>64500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82859</v>
      </c>
      <c r="D74" s="1677">
        <f t="shared" ref="D74:K74" si="10">SUM(D42,D47,D53,D57,D65,D72,D73)</f>
        <v>7710</v>
      </c>
      <c r="E74" s="1677">
        <f t="shared" si="10"/>
        <v>34535</v>
      </c>
      <c r="F74" s="1677">
        <f t="shared" si="10"/>
        <v>21966</v>
      </c>
      <c r="G74" s="1677">
        <f t="shared" si="10"/>
        <v>0</v>
      </c>
      <c r="H74" s="1677">
        <f t="shared" si="10"/>
        <v>0</v>
      </c>
      <c r="I74" s="1677">
        <f t="shared" si="10"/>
        <v>0</v>
      </c>
      <c r="J74" s="1677">
        <f t="shared" si="10"/>
        <v>0</v>
      </c>
      <c r="K74" s="1677">
        <f t="shared" si="10"/>
        <v>147070</v>
      </c>
      <c r="L74" s="1677">
        <f>SUM(L42,L47,L53,L57,L65,L72,L73)</f>
        <v>151200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2191</v>
      </c>
      <c r="F78" s="616"/>
      <c r="G78" s="616"/>
      <c r="H78" s="634"/>
      <c r="I78" s="477"/>
      <c r="J78" s="477"/>
      <c r="K78" s="1671">
        <f t="shared" ref="K78:K83" si="11">SUM(C78:J78)</f>
        <v>2191</v>
      </c>
      <c r="L78" s="481"/>
    </row>
    <row r="79" spans="1:14" x14ac:dyDescent="0.2">
      <c r="A79" s="1504" t="s">
        <v>304</v>
      </c>
      <c r="B79" s="614">
        <v>4120</v>
      </c>
      <c r="C79" s="616"/>
      <c r="D79" s="616"/>
      <c r="E79" s="466">
        <v>8535</v>
      </c>
      <c r="F79" s="616"/>
      <c r="G79" s="616"/>
      <c r="H79" s="466"/>
      <c r="I79" s="477"/>
      <c r="J79" s="477"/>
      <c r="K79" s="1671">
        <f t="shared" si="11"/>
        <v>8535</v>
      </c>
      <c r="L79" s="466">
        <v>17200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10726</v>
      </c>
      <c r="F84" s="616"/>
      <c r="G84" s="616"/>
      <c r="H84" s="1670">
        <f>SUM(H78:H83)</f>
        <v>0</v>
      </c>
      <c r="I84" s="477"/>
      <c r="J84" s="477"/>
      <c r="K84" s="1670">
        <f>SUM(K78:K83)</f>
        <v>10726</v>
      </c>
      <c r="L84" s="1670">
        <f>SUM(L78:L83)</f>
        <v>17200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10726</v>
      </c>
      <c r="F102" s="616"/>
      <c r="G102" s="616"/>
      <c r="H102" s="1677">
        <f>SUM(H84,H92,H100,H101)</f>
        <v>0</v>
      </c>
      <c r="I102" s="477"/>
      <c r="J102" s="477"/>
      <c r="K102" s="1677">
        <f>SUM(K84,K92,K100,K101)</f>
        <v>10726</v>
      </c>
      <c r="L102" s="1677">
        <f>SUM(L84,L92,L100,L101)</f>
        <v>17200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491637</v>
      </c>
      <c r="D114" s="1670">
        <f t="shared" ref="D114:K114" si="13">SUM(D33,D74,D75,D102,D112,D113)</f>
        <v>59973</v>
      </c>
      <c r="E114" s="1670">
        <f t="shared" si="13"/>
        <v>60684</v>
      </c>
      <c r="F114" s="1670">
        <f t="shared" si="13"/>
        <v>39276</v>
      </c>
      <c r="G114" s="1670">
        <f t="shared" si="13"/>
        <v>0</v>
      </c>
      <c r="H114" s="1670">
        <f>SUM(H33,H74,H75,H102,H112,H113)</f>
        <v>0</v>
      </c>
      <c r="I114" s="1670">
        <f t="shared" si="13"/>
        <v>0</v>
      </c>
      <c r="J114" s="1670">
        <f t="shared" si="13"/>
        <v>0</v>
      </c>
      <c r="K114" s="1670">
        <f t="shared" si="13"/>
        <v>651570</v>
      </c>
      <c r="L114" s="1670">
        <f>SUM(L33,L74,L75,L102,L112,L113)</f>
        <v>609250</v>
      </c>
    </row>
    <row r="115" spans="1:14" ht="13.5" thickTop="1" x14ac:dyDescent="0.2">
      <c r="A115" s="2185" t="s">
        <v>996</v>
      </c>
      <c r="B115" s="2186"/>
      <c r="C115" s="618"/>
      <c r="D115" s="618"/>
      <c r="E115" s="618"/>
      <c r="F115" s="618"/>
      <c r="G115" s="618"/>
      <c r="H115" s="618"/>
      <c r="I115" s="618"/>
      <c r="J115" s="618"/>
      <c r="K115" s="1684">
        <f>'Revenues 9-14'!C268-'Expenditures 15-22'!K114</f>
        <v>34376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296</v>
      </c>
      <c r="B117" s="2164"/>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15639</v>
      </c>
      <c r="D124" s="466"/>
      <c r="E124" s="466">
        <v>5656</v>
      </c>
      <c r="F124" s="466">
        <v>15904</v>
      </c>
      <c r="G124" s="466"/>
      <c r="H124" s="466"/>
      <c r="I124" s="467"/>
      <c r="J124" s="467"/>
      <c r="K124" s="1670">
        <f>SUM(C124:J124)</f>
        <v>37199</v>
      </c>
      <c r="L124" s="466">
        <v>63200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15639</v>
      </c>
      <c r="D127" s="1670">
        <f t="shared" ref="D127:L127" si="14">SUM(D122:D126)</f>
        <v>0</v>
      </c>
      <c r="E127" s="1670">
        <f t="shared" si="14"/>
        <v>5656</v>
      </c>
      <c r="F127" s="1670">
        <f t="shared" si="14"/>
        <v>15904</v>
      </c>
      <c r="G127" s="1670">
        <f t="shared" si="14"/>
        <v>0</v>
      </c>
      <c r="H127" s="1670">
        <f t="shared" si="14"/>
        <v>0</v>
      </c>
      <c r="I127" s="1670">
        <f t="shared" si="14"/>
        <v>0</v>
      </c>
      <c r="J127" s="1670">
        <f t="shared" si="14"/>
        <v>0</v>
      </c>
      <c r="K127" s="1670">
        <f t="shared" si="14"/>
        <v>37199</v>
      </c>
      <c r="L127" s="1670">
        <f t="shared" si="14"/>
        <v>63200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15639</v>
      </c>
      <c r="D129" s="1677">
        <f t="shared" ref="D129:L129" si="15">SUM(D120,D127,D128)</f>
        <v>0</v>
      </c>
      <c r="E129" s="1677">
        <f t="shared" si="15"/>
        <v>5656</v>
      </c>
      <c r="F129" s="1677">
        <f t="shared" si="15"/>
        <v>15904</v>
      </c>
      <c r="G129" s="1677">
        <f t="shared" si="15"/>
        <v>0</v>
      </c>
      <c r="H129" s="1677">
        <f t="shared" si="15"/>
        <v>0</v>
      </c>
      <c r="I129" s="1677">
        <f t="shared" si="15"/>
        <v>0</v>
      </c>
      <c r="J129" s="1677">
        <f t="shared" si="15"/>
        <v>0</v>
      </c>
      <c r="K129" s="1677">
        <f t="shared" si="15"/>
        <v>37199</v>
      </c>
      <c r="L129" s="1677">
        <f t="shared" si="15"/>
        <v>63200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5" t="s">
        <v>620</v>
      </c>
      <c r="B151" s="2157"/>
      <c r="C151" s="1670">
        <f>SUM(C129,C130,C139,C149,C150)</f>
        <v>15639</v>
      </c>
      <c r="D151" s="1670">
        <f t="shared" ref="D151:K151" si="16">SUM(D129,D130,D139,D149,D150)</f>
        <v>0</v>
      </c>
      <c r="E151" s="1670">
        <f t="shared" si="16"/>
        <v>5656</v>
      </c>
      <c r="F151" s="1670">
        <f t="shared" si="16"/>
        <v>15904</v>
      </c>
      <c r="G151" s="1670">
        <f t="shared" si="16"/>
        <v>0</v>
      </c>
      <c r="H151" s="1670">
        <f t="shared" si="16"/>
        <v>0</v>
      </c>
      <c r="I151" s="1670">
        <f t="shared" si="16"/>
        <v>0</v>
      </c>
      <c r="J151" s="1670">
        <f t="shared" si="16"/>
        <v>0</v>
      </c>
      <c r="K151" s="1670">
        <f t="shared" si="16"/>
        <v>37199</v>
      </c>
      <c r="L151" s="1670">
        <f>SUM(L129,L130,L139,L149,L150)</f>
        <v>63200</v>
      </c>
    </row>
    <row r="152" spans="1:14" ht="12.75" customHeight="1" thickTop="1" x14ac:dyDescent="0.2">
      <c r="A152" s="2178" t="s">
        <v>1178</v>
      </c>
      <c r="B152" s="2179"/>
      <c r="C152" s="618"/>
      <c r="D152" s="618"/>
      <c r="E152" s="618"/>
      <c r="F152" s="618"/>
      <c r="G152" s="618"/>
      <c r="H152" s="618"/>
      <c r="I152" s="618"/>
      <c r="J152" s="616"/>
      <c r="K152" s="1684">
        <f>'Revenues 9-14'!D268-'Expenditures 15-22'!K151</f>
        <v>16335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621</v>
      </c>
      <c r="B154" s="216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49576</v>
      </c>
      <c r="I169" s="616"/>
      <c r="J169" s="616"/>
      <c r="K169" s="1671">
        <f>SUM(C169:H169)</f>
        <v>49576</v>
      </c>
      <c r="L169" s="656">
        <v>54076</v>
      </c>
    </row>
    <row r="170" spans="1:14" ht="33.75" customHeight="1" x14ac:dyDescent="0.2">
      <c r="A170" s="669" t="s">
        <v>1670</v>
      </c>
      <c r="B170" s="671" t="s">
        <v>31</v>
      </c>
      <c r="C170" s="616"/>
      <c r="D170" s="616"/>
      <c r="E170" s="616"/>
      <c r="F170" s="616"/>
      <c r="G170" s="616"/>
      <c r="H170" s="569">
        <v>55000</v>
      </c>
      <c r="I170" s="616"/>
      <c r="J170" s="616"/>
      <c r="K170" s="1671">
        <f>SUM(C170:J170)</f>
        <v>55000</v>
      </c>
      <c r="L170" s="569">
        <v>50000</v>
      </c>
    </row>
    <row r="171" spans="1:14" ht="15.75" customHeight="1" x14ac:dyDescent="0.2">
      <c r="A171" s="621" t="s">
        <v>766</v>
      </c>
      <c r="B171" s="672" t="s">
        <v>84</v>
      </c>
      <c r="C171" s="616"/>
      <c r="D171" s="616"/>
      <c r="E171" s="466"/>
      <c r="F171" s="616"/>
      <c r="G171" s="616"/>
      <c r="H171" s="569">
        <v>500</v>
      </c>
      <c r="I171" s="477"/>
      <c r="J171" s="616"/>
      <c r="K171" s="1671">
        <f>SUM(C171:J171)</f>
        <v>500</v>
      </c>
      <c r="L171" s="569">
        <v>500</v>
      </c>
    </row>
    <row r="172" spans="1:14" ht="12.75" customHeight="1" thickBot="1" x14ac:dyDescent="0.25">
      <c r="A172" s="1668" t="s">
        <v>638</v>
      </c>
      <c r="B172" s="1669" t="s">
        <v>492</v>
      </c>
      <c r="C172" s="616"/>
      <c r="D172" s="616"/>
      <c r="E172" s="1677">
        <f>SUM(E168,E169,E170,E171)</f>
        <v>0</v>
      </c>
      <c r="F172" s="616"/>
      <c r="G172" s="616"/>
      <c r="H172" s="1677">
        <f>SUM(H168,H169,H170,H171)</f>
        <v>105076</v>
      </c>
      <c r="I172" s="638"/>
      <c r="J172" s="616"/>
      <c r="K172" s="1677">
        <f>SUM(K168,K169,K170,K171)</f>
        <v>105076</v>
      </c>
      <c r="L172" s="1677">
        <f>SUM(L168,L169,L170,L171)</f>
        <v>104576</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105076</v>
      </c>
      <c r="I174" s="638"/>
      <c r="J174" s="616"/>
      <c r="K174" s="1677">
        <f>SUM(K160,K172,K173)</f>
        <v>105076</v>
      </c>
      <c r="L174" s="1677">
        <f>SUM(L160,L172,L173)</f>
        <v>104576</v>
      </c>
    </row>
    <row r="175" spans="1:14" ht="13.5" thickTop="1" x14ac:dyDescent="0.2">
      <c r="A175" s="2185" t="s">
        <v>996</v>
      </c>
      <c r="B175" s="2186"/>
      <c r="C175" s="616"/>
      <c r="D175" s="616"/>
      <c r="E175" s="616"/>
      <c r="F175" s="616"/>
      <c r="G175" s="616"/>
      <c r="H175" s="618"/>
      <c r="I175" s="616"/>
      <c r="J175" s="616"/>
      <c r="K175" s="1684">
        <f>'Revenues 9-14'!E268-'Expenditures 15-22'!K174</f>
        <v>-505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25464</v>
      </c>
      <c r="D182" s="466"/>
      <c r="E182" s="466">
        <v>1553</v>
      </c>
      <c r="F182" s="466">
        <v>13189</v>
      </c>
      <c r="G182" s="466"/>
      <c r="H182" s="466"/>
      <c r="I182" s="467"/>
      <c r="J182" s="467"/>
      <c r="K182" s="1671">
        <f>SUM(C182:J182)</f>
        <v>40206</v>
      </c>
      <c r="L182" s="466">
        <v>55590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25464</v>
      </c>
      <c r="D184" s="1677">
        <f t="shared" ref="D184:J184" si="17">SUM(D180,D182,D183)</f>
        <v>0</v>
      </c>
      <c r="E184" s="1677">
        <f t="shared" si="17"/>
        <v>1553</v>
      </c>
      <c r="F184" s="1677">
        <f t="shared" si="17"/>
        <v>13189</v>
      </c>
      <c r="G184" s="1677">
        <f t="shared" si="17"/>
        <v>0</v>
      </c>
      <c r="H184" s="1677">
        <f t="shared" si="17"/>
        <v>0</v>
      </c>
      <c r="I184" s="1677">
        <f t="shared" si="17"/>
        <v>0</v>
      </c>
      <c r="J184" s="1677">
        <f t="shared" si="17"/>
        <v>0</v>
      </c>
      <c r="K184" s="1677">
        <f>SUM(K180,K182,K183)</f>
        <v>40206</v>
      </c>
      <c r="L184" s="1677">
        <f>SUM(L180, L182:L183)</f>
        <v>55590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25464</v>
      </c>
      <c r="D210" s="1670">
        <f>SUM(D184,D185)</f>
        <v>0</v>
      </c>
      <c r="E210" s="1670">
        <f>SUM(E184,E185,E196)</f>
        <v>1553</v>
      </c>
      <c r="F210" s="1670">
        <f>SUM(F184,F185)</f>
        <v>13189</v>
      </c>
      <c r="G210" s="1670">
        <f>SUM(G184,G185)</f>
        <v>0</v>
      </c>
      <c r="H210" s="1670">
        <f>SUM(H184,H185,H196,H208,H209)</f>
        <v>0</v>
      </c>
      <c r="I210" s="1670">
        <f>SUM(I184,I185)</f>
        <v>0</v>
      </c>
      <c r="J210" s="1670">
        <f>SUM(J184,J185)</f>
        <v>0</v>
      </c>
      <c r="K210" s="1671">
        <f>SUM(K184,K185,K196,K208,K209)</f>
        <v>40206</v>
      </c>
      <c r="L210" s="1670">
        <f>SUM(L184,L185,L196,L208,L209)</f>
        <v>55590</v>
      </c>
    </row>
    <row r="211" spans="1:14" ht="13.5" thickTop="1" x14ac:dyDescent="0.2">
      <c r="A211" s="2185" t="s">
        <v>996</v>
      </c>
      <c r="B211" s="2186"/>
      <c r="C211" s="618"/>
      <c r="D211" s="618"/>
      <c r="E211" s="618"/>
      <c r="F211" s="618"/>
      <c r="G211" s="618"/>
      <c r="H211" s="618"/>
      <c r="I211" s="616"/>
      <c r="J211" s="616"/>
      <c r="K211" s="1684">
        <f>'Revenues 9-14'!F268-'Expenditures 15-22'!K210</f>
        <v>21356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965</v>
      </c>
      <c r="B213" s="2181"/>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6713</v>
      </c>
      <c r="E215" s="616"/>
      <c r="F215" s="616"/>
      <c r="G215" s="616"/>
      <c r="H215" s="616"/>
      <c r="I215" s="616"/>
      <c r="J215" s="616"/>
      <c r="K215" s="1671">
        <f>D215</f>
        <v>6713</v>
      </c>
      <c r="L215" s="466">
        <v>57500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172</v>
      </c>
      <c r="E217" s="616"/>
      <c r="F217" s="616"/>
      <c r="G217" s="616"/>
      <c r="H217" s="616"/>
      <c r="I217" s="616"/>
      <c r="J217" s="616"/>
      <c r="K217" s="1671">
        <f t="shared" si="19"/>
        <v>172</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697</v>
      </c>
      <c r="E219" s="616"/>
      <c r="F219" s="616"/>
      <c r="G219" s="616"/>
      <c r="H219" s="616"/>
      <c r="I219" s="616"/>
      <c r="J219" s="616"/>
      <c r="K219" s="1671">
        <f t="shared" si="19"/>
        <v>697</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7582</v>
      </c>
      <c r="E229" s="616"/>
      <c r="F229" s="616"/>
      <c r="G229" s="616"/>
      <c r="H229" s="616"/>
      <c r="I229" s="616"/>
      <c r="J229" s="616"/>
      <c r="K229" s="1670">
        <f>SUM(K215:K228)</f>
        <v>7582</v>
      </c>
      <c r="L229" s="1670">
        <f>SUM(L215:L228)</f>
        <v>57500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58</v>
      </c>
      <c r="E240" s="616"/>
      <c r="F240" s="616"/>
      <c r="G240" s="616"/>
      <c r="H240" s="616"/>
      <c r="I240" s="616"/>
      <c r="J240" s="616"/>
      <c r="K240" s="1672">
        <f>D240</f>
        <v>58</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58</v>
      </c>
      <c r="E243" s="616"/>
      <c r="F243" s="616"/>
      <c r="G243" s="616"/>
      <c r="H243" s="616"/>
      <c r="I243" s="616"/>
      <c r="J243" s="616"/>
      <c r="K243" s="1670">
        <f>SUM(K240:K242)</f>
        <v>58</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6087</v>
      </c>
      <c r="E246" s="616"/>
      <c r="F246" s="616"/>
      <c r="G246" s="616"/>
      <c r="H246" s="616"/>
      <c r="I246" s="616"/>
      <c r="J246" s="616"/>
      <c r="K246" s="1672">
        <f t="shared" ref="K246:K256" si="21">D246</f>
        <v>6087</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220</v>
      </c>
      <c r="E254" s="616"/>
      <c r="F254" s="616"/>
      <c r="G254" s="616"/>
      <c r="H254" s="616"/>
      <c r="I254" s="616"/>
      <c r="J254" s="616"/>
      <c r="K254" s="1672">
        <f t="shared" si="21"/>
        <v>220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6307</v>
      </c>
      <c r="E257" s="616"/>
      <c r="F257" s="616"/>
      <c r="G257" s="616"/>
      <c r="H257" s="616"/>
      <c r="I257" s="616"/>
      <c r="J257" s="616"/>
      <c r="K257" s="1670">
        <f>SUM(K245:K256)</f>
        <v>6307</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4911</v>
      </c>
      <c r="E266" s="616"/>
      <c r="F266" s="616"/>
      <c r="G266" s="616"/>
      <c r="H266" s="616"/>
      <c r="I266" s="616"/>
      <c r="J266" s="616"/>
      <c r="K266" s="1672">
        <f t="shared" si="22"/>
        <v>4911</v>
      </c>
      <c r="L266" s="466"/>
    </row>
    <row r="267" spans="1:14" x14ac:dyDescent="0.2">
      <c r="A267" s="1504" t="s">
        <v>953</v>
      </c>
      <c r="B267" s="614">
        <v>2550</v>
      </c>
      <c r="C267" s="616"/>
      <c r="D267" s="466">
        <v>4221</v>
      </c>
      <c r="E267" s="616"/>
      <c r="F267" s="616"/>
      <c r="G267" s="616"/>
      <c r="H267" s="616"/>
      <c r="I267" s="616"/>
      <c r="J267" s="616"/>
      <c r="K267" s="1672">
        <f t="shared" si="22"/>
        <v>4221</v>
      </c>
      <c r="L267" s="466"/>
    </row>
    <row r="268" spans="1:14" x14ac:dyDescent="0.2">
      <c r="A268" s="1504" t="s">
        <v>100</v>
      </c>
      <c r="B268" s="614">
        <v>2560</v>
      </c>
      <c r="C268" s="616"/>
      <c r="D268" s="466">
        <v>3346</v>
      </c>
      <c r="E268" s="616"/>
      <c r="F268" s="616"/>
      <c r="G268" s="616"/>
      <c r="H268" s="616"/>
      <c r="I268" s="616"/>
      <c r="J268" s="616"/>
      <c r="K268" s="1672">
        <f t="shared" si="22"/>
        <v>3346</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12478</v>
      </c>
      <c r="E270" s="616"/>
      <c r="F270" s="616"/>
      <c r="G270" s="616"/>
      <c r="H270" s="616"/>
      <c r="I270" s="616"/>
      <c r="J270" s="616"/>
      <c r="K270" s="1670">
        <f>SUM(K263:K269)</f>
        <v>12478</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18843</v>
      </c>
      <c r="E279" s="616"/>
      <c r="F279" s="616"/>
      <c r="G279" s="616"/>
      <c r="H279" s="616"/>
      <c r="I279" s="616"/>
      <c r="J279" s="616"/>
      <c r="K279" s="1677">
        <f>SUM(K238,K243,K257,K261,K270,K277,K278)</f>
        <v>18843</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6" t="s">
        <v>505</v>
      </c>
      <c r="B295" s="2177"/>
      <c r="C295" s="616"/>
      <c r="D295" s="1670">
        <f>SUM(D229,D279,D280,D285)</f>
        <v>26425</v>
      </c>
      <c r="E295" s="616"/>
      <c r="F295" s="616"/>
      <c r="G295" s="616"/>
      <c r="H295" s="1670">
        <f>H293</f>
        <v>0</v>
      </c>
      <c r="I295" s="616"/>
      <c r="J295" s="616"/>
      <c r="K295" s="1670">
        <f>SUM(K229,K279,K280,K285,K293,K294)</f>
        <v>26425</v>
      </c>
      <c r="L295" s="1670">
        <f>SUM(L229,L279,L280,L285,L293,L294)</f>
        <v>57500</v>
      </c>
    </row>
    <row r="296" spans="1:14" ht="13.5" thickTop="1" x14ac:dyDescent="0.2">
      <c r="A296" s="2185" t="s">
        <v>996</v>
      </c>
      <c r="B296" s="2186"/>
      <c r="C296" s="616"/>
      <c r="D296" s="618"/>
      <c r="E296" s="616"/>
      <c r="F296" s="616"/>
      <c r="G296" s="616"/>
      <c r="H296" s="687"/>
      <c r="I296" s="616"/>
      <c r="J296" s="616"/>
      <c r="K296" s="1684">
        <f>'Revenues 9-14'!G268-'Expenditures 15-22'!K295</f>
        <v>6665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3" t="s">
        <v>277</v>
      </c>
      <c r="B312" s="2174"/>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9" t="s">
        <v>996</v>
      </c>
      <c r="B313" s="2170"/>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898</v>
      </c>
      <c r="B317" s="2183"/>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5189</v>
      </c>
      <c r="F320" s="467"/>
      <c r="G320" s="467"/>
      <c r="H320" s="467"/>
      <c r="I320" s="467"/>
      <c r="J320" s="467"/>
      <c r="K320" s="1671">
        <f t="shared" ref="K320:K327" si="24">SUM(C320:J320)</f>
        <v>5189</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7832</v>
      </c>
      <c r="F322" s="467"/>
      <c r="G322" s="467"/>
      <c r="H322" s="467"/>
      <c r="I322" s="467"/>
      <c r="J322" s="467"/>
      <c r="K322" s="1671">
        <f t="shared" si="24"/>
        <v>7832</v>
      </c>
      <c r="L322" s="467">
        <v>13676</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77000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73467</v>
      </c>
      <c r="D325" s="467">
        <v>2497</v>
      </c>
      <c r="E325" s="467">
        <v>2395</v>
      </c>
      <c r="F325" s="467"/>
      <c r="G325" s="467"/>
      <c r="H325" s="467"/>
      <c r="I325" s="467"/>
      <c r="J325" s="467"/>
      <c r="K325" s="1671">
        <f t="shared" si="24"/>
        <v>78359</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2500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73467</v>
      </c>
      <c r="D330" s="1670">
        <f t="shared" ref="D330:J330" si="25">SUM(D319:D329)</f>
        <v>2497</v>
      </c>
      <c r="E330" s="1670">
        <f t="shared" si="25"/>
        <v>15416</v>
      </c>
      <c r="F330" s="1670">
        <f t="shared" si="25"/>
        <v>0</v>
      </c>
      <c r="G330" s="1670">
        <f t="shared" si="25"/>
        <v>0</v>
      </c>
      <c r="H330" s="1670">
        <f t="shared" si="25"/>
        <v>0</v>
      </c>
      <c r="I330" s="1670">
        <f t="shared" si="25"/>
        <v>0</v>
      </c>
      <c r="J330" s="1670">
        <f t="shared" si="25"/>
        <v>0</v>
      </c>
      <c r="K330" s="1670">
        <f>SUM(K319:K329)</f>
        <v>91380</v>
      </c>
      <c r="L330" s="1670">
        <f>SUM(L319:L329)</f>
        <v>93176</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73467</v>
      </c>
      <c r="D342" s="1670">
        <f>SUM(D330)</f>
        <v>2497</v>
      </c>
      <c r="E342" s="1670">
        <f>SUM(E330)</f>
        <v>15416</v>
      </c>
      <c r="F342" s="1670">
        <f>SUM(F330)</f>
        <v>0</v>
      </c>
      <c r="G342" s="1670">
        <f>SUM(G330)</f>
        <v>0</v>
      </c>
      <c r="H342" s="1670">
        <f>SUM(H330,H334,H340)</f>
        <v>0</v>
      </c>
      <c r="I342" s="1670">
        <f>SUM(I330)</f>
        <v>0</v>
      </c>
      <c r="J342" s="1670">
        <f>SUM(J330)</f>
        <v>0</v>
      </c>
      <c r="K342" s="1670">
        <f>SUM(K330,K334,K340)</f>
        <v>91380</v>
      </c>
      <c r="L342" s="1677">
        <f>SUM(L330,L340,L341)</f>
        <v>93176</v>
      </c>
    </row>
    <row r="343" spans="1:14" ht="12.75" customHeight="1" thickTop="1" x14ac:dyDescent="0.2">
      <c r="A343" s="2171" t="s">
        <v>996</v>
      </c>
      <c r="B343" s="2172"/>
      <c r="C343" s="616"/>
      <c r="D343" s="616"/>
      <c r="E343" s="616"/>
      <c r="F343" s="616"/>
      <c r="G343" s="616"/>
      <c r="H343" s="616"/>
      <c r="I343" s="616"/>
      <c r="J343" s="616"/>
      <c r="K343" s="1684">
        <f>'Revenues 9-14'!J268-'Expenditures 15-22'!K342</f>
        <v>2854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966</v>
      </c>
      <c r="B345" s="2162"/>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7065</v>
      </c>
      <c r="F348" s="466"/>
      <c r="G348" s="466"/>
      <c r="H348" s="466"/>
      <c r="I348" s="467"/>
      <c r="J348" s="467"/>
      <c r="K348" s="1671">
        <f>SUM(C348:J348)</f>
        <v>7065</v>
      </c>
      <c r="L348" s="466">
        <v>5877</v>
      </c>
    </row>
    <row r="349" spans="1:14" x14ac:dyDescent="0.2">
      <c r="A349" s="1504" t="s">
        <v>197</v>
      </c>
      <c r="B349" s="614">
        <v>2540</v>
      </c>
      <c r="C349" s="466"/>
      <c r="D349" s="466"/>
      <c r="E349" s="466"/>
      <c r="F349" s="466"/>
      <c r="G349" s="466"/>
      <c r="H349" s="466"/>
      <c r="I349" s="467"/>
      <c r="J349" s="467"/>
      <c r="K349" s="1671">
        <f>SUM(C349:J349)</f>
        <v>0</v>
      </c>
      <c r="L349" s="466">
        <v>2900</v>
      </c>
    </row>
    <row r="350" spans="1:14" ht="12.75" customHeight="1" thickBot="1" x14ac:dyDescent="0.25">
      <c r="A350" s="1668" t="s">
        <v>719</v>
      </c>
      <c r="B350" s="1669" t="s">
        <v>35</v>
      </c>
      <c r="C350" s="1670">
        <f>SUM(C348:C349)</f>
        <v>0</v>
      </c>
      <c r="D350" s="1670">
        <f t="shared" ref="D350:L350" si="26">SUM(D348:D349)</f>
        <v>0</v>
      </c>
      <c r="E350" s="1670">
        <f t="shared" si="26"/>
        <v>7065</v>
      </c>
      <c r="F350" s="1670">
        <f t="shared" si="26"/>
        <v>0</v>
      </c>
      <c r="G350" s="1670">
        <f t="shared" si="26"/>
        <v>0</v>
      </c>
      <c r="H350" s="1670">
        <f t="shared" si="26"/>
        <v>0</v>
      </c>
      <c r="I350" s="1670">
        <f t="shared" si="26"/>
        <v>0</v>
      </c>
      <c r="J350" s="1670">
        <f t="shared" si="26"/>
        <v>0</v>
      </c>
      <c r="K350" s="1670">
        <f t="shared" si="26"/>
        <v>7065</v>
      </c>
      <c r="L350" s="1670">
        <f t="shared" si="26"/>
        <v>8777</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7065</v>
      </c>
      <c r="F352" s="1670">
        <f t="shared" si="27"/>
        <v>0</v>
      </c>
      <c r="G352" s="1670">
        <f t="shared" si="27"/>
        <v>0</v>
      </c>
      <c r="H352" s="1670">
        <f t="shared" si="27"/>
        <v>0</v>
      </c>
      <c r="I352" s="1670">
        <f t="shared" si="27"/>
        <v>0</v>
      </c>
      <c r="J352" s="1670">
        <f t="shared" si="27"/>
        <v>0</v>
      </c>
      <c r="K352" s="1670">
        <f t="shared" si="27"/>
        <v>7065</v>
      </c>
      <c r="L352" s="1670">
        <f t="shared" si="27"/>
        <v>8777</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7065</v>
      </c>
      <c r="F367" s="1670">
        <f t="shared" si="28"/>
        <v>0</v>
      </c>
      <c r="G367" s="1670">
        <f t="shared" si="28"/>
        <v>0</v>
      </c>
      <c r="H367" s="1670">
        <f t="shared" si="28"/>
        <v>0</v>
      </c>
      <c r="I367" s="1670">
        <f t="shared" si="28"/>
        <v>0</v>
      </c>
      <c r="J367" s="1670">
        <f t="shared" si="28"/>
        <v>0</v>
      </c>
      <c r="K367" s="1670">
        <f t="shared" si="28"/>
        <v>7065</v>
      </c>
      <c r="L367" s="1670">
        <f t="shared" si="28"/>
        <v>8777</v>
      </c>
    </row>
    <row r="368" spans="1:14" ht="13.5" thickTop="1" x14ac:dyDescent="0.2">
      <c r="A368" s="2185" t="s">
        <v>996</v>
      </c>
      <c r="B368" s="2186"/>
      <c r="C368" s="654"/>
      <c r="D368" s="654"/>
      <c r="E368" s="626"/>
      <c r="F368" s="626"/>
      <c r="G368" s="626"/>
      <c r="H368" s="626"/>
      <c r="I368" s="626"/>
      <c r="J368" s="623"/>
      <c r="K368" s="1671">
        <f>'Revenues 9-14'!K268-'Expenditures 15-22'!K367</f>
        <v>1712</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16" fitToHeight="0" orientation="landscape" useFirstPageNumber="1" r:id="rId1"/>
  <headerFooter alignWithMargins="0">
    <oddHeader>&amp;L&amp;8Page &amp;P&amp;C&amp;"Arial,Bold"&amp;9STATEMENT OF EXPENDITURES DISBURSED/EXPENDITURES, BUDGET TO ACTUAL
FOR THE YEAR ENDING JUNE 30, 2019&amp;R&amp;8Page &amp;P</oddHeader>
    <oddFooter>&amp;CThe Notes to the Financial Statements are an intregal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schemas.microsoft.com/office/infopath/2007/PartnerControls"/>
    <ds:schemaRef ds:uri="6ce3111e-7420-4802-b50a-75d4e9a0b980"/>
    <ds:schemaRef ds:uri="http://purl.org/dc/dcmitype/"/>
    <ds:schemaRef ds:uri="http://schemas.microsoft.com/office/2006/documentManagement/types"/>
    <ds:schemaRef ds:uri="4d435f69-8686-490b-bd6d-b153bf22ab50"/>
    <ds:schemaRef ds:uri="http://purl.org/dc/elements/1.1/"/>
    <ds:schemaRef ds:uri="d21dc803-237d-4c68-8692-8d731fd29118"/>
    <ds:schemaRef ds:uri="http://www.w3.org/XML/1998/namespace"/>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2019-12-10T21:33:48Z</cp:lastPrinted>
  <dcterms:created xsi:type="dcterms:W3CDTF">2003-10-29T19:06:34Z</dcterms:created>
  <dcterms:modified xsi:type="dcterms:W3CDTF">2020-01-08T15:38:44Z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