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670FEA4-788D-4479-A66A-2748AC64A56C}"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8" i="127" l="1"/>
  <c r="H13" i="127"/>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4" i="127"/>
  <c r="B65" i="127"/>
  <c r="D26" i="108"/>
  <c r="E26" i="108"/>
  <c r="F26" i="108"/>
  <c r="G26" i="108"/>
  <c r="E27" i="108"/>
  <c r="F27" i="108"/>
  <c r="G27"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9" i="7"/>
  <c r="B1767" i="106" s="1"/>
  <c r="D1767" i="106" s="1"/>
  <c r="B5752" i="106"/>
  <c r="D5752" i="106" s="1"/>
  <c r="B7235" i="106" l="1"/>
  <c r="D7235" i="106" s="1"/>
  <c r="D6103" i="106"/>
  <c r="K76" i="4"/>
  <c r="B3586" i="106" s="1"/>
  <c r="D3586" i="106" s="1"/>
  <c r="B1308" i="106"/>
  <c r="D1308" i="106" s="1"/>
  <c r="E174" i="29"/>
  <c r="B1309" i="106" s="1"/>
  <c r="D1309" i="106" s="1"/>
  <c r="B3254" i="106"/>
  <c r="D3254" i="106" s="1"/>
  <c r="K184" i="29"/>
  <c r="F13" i="4" s="1"/>
  <c r="B2596" i="106" s="1"/>
  <c r="D2596" i="106" s="1"/>
  <c r="G210" i="29"/>
  <c r="L13" i="11"/>
  <c r="B2060" i="106" s="1"/>
  <c r="D2060" i="106" s="1"/>
  <c r="D69" i="36"/>
  <c r="F19" i="7"/>
  <c r="B1807" i="106" s="1"/>
  <c r="D1807" i="106" s="1"/>
  <c r="B3647" i="106"/>
  <c r="D3647" i="106" s="1"/>
  <c r="L342" i="29"/>
  <c r="B7074" i="106"/>
  <c r="D7074" i="106" s="1"/>
  <c r="E28" i="108"/>
  <c r="G38" i="108"/>
  <c r="E30" i="108"/>
  <c r="G30" i="108"/>
  <c r="F34" i="34"/>
  <c r="K28" i="118"/>
  <c r="O27" i="118" s="1"/>
  <c r="O29" i="118" s="1"/>
  <c r="D54" i="36"/>
  <c r="D11" i="37"/>
  <c r="D31" i="36"/>
  <c r="B4268" i="106"/>
  <c r="D4268" i="106" s="1"/>
  <c r="D17" i="7"/>
  <c r="B4104" i="106" s="1"/>
  <c r="D4104" i="106" s="1"/>
  <c r="G15" i="145"/>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1365" i="106"/>
  <c r="D1365" i="106" s="1"/>
  <c r="F65" i="34"/>
  <c r="D7254" i="106"/>
  <c r="D7256" i="106"/>
  <c r="D7251" i="106"/>
  <c r="D7250" i="106"/>
  <c r="L16" i="11"/>
  <c r="B2061" i="106" s="1"/>
  <c r="D2061" i="106" s="1"/>
  <c r="K342" i="29"/>
  <c r="F13" i="34" s="1"/>
  <c r="B1317" i="106"/>
  <c r="D1317" i="106" s="1"/>
  <c r="L114" i="29"/>
  <c r="C114" i="29"/>
  <c r="B757" i="106" s="1"/>
  <c r="D75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J78" i="4" s="1"/>
  <c r="D8" i="146"/>
  <c r="J10" i="4"/>
  <c r="B6225" i="106" s="1"/>
  <c r="D6225" i="106" s="1"/>
  <c r="J19" i="4"/>
  <c r="B6229" i="106" s="1"/>
  <c r="D6229"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<sst xmlns="http://schemas.openxmlformats.org/spreadsheetml/2006/main" count="5105" uniqueCount="2121">
  <si>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</si>
  <si>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</si>
  <si>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</si>
  <si>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</si>
  <si>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</si>
  <si>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</si>
  <si>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</si>
  <si>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</si>
  <si>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</si>
  <si>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</si>
  <si>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</si>
  <si>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</si>
  <si>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</si>
  <si>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</si>
  <si>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</si>
  <si>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</si>
  <si>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</si>
  <si>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</si>
  <si>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</si>
  <si>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</si>
  <si>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</si>
  <si>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</si>
  <si>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</si>
  <si>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</si>
  <si>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</si>
  <si>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</si>
  <si>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</si>
  <si>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</si>
  <si>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</si>
  <si>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</si>
  <si>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</si>
  <si>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</si>
  <si>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</si>
  <si>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</si>
  <si>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</si>
  <si>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</si>
  <si>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</si>
  <si>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</si>
  <si>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</si>
  <si>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</si>
  <si>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</si>
  <si>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</si>
  <si>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</si>
  <si>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</si>
  <si>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</si>
  <si>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</si>
  <si>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</si>
  <si>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</si>
  <si>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</si>
  <si>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</si>
  <si>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</si>
  <si>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</si>
  <si>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</si>
  <si>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</si>
  <si>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</si>
  <si>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</si>
  <si>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</si>
  <si>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</si>
  <si>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</si>
  <si>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</si>
  <si>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</si>
  <si>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</si>
  <si>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</si>
  <si>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</si>
  <si>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</si>
  <si>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</si>
  <si>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</si>
  <si>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</si>
  <si>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</si>
  <si>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</si>
  <si>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</si>
  <si>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</si>
  <si>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</si>
  <si>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</si>
  <si>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</si>
  <si>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</si>
  <si>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</si>
  <si>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</si>
  <si>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</si>
  <si>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</si>
  <si>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</si>
  <si>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</si>
  <si>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</si>
  <si>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</si>
  <si>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</si>
  <si>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</si>
  <si>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</si>
  <si>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</si>
  <si>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</si>
  <si>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</si>
  <si>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</si>
  <si>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</si>
  <si>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</si>
  <si>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</si>
  <si>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</si>
  <si>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</si>
  <si>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</si>
  <si>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</si>
  <si>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</si>
  <si>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</si>
  <si>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</si>
  <si>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</si>
  <si>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</si>
  <si>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</si>
  <si>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</si>
  <si>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</si>
  <si>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</si>
  <si>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</si>
  <si>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</si>
  <si>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</si>
  <si>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</si>
  <si>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</si>
  <si>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</si>
  <si>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</si>
  <si>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</si>
  <si>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</si>
  <si>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</si>
  <si>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</si>
  <si>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</si>
  <si>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</si>
  <si>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</si>
  <si>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</si>
  <si>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</si>
  <si>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</si>
  <si>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</si>
  <si>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</si>
  <si>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</si>
  <si>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</si>
  <si>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</si>
  <si>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</si>
  <si>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</si>
  <si>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</si>
  <si>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</si>
  <si>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</si>
  <si>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</si>
  <si>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</si>
  <si>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</si>
  <si>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</si>
  <si>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</si>
  <si>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</si>
  <si>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</si>
  <si>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</si>
  <si>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</si>
  <si>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</si>
  <si>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</si>
  <si>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</si>
  <si>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</si>
  <si>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</si>
  <si>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</si>
  <si>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</si>
  <si>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</si>
  <si>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</si>
  <si>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</si>
  <si>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</si>
  <si>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</si>
  <si>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</si>
  <si>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</si>
  <si>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</si>
  <si>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</si>
  <si>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</si>
  <si>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</si>
  <si>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</si>
  <si>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</si>
  <si>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</si>
  <si>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</si>
  <si>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</si>
  <si>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</si>
  <si>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</si>
  <si>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</si>
  <si>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</si>
  <si>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</si>
  <si>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</si>
  <si>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</si>
  <si>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</si>
  <si>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</si>
  <si>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</si>
  <si>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</si>
  <si>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</si>
  <si>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</si>
  <si>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</si>
  <si>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</si>
  <si>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</si>
  <si>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</si>
  <si>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</si>
  <si>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</si>
  <si>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</si>
  <si>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</si>
  <si>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</si>
  <si>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</si>
  <si>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</si>
  <si>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</si>
  <si>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</si>
  <si>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</si>
  <si>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</si>
  <si>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</si>
  <si>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</si>
  <si>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</si>
  <si>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</si>
  <si>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</si>
  <si>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</si>
  <si>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</si>
  <si>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</si>
  <si>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</si>
  <si>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</si>
  <si>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</si>
  <si>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</si>
  <si>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</si>
  <si>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</si>
  <si>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</si>
  <si>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</si>
  <si>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</si>
  <si>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</si>
  <si>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</si>
  <si>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</si>
  <si>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</si>
  <si>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</si>
  <si>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</si>
  <si>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</si>
  <si>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</si>
  <si>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</si>
  <si>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</si>
  <si>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</si>
  <si>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</si>
  <si>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</si>
  <si>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</si>
  <si>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</si>
  <si>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</si>
  <si>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</si>
  <si>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</si>
  <si>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</si>
  <si>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</si>
  <si>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</si>
  <si>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</si>
  <si>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</si>
  <si>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</si>
  <si>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</si>
  <si>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</si>
  <si>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</si>
  <si>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</si>
  <si>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</si>
  <si>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</si>
  <si>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</si>
  <si>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</si>
  <si>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</si>
  <si>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</si>
  <si>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</si>
  <si>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</si>
  <si>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</si>
  <si>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</si>
  <si>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</si>
  <si>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</si>
  <si>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</si>
  <si>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</si>
  <si>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</si>
  <si>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</si>
  <si>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</si>
  <si>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</si>
  <si>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</si>
  <si>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</si>
  <si>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</si>
  <si>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</si>
  <si>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</si>
  <si>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</si>
  <si>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</si>
  <si>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</si>
  <si>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</si>
  <si>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</si>
  <si>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</si>
  <si>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</si>
  <si>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</si>
  <si>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</si>
  <si>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</si>
  <si>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</si>
  <si>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</si>
  <si>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</si>
  <si>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</si>
  <si>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</si>
  <si>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</si>
  <si>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</si>
  <si>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</si>
  <si>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</si>
  <si>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</si>
  <si>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</si>
  <si>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</si>
  <si>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</si>
  <si>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</si>
  <si>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</si>
  <si>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</si>
  <si>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</si>
  <si>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</si>
  <si>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</si>
  <si>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</si>
  <si>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</si>
  <si>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</si>
  <si>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</si>
  <si>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</si>
  <si>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</si>
  <si>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</si>
  <si>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</si>
  <si>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</si>
  <si>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</si>
  <si>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</si>
  <si>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</si>
  <si>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</si>
  <si>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</si>
  <si>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</si>
  <si>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</si>
  <si>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</si>
  <si>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</si>
  <si>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</si>
  <si>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</si>
  <si>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</si>
  <si>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</si>
  <si>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</si>
  <si>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</si>
  <si>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</si>
  <si>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</si>
  <si>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</si>
  <si>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</si>
  <si>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</si>
  <si>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</si>
  <si>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</si>
  <si>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</si>
  <si>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</si>
  <si>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</si>
  <si>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</si>
  <si>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</si>
  <si>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</si>
  <si>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</si>
  <si>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</si>
  <si>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</si>
  <si>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</si>
  <si>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</si>
  <si>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</si>
  <si>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</si>
  <si>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</si>
  <si>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</si>
  <si>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</si>
  <si>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</si>
  <si>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</si>
  <si>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</si>
  <si>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</si>
  <si>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</si>
  <si>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</si>
  <si>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</si>
  <si>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</si>
  <si>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</si>
  <si>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</si>
  <si>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</si>
  <si>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</si>
  <si>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</si>
  <si>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</si>
  <si>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</si>
  <si>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</si>
  <si>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</si>
  <si>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</si>
  <si>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</si>
  <si>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</si>
  <si>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</si>
  <si>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</si>
  <si>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</si>
  <si>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</si>
  <si>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</si>
  <si>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</si>
  <si>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</si>
  <si>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</si>
  <si>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</si>
  <si>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</si>
  <si>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</si>
  <si>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</si>
  <si>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</si>
  <si>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</si>
  <si>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</si>
  <si>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</si>
  <si>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</si>
  <si>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</si>
  <si>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</si>
  <si>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</si>
  <si>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</si>
  <si>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</si>
  <si>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</si>
  <si>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</si>
  <si>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</si>
  <si>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</si>
  <si>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</si>
  <si>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</si>
  <si>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</si>
  <si>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</si>
  <si>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</si>
  <si>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</si>
  <si>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</si>
  <si>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</si>
  <si>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</si>
  <si>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</si>
  <si>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</si>
  <si>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</si>
  <si>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</si>
  <si>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</si>
  <si>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</si>
  <si>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</si>
  <si>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</si>
  <si>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</si>
  <si>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</si>
  <si>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</si>
  <si>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</si>
  <si>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</si>
  <si>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</si>
  <si>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</si>
  <si>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</si>
  <si>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</si>
  <si>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</si>
  <si>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</si>
  <si>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</si>
  <si>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</si>
  <si>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</si>
  <si>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</si>
  <si>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</si>
  <si>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</si>
  <si>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</si>
  <si>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</si>
  <si>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</si>
  <si>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</si>
  <si>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</si>
  <si>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</si>
  <si>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</si>
  <si>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</si>
  <si>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</si>
  <si>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</si>
  <si>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</si>
  <si>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</si>
  <si>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</si>
  <si>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</si>
  <si>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</si>
  <si>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</si>
  <si>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</si>
  <si>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</si>
  <si>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</si>
  <si>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</si>
  <si>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</si>
  <si>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</si>
  <si>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</si>
  <si>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</si>
  <si>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</si>
  <si>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</si>
  <si>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</si>
  <si>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</si>
  <si>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</si>
  <si>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</si>
  <si>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</si>
  <si>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</si>
  <si>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</si>
  <si>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</si>
  <si>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</si>
  <si>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</si>
  <si>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</si>
  <si>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</si>
  <si>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</si>
  <si>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</si>
  <si>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</si>
  <si>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</si>
  <si>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</si>
  <si>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</si>
  <si>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</si>
  <si>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</si>
  <si>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</si>
  <si>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</si>
  <si>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</si>
  <si>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</si>
  <si>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</si>
  <si>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</si>
  <si>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</si>
  <si>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</si>
  <si>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</si>
  <si>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</si>
  <si>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</si>
  <si>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</si>
  <si>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</si>
  <si>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</si>
  <si>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</si>
  <si>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</si>
  <si>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</si>
  <si>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</si>
  <si>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</si>
  <si>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</si>
  <si>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</si>
  <si>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</si>
  <si>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</si>
  <si>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</si>
  <si>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</si>
  <si>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</si>
  <si>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</si>
  <si>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</si>
  <si>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</si>
  <si>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</si>
  <si>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</si>
  <si>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</si>
  <si>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</si>
  <si>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</si>
  <si>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</si>
  <si>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</si>
  <si>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</si>
  <si>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</si>
  <si>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</si>
  <si>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</si>
  <si>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</si>
  <si>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</si>
  <si>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</si>
  <si>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</si>
  <si>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</si>
  <si>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</si>
  <si>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</si>
  <si>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</si>
  <si>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</si>
  <si>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</si>
  <si>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</si>
  <si>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</si>
  <si>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</si>
  <si>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</si>
  <si>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</si>
  <si>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</si>
  <si>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</si>
  <si>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</si>
  <si>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</si>
  <si>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</si>
  <si>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</si>
  <si>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</si>
  <si>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</si>
  <si>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</si>
  <si>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</si>
  <si>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</si>
  <si>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</si>
  <si>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</si>
  <si>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</si>
  <si>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</si>
  <si>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</si>
  <si>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</si>
  <si>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</si>
  <si>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</si>
  <si>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</si>
  <si>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</si>
  <si>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</si>
  <si>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</si>
  <si>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</si>
  <si>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</si>
  <si>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</si>
  <si>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</si>
  <si>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</si>
  <si>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</si>
  <si>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</si>
  <si>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</si>
  <si>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</si>
  <si>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</si>
  <si>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</si>
  <si>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</si>
  <si>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</si>
  <si>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</si>
  <si>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</si>
  <si>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</si>
  <si>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</si>
  <si>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</si>
  <si>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</si>
  <si>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</si>
  <si>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</si>
  <si>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</si>
  <si>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</si>
  <si>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</si>
  <si>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</si>
  <si>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</si>
  <si>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</si>
  <si>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</si>
  <si>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</si>
  <si>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</si>
  <si>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</si>
  <si>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</si>
  <si>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</si>
  <si>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</si>
  <si>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</si>
  <si>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</si>
  <si>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</si>
  <si>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</si>
  <si>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</si>
  <si>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</si>
  <si>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</si>
  <si>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</si>
  <si>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</si>
  <si>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</si>
  <si>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</si>
  <si>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</si>
  <si>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</si>
  <si>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</si>
  <si>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</si>
  <si>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</si>
  <si>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</si>
  <si>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</si>
  <si>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</si>
  <si>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</si>
  <si>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</si>
  <si>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</si>
  <si>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</si>
  <si>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</si>
  <si>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</si>
  <si>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</si>
  <si>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</si>
  <si>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</si>
  <si>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</si>
  <si>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</si>
  <si>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</si>
  <si>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</si>
  <si>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</si>
  <si>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</si>
  <si>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</si>
  <si>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</si>
  <si>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</si>
  <si>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</si>
  <si>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</si>
  <si>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</si>
  <si>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</si>
  <si>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</si>
  <si>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</si>
  <si>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</si>
  <si>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</si>
  <si>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</si>
  <si>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</si>
  <si>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</si>
  <si>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</si>
  <si>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</si>
  <si>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</si>
  <si>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</si>
  <si>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</si>
  <si>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</si>
  <si>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</si>
  <si>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</si>
  <si>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</si>
  <si>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</si>
  <si>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</si>
  <si>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</si>
  <si>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</si>
  <si>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</si>
  <si>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</si>
  <si>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</si>
  <si>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</si>
  <si>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</si>
  <si>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</si>
  <si>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</si>
  <si>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</si>
  <si>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</si>
  <si>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</si>
  <si>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</si>
  <si>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</si>
  <si>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</si>
  <si>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</si>
  <si>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</si>
  <si>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</si>
  <si>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</si>
  <si>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</si>
  <si>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</si>
  <si>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</si>
  <si>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</si>
  <si>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</si>
  <si>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</si>
  <si>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</si>
  <si>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</si>
  <si>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</si>
  <si>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</si>
  <si>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</si>
  <si>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</si>
  <si>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</si>
  <si>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</si>
  <si>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</si>
  <si>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</si>
  <si>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</si>
  <si>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</si>
  <si>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</si>
  <si>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</si>
  <si>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</si>
  <si>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</si>
  <si>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</si>
  <si>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</si>
  <si>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</si>
  <si>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</si>
  <si>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</si>
  <si>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</si>
  <si>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</si>
  <si>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</si>
  <si>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</si>
  <si>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</si>
  <si>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</si>
  <si>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</si>
  <si>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</si>
  <si>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</si>
  <si>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</si>
  <si>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</si>
  <si>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</si>
  <si>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</si>
  <si>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</si>
  <si>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</si>
  <si>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</si>
  <si>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</si>
  <si>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</si>
  <si>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</si>
  <si>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</si>
  <si>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</si>
  <si>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</si>
  <si>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</si>
  <si>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</si>
  <si>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</si>
  <si>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</si>
  <si>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</si>
  <si>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</si>
  <si>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</si>
  <si>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</si>
  <si>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</si>
  <si>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</si>
  <si>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</si>
  <si>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</si>
  <si>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</si>
  <si>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</si>
  <si>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</si>
  <si>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</si>
  <si>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</si>
  <si>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</si>
  <si>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</si>
  <si>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</si>
  <si>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</si>
  <si>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</si>
  <si>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</si>
  <si>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</si>
  <si>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</si>
  <si>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</si>
  <si>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</si>
  <si>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</si>
  <si>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</si>
  <si>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</si>
  <si>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</si>
  <si>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</si>
  <si>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</si>
  <si>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</si>
  <si>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</si>
  <si>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</si>
  <si>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</si>
  <si>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</si>
  <si>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</si>
  <si>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</si>
  <si>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</si>
  <si>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</si>
  <si>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</si>
  <si>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</si>
  <si>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</si>
  <si>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</si>
  <si>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</si>
  <si>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</si>
  <si>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</si>
  <si>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</si>
  <si>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</si>
  <si>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</si>
  <si>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</si>
  <si>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</si>
  <si>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</si>
  <si>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</si>
  <si>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</si>
  <si>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</si>
  <si>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</si>
  <si>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</si>
  <si>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</si>
  <si>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</si>
  <si>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</si>
  <si>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</si>
  <si>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</si>
  <si>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</si>
  <si>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</si>
  <si>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</si>
  <si>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</si>
  <si>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</si>
  <si>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</si>
  <si>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</si>
  <si>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</si>
  <si>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</si>
  <si>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</si>
  <si>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</si>
  <si>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</si>
  <si>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</si>
  <si>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</si>
  <si>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</si>
  <si>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</si>
  <si>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</si>
  <si>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</si>
  <si>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</si>
  <si>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</si>
  <si>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</si>
  <si>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</si>
  <si>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</si>
  <si>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</si>
  <si>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</si>
  <si>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</si>
  <si>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</si>
  <si>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</si>
  <si>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</si>
  <si>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</si>
  <si>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</si>
  <si>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</si>
  <si>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</si>
  <si>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</si>
  <si>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</si>
  <si>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</si>
  <si>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</si>
  <si>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</si>
  <si>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</si>
  <si>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</si>
  <si>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</si>
  <si>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</si>
  <si>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</si>
  <si>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</si>
  <si>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</si>
  <si>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</si>
  <si>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</si>
  <si>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</si>
  <si>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</si>
  <si>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</si>
  <si>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</si>
  <si>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</si>
  <si>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</si>
  <si>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</si>
  <si>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</si>
  <si>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</si>
  <si>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</si>
  <si>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</si>
  <si>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</si>
  <si>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</si>
  <si>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</si>
  <si>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</si>
  <si>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</si>
  <si>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</si>
  <si>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</si>
  <si>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</si>
  <si>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</si>
  <si>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</si>
  <si>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</si>
  <si>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</si>
  <si>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</si>
  <si>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</si>
  <si>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</si>
  <si>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</si>
  <si>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</si>
  <si>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</si>
  <si>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</si>
  <si>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</si>
  <si>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</si>
  <si>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</si>
  <si>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</si>
  <si>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</si>
  <si>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</si>
  <si>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</si>
  <si>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</si>
  <si>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</si>
  <si>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</si>
  <si>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</si>
  <si>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</si>
  <si>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</si>
  <si>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</si>
  <si>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</si>
  <si>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</si>
  <si>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</si>
  <si>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</si>
  <si>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</si>
  <si>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</si>
  <si>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</si>
  <si>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</si>
  <si>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</si>
  <si>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</si>
  <si>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</si>
  <si>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</si>
  <si>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</si>
  <si>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</si>
  <si>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</si>
  <si>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</si>
  <si>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</si>
  <si>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</si>
  <si>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</si>
  <si>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</si>
  <si>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</si>
  <si>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</si>
  <si>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</si>
  <si>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</si>
  <si>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</si>
  <si>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</si>
  <si>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</si>
  <si>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</si>
  <si>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</si>
  <si>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</si>
  <si>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</si>
  <si>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</si>
  <si>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</si>
  <si>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</si>
  <si>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</si>
  <si>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</si>
  <si>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</si>
  <si>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</si>
  <si>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</si>
  <si>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</si>
  <si>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</si>
  <si>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</si>
  <si>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</si>
  <si>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</si>
  <si>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</si>
  <si>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</si>
  <si>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</si>
  <si>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</si>
  <si>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</si>
  <si>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</si>
  <si>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</si>
  <si>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</si>
  <si>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</si>
  <si>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</si>
  <si>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</si>
  <si>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</si>
  <si>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</si>
  <si>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</si>
  <si>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</si>
  <si>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</si>
  <si>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</si>
  <si>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</si>
  <si>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</si>
  <si>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</si>
  <si>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</si>
  <si>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</si>
  <si>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</si>
  <si>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</si>
  <si>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</si>
  <si>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</si>
  <si>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</si>
  <si>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</si>
  <si>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</si>
  <si>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</si>
  <si>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</si>
  <si>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</si>
  <si>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</si>
  <si>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</si>
  <si>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</si>
  <si>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</si>
  <si>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</si>
  <si>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</si>
  <si>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</si>
  <si>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</si>
  <si>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</si>
  <si>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</si>
  <si>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</si>
  <si>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</si>
  <si>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</si>
  <si>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</si>
  <si>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</si>
  <si>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</si>
  <si>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</si>
  <si>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</si>
  <si>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</si>
  <si>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</si>
  <si>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</si>
  <si>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</si>
  <si>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</si>
  <si>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</si>
  <si>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</si>
  <si>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</si>
  <si>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</si>
  <si>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</si>
  <si>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</si>
  <si>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</si>
  <si>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</si>
  <si>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</si>
  <si>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</si>
  <si>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</si>
  <si>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</si>
  <si>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</si>
  <si>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</si>
  <si>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</si>
  <si>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</si>
  <si>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</si>
  <si>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</si>
  <si>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</si>
  <si>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</si>
  <si>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</si>
  <si>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</si>
  <si>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</si>
  <si>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</si>
  <si>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</si>
  <si>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</si>
  <si>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</si>
  <si>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</si>
  <si>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</si>
  <si>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</si>
  <si>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</si>
  <si>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</si>
  <si>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</si>
  <si>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</si>
  <si>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</si>
  <si>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</si>
  <si>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</si>
  <si>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</si>
  <si>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</si>
  <si>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</si>
  <si>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</si>
  <si>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</si>
  <si>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</si>
  <si>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</si>
  <si>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</si>
  <si>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</si>
  <si>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</si>
  <si>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</si>
  <si>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</si>
  <si>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</si>
  <si>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</si>
  <si>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</si>
  <si>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</si>
  <si>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</si>
  <si>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</si>
  <si>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</si>
  <si>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</si>
  <si>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</si>
  <si>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</si>
  <si>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</si>
  <si>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</si>
  <si>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</si>
  <si>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</si>
  <si>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</si>
  <si>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</si>
  <si>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</si>
  <si>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</si>
  <si>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</si>
  <si>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</si>
  <si>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</si>
  <si>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</si>
  <si>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</si>
  <si>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</si>
  <si>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</si>
  <si>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</si>
  <si>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</si>
  <si>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</si>
  <si>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</si>
  <si>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</si>
  <si>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</si>
  <si>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</si>
  <si>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</si>
  <si>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</si>
  <si>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</si>
  <si>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</si>
  <si>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</si>
  <si>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</si>
  <si>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</si>
  <si>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</si>
  <si>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</si>
  <si>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</si>
  <si>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</si>
  <si>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</si>
  <si>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</si>
  <si>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</si>
  <si>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</si>
  <si>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</si>
  <si>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</si>
  <si>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</si>
  <si>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</si>
  <si>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</si>
  <si>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</si>
  <si>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</si>
  <si>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</si>
  <si>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</si>
  <si>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</si>
  <si>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</si>
  <si>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</si>
  <si>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</si>
  <si>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</si>
  <si>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</si>
  <si>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</si>
  <si>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</si>
  <si>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</si>
  <si>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</si>
  <si>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</si>
  <si>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</si>
  <si>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</si>
  <si>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</si>
  <si>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</si>
  <si>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</si>
  <si>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</si>
  <si>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</si>
  <si>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</si>
  <si>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</si>
  <si>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</si>
  <si>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</si>
  <si>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</si>
  <si>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</si>
  <si>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</si>
  <si>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</si>
  <si>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</si>
  <si>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</si>
  <si>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</si>
  <si>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</si>
  <si>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</si>
  <si>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</si>
  <si>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</si>
  <si>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</si>
  <si>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</si>
  <si>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</si>
  <si>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</si>
  <si>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</si>
  <si>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</si>
  <si>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</si>
  <si>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</si>
  <si>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</si>
  <si>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</si>
  <si>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</si>
  <si>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</si>
  <si>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</si>
  <si>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</si>
  <si>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</si>
  <si>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</si>
  <si>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</si>
  <si>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</si>
  <si>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</si>
  <si>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</si>
  <si>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</si>
  <si>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</si>
  <si>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</si>
  <si>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</si>
  <si>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</si>
  <si>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</si>
  <si>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</si>
  <si>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</si>
  <si>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</si>
  <si>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</si>
  <si>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</si>
  <si>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</si>
  <si>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</si>
  <si>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</si>
  <si>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</si>
  <si>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</si>
  <si>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</si>
  <si>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</si>
  <si>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</si>
  <si>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</si>
  <si>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</si>
  <si>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</si>
  <si>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</si>
  <si>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</si>
  <si>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</si>
  <si>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</si>
  <si>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</si>
  <si>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</si>
  <si>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</si>
  <si>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</si>
  <si>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</si>
  <si>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</si>
  <si>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</si>
  <si>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</si>
  <si>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</si>
  <si>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</si>
  <si>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</si>
  <si>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</si>
  <si>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</si>
  <si>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</si>
  <si>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</si>
  <si>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</si>
  <si>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</si>
  <si>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</si>
  <si>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</si>
  <si>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</si>
  <si>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</si>
  <si>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</si>
  <si>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</si>
  <si>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</si>
  <si>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</si>
  <si>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</si>
  <si>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</si>
  <si>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</si>
  <si>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</si>
  <si>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</si>
  <si>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</si>
  <si>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</si>
  <si>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</si>
  <si>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</si>
  <si>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</si>
  <si>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</si>
  <si>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</si>
  <si>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</si>
  <si>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</si>
  <si>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</si>
  <si>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</si>
  <si>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</si>
  <si>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</si>
  <si>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</si>
  <si>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</si>
  <si>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</si>
  <si>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</si>
  <si>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</si>
  <si>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</si>
  <si>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</si>
  <si>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</si>
  <si>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</si>
  <si>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</si>
  <si>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</si>
  <si>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</si>
  <si>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</si>
  <si>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</si>
  <si>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</si>
  <si>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</si>
  <si>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</si>
  <si>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</si>
  <si>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</si>
  <si>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</si>
  <si>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</si>
  <si>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</si>
  <si>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</si>
  <si>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</si>
  <si>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</si>
  <si>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</si>
  <si>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</si>
  <si>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</si>
  <si>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</si>
  <si>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</si>
  <si>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</si>
  <si>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</si>
  <si>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</si>
  <si>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</si>
  <si>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</si>
  <si>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</si>
  <si>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</si>
  <si>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</si>
  <si>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</si>
  <si>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</si>
  <si>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</si>
  <si>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</si>
  <si>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</si>
  <si>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</si>
  <si>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</si>
  <si>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</si>
  <si>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</si>
  <si>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</si>
  <si>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</si>
  <si>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</si>
  <si>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</si>
  <si>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</si>
  <si>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</si>
  <si>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</si>
  <si>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</si>
  <si>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</si>
  <si>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</si>
  <si>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</si>
  <si>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</si>
  <si>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</si>
  <si>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</si>
  <si>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</si>
  <si>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</si>
  <si>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</si>
  <si>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</si>
  <si>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</si>
  <si>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</si>
  <si>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</si>
  <si>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</si>
  <si>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</si>
  <si>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</si>
  <si>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</si>
  <si>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</si>
  <si>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</si>
  <si>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</si>
  <si>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</si>
  <si>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</si>
  <si>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</si>
  <si>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</si>
  <si>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</si>
  <si>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</si>
  <si>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</si>
  <si>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</si>
  <si>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</si>
  <si>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</si>
  <si>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</si>
  <si>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</si>
  <si>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</si>
  <si>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</si>
  <si>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</si>
  <si>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</si>
  <si>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</si>
  <si>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</si>
  <si>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</si>
  <si>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</si>
  <si>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</si>
  <si>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</si>
  <si>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</si>
  <si>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</si>
  <si>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</si>
  <si>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</si>
  <si>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</si>
  <si>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</si>
  <si>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</si>
  <si>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</si>
  <si>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</si>
  <si>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</si>
  <si>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</si>
  <si>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</si>
  <si>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</si>
  <si>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</si>
  <si>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</si>
  <si>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</si>
  <si>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</si>
  <si>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</si>
  <si>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</si>
  <si>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</si>
  <si>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</si>
  <si>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</si>
  <si>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</si>
  <si>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</si>
  <si>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</si>
  <si>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</si>
  <si>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</si>
  <si>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</si>
  <si>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</si>
  <si>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</si>
  <si>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</si>
  <si>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</si>
  <si>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</si>
  <si>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</si>
  <si>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</si>
  <si>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</si>
  <si>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</si>
  <si>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</si>
  <si>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</si>
  <si>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</si>
  <si>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</si>
  <si>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</si>
  <si>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</si>
  <si>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</si>
  <si>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</si>
  <si>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</si>
  <si>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</si>
  <si>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</si>
  <si>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</si>
  <si>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</si>
  <si>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</si>
  <si>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</si>
  <si>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</si>
  <si>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</si>
  <si>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</si>
  <si>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</si>
  <si>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</si>
  <si>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</si>
  <si>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</si>
  <si>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</si>
  <si>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</si>
  <si>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</si>
  <si>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</si>
  <si>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</si>
  <si>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</si>
  <si>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</si>
  <si>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</si>
  <si>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</si>
  <si>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</si>
  <si>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</si>
  <si>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</si>
  <si>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</si>
  <si>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</si>
  <si>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</si>
  <si>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</si>
  <si>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</si>
  <si>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</si>
  <si>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</si>
  <si>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</si>
  <si>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</si>
  <si>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</si>
  <si>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</si>
  <si>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</si>
  <si>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</si>
  <si>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</si>
  <si>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</si>
  <si>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</si>
  <si>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</si>
  <si>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</si>
  <si>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</si>
  <si>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</si>
  <si>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</si>
  <si>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</si>
  <si>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</si>
  <si>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</si>
  <si>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</si>
  <si>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</si>
  <si>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</si>
  <si>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</si>
  <si>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</si>
  <si>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</si>
  <si>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</si>
  <si>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</si>
  <si>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</si>
  <si>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</si>
  <si>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</si>
  <si>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</si>
  <si>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</si>
  <si>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</si>
  <si>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</si>
  <si>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</si>
  <si>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</si>
  <si>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</si>
  <si>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</si>
  <si>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</si>
  <si>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</si>
  <si>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</si>
  <si>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</si>
  <si>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</si>
  <si>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</si>
  <si>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</si>
  <si>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</si>
  <si>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</si>
  <si>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</si>
  <si>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</si>
  <si>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</si>
  <si>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</si>
  <si>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</si>
  <si>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</si>
  <si>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</si>
  <si>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</si>
  <si>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</si>
  <si>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</si>
  <si>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</si>
  <si>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</si>
  <si>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</si>
  <si>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</si>
  <si>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</si>
  <si>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</si>
  <si>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</si>
  <si>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</si>
  <si>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</si>
  <si>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</si>
  <si>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</si>
  <si>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</si>
  <si>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</si>
  <si>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</si>
  <si>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</si>
  <si>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</si>
  <si>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</si>
  <si>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</si>
  <si>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</si>
  <si>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</si>
  <si>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</si>
  <si>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</si>
  <si>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</si>
  <si>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</si>
  <si>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</si>
  <si>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</si>
  <si>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</si>
  <si>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</si>
  <si>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</si>
  <si>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</si>
  <si>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</si>
  <si>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</si>
  <si>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</si>
  <si>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</si>
  <si>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</si>
  <si>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</si>
  <si>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</si>
  <si>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</si>
  <si>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</si>
  <si>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</si>
  <si>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</si>
  <si>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</si>
  <si>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</si>
  <si>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</si>
  <si>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</si>
  <si>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</si>
  <si>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</si>
  <si>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</si>
  <si>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</si>
  <si>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</si>
  <si>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</si>
  <si>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</si>
  <si>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</si>
  <si>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</si>
  <si>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</si>
  <si>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</si>
  <si>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</si>
  <si>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</si>
  <si>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</si>
  <si>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</si>
  <si>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</si>
  <si>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</si>
  <si>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</si>
  <si>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</si>
  <si>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</si>
  <si>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</si>
  <si>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</si>
  <si>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</si>
  <si>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</si>
  <si>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</si>
  <si>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</si>
  <si>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</si>
  <si>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</si>
  <si>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</si>
  <si>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</si>
  <si>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</si>
  <si>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</si>
  <si>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</si>
  <si>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</si>
  <si>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</si>
  <si>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</si>
  <si>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</si>
  <si>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</si>
  <si>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</si>
  <si>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</si>
  <si>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</si>
  <si>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</si>
  <si>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</si>
  <si>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</si>
  <si>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</si>
  <si>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</si>
  <si>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</si>
  <si>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</si>
  <si>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</si>
  <si>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</si>
  <si>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</si>
  <si>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</si>
  <si>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</si>
  <si>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</si>
  <si>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</si>
  <si>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</si>
  <si>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</si>
  <si>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</si>
  <si>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</si>
  <si>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</si>
  <si>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</si>
  <si>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</si>
  <si>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</si>
  <si>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</si>
  <si>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</si>
  <si>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</si>
  <si>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</si>
  <si>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</si>
  <si>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</si>
  <si>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</si>
  <si>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</si>
  <si>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</si>
  <si>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</si>
  <si>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</si>
  <si>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</si>
  <si>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</si>
  <si>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</si>
  <si>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</si>
  <si>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</si>
  <si>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</si>
  <si>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</si>
  <si>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</si>
  <si>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</si>
  <si>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</si>
  <si>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</si>
  <si>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</si>
  <si>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</si>
  <si>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</si>
  <si>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</si>
  <si>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</si>
  <si>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</si>
  <si>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</si>
  <si>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</si>
  <si>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</si>
  <si>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</si>
  <si>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</si>
  <si>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</si>
  <si>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</si>
  <si>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</si>
  <si>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</si>
  <si>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</si>
  <si>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</si>
  <si>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</si>
  <si>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</si>
  <si>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</si>
  <si>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</si>
  <si>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</si>
  <si>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</si>
  <si>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</si>
  <si>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</si>
  <si>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</si>
  <si>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</si>
  <si>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</si>
  <si>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</si>
  <si>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</si>
  <si>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</si>
  <si>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</si>
  <si>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</si>
  <si>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</si>
  <si>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</si>
  <si>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</si>
  <si>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</si>
  <si>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</si>
  <si>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</si>
  <si>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</si>
  <si>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</si>
  <si>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</si>
  <si>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</si>
  <si>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</si>
  <si>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</si>
  <si>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</si>
  <si>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</si>
  <si>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</si>
  <si>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</si>
  <si>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</si>
  <si>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</si>
  <si>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</si>
  <si>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</si>
  <si>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</si>
  <si>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</si>
  <si>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</si>
  <si>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</si>
  <si>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</si>
  <si>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</si>
  <si>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</si>
  <si>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</si>
  <si>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</si>
  <si>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</si>
  <si>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</si>
  <si>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</si>
  <si>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</si>
  <si>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</si>
  <si>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</si>
  <si>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</si>
  <si>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</si>
  <si>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</si>
  <si>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</si>
  <si>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</si>
  <si>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</si>
  <si>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</si>
  <si>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</si>
  <si>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</si>
  <si>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</si>
  <si>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</si>
  <si>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</si>
  <si>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</si>
  <si>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</si>
  <si>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</si>
  <si>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</si>
  <si>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</si>
  <si>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</si>
  <si>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</si>
  <si>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</si>
  <si>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</si>
  <si>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</si>
  <si>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</si>
  <si>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</si>
  <si>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</si>
  <si>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</si>
  <si>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</si>
  <si>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</si>
  <si>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</si>
  <si>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</si>
  <si>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</si>
  <si>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</si>
  <si>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</si>
  <si>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</si>
  <si>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</si>
  <si>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</si>
  <si>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</si>
  <si>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</si>
  <si>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</si>
  <si>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</si>
  <si>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</si>
  <si>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</si>
  <si>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</si>
  <si>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</si>
  <si>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</si>
  <si>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</si>
  <si>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</si>
  <si>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</si>
  <si>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</si>
  <si>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</si>
  <si>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</si>
  <si>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</si>
  <si>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</si>
  <si>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</si>
  <si>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</si>
  <si>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</si>
  <si>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</si>
  <si>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</si>
  <si>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</si>
  <si>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</si>
  <si>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</si>
  <si>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</si>
  <si>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</si>
  <si>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</si>
  <si>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</si>
  <si>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</si>
  <si>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</si>
  <si>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</si>
  <si>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</si>
  <si>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</si>
  <si>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</si>
  <si>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</si>
  <si>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</si>
  <si>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</si>
  <si>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</si>
  <si>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</si>
  <si>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</si>
  <si>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</si>
  <si>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</si>
  <si>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</si>
  <si>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</si>
  <si>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</si>
  <si>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</si>
  <si>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</si>
  <si>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</si>
  <si>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</si>
  <si>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</si>
  <si>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</si>
  <si>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</si>
  <si>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</si>
  <si>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</si>
  <si>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</si>
  <si>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</si>
  <si>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</si>
  <si>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</si>
  <si>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</si>
  <si>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</si>
  <si>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</si>
  <si>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</si>
  <si>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</si>
  <si>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</si>
  <si>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</si>
  <si>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</si>
  <si>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</si>
  <si>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</si>
  <si>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</si>
  <si>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</si>
  <si>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</si>
  <si>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</si>
  <si>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</si>
  <si>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</si>
  <si>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</si>
  <si>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</si>
  <si>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</si>
  <si>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</si>
  <si>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</si>
  <si>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</si>
  <si>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</si>
  <si>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</si>
  <si>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</si>
  <si>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</si>
  <si>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</si>
  <si>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</si>
  <si>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</si>
  <si>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</si>
  <si>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</si>
  <si>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</si>
  <si>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</si>
  <si>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</si>
  <si>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</si>
  <si>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</si>
  <si>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</si>
  <si>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</si>
  <si>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</si>
  <si>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</si>
  <si>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</si>
  <si>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</si>
  <si>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</si>
  <si>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</si>
  <si>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</si>
  <si>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</si>
  <si>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</si>
  <si>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</si>
  <si>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</si>
  <si>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</si>
  <si>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</si>
  <si>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</si>
  <si>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</si>
  <si>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</si>
  <si>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</si>
  <si>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</si>
  <si>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</si>
  <si>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</si>
  <si>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</si>
  <si>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</si>
  <si>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</si>
  <si>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</si>
  <si>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</si>
  <si>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</si>
  <si>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</si>
  <si>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</si>
  <si>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</si>
  <si>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</si>
  <si>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</si>
  <si>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</si>
  <si>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</si>
  <si>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</si>
  <si>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</si>
  <si>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</si>
  <si>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</si>
  <si>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</si>
  <si>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</si>
  <si>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</si>
  <si>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</si>
  <si>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</si>
  <si>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</si>
  <si>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</si>
  <si>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</si>
  <si>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</si>
  <si>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</si>
  <si>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</si>
  <si>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</si>
  <si>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</si>
  <si>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</si>
  <si>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</si>
  <si>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</si>
  <si>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</si>
  <si>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</si>
  <si>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</si>
  <si>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</si>
  <si>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</si>
  <si>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</si>
  <si>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</si>
  <si>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</si>
  <si>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</si>
  <si>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</si>
  <si>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</si>
  <si>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</si>
  <si>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</si>
  <si>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</si>
  <si>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</si>
  <si>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</si>
  <si>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</si>
  <si>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</si>
  <si>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</si>
  <si>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</si>
  <si>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</si>
  <si>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</si>
  <si>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</si>
  <si>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</si>
  <si>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</si>
  <si>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</si>
  <si>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</si>
  <si>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</si>
  <si>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</si>
  <si>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</si>
  <si>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</si>
  <si>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</si>
  <si>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</si>
  <si>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</si>
  <si>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</si>
  <si>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</si>
  <si>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</si>
  <si>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</si>
  <si>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</si>
  <si>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</si>
  <si>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</si>
  <si>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</si>
  <si>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</si>
  <si>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</si>
  <si>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</si>
  <si>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</si>
  <si>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</si>
  <si>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</si>
  <si>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</si>
  <si>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</si>
  <si>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</si>
  <si>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</si>
  <si>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</si>
  <si>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</si>
  <si>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</si>
  <si>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</si>
  <si>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</si>
  <si>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</si>
  <si>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</si>
  <si>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</si>
  <si>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</si>
  <si>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</si>
  <si>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</si>
  <si>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</si>
  <si>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</si>
  <si>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</si>
  <si>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</si>
  <si>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</si>
  <si>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</si>
  <si>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</si>
  <si>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</si>
  <si>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</si>
  <si>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</si>
  <si>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</si>
  <si>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</si>
  <si>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</si>
  <si>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</si>
  <si>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</si>
  <si>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</si>
  <si>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</si>
  <si>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</si>
  <si>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</si>
  <si>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</si>
  <si>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</si>
  <si>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</si>
  <si>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</si>
  <si>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</si>
  <si>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</si>
  <si>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</si>
  <si>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</si>
  <si>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</si>
  <si>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</si>
  <si>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</si>
  <si>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</si>
  <si>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</si>
  <si>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</si>
  <si>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</si>
  <si>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</si>
  <si>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</si>
  <si>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</si>
  <si>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</si>
  <si>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</si>
  <si>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</si>
  <si>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</si>
  <si>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</si>
  <si>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</si>
  <si>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</si>
  <si>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</si>
  <si>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</si>
  <si>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</si>
  <si>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</si>
  <si>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</si>
  <si>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</si>
  <si>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</si>
  <si>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</si>
  <si>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</si>
  <si>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</si>
  <si>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</si>
  <si>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</si>
  <si>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</si>
  <si>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</si>
  <si>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</si>
  <si>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</si>
  <si>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</si>
  <si>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</si>
  <si>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</si>
  <si>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</si>
  <si>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</si>
  <si>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</si>
  <si>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</si>
  <si>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</si>
  <si>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</si>
  <si>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</si>
  <si>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</si>
  <si>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</si>
  <si>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</si>
  <si>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</si>
  <si>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</si>
  <si>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</si>
  <si>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</si>
  <si>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</si>
  <si>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</si>
  <si>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</si>
  <si>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</si>
  <si>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</si>
  <si>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</si>
  <si>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</si>
  <si>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</si>
  <si>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</si>
  <si>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</si>
  <si>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</si>
  <si>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</si>
  <si>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</si>
  <si>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</si>
  <si>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</si>
  <si>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</si>
  <si>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</si>
  <si>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</si>
  <si>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</si>
  <si>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</si>
  <si>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</si>
  <si>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</si>
  <si>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</si>
  <si>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</si>
  <si>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</si>
  <si>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</si>
  <si>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</si>
  <si>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</si>
  <si>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</si>
  <si>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</si>
  <si>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</si>
  <si>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</si>
  <si>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</si>
  <si>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</si>
  <si>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</si>
  <si>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</si>
  <si>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</si>
  <si>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</si>
  <si>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</si>
  <si>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</si>
  <si>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</si>
  <si>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</si>
  <si>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</si>
  <si>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</si>
  <si>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</si>
  <si>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</si>
  <si>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</si>
  <si>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</si>
  <si>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</si>
  <si>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</si>
  <si>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</si>
  <si>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</si>
  <si>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</si>
  <si>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</si>
  <si>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</si>
  <si>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</si>
  <si>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</si>
  <si>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</si>
  <si>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</si>
  <si>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</si>
  <si>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</si>
  <si>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</si>
  <si>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</si>
  <si>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</si>
  <si>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</si>
  <si>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</si>
  <si>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</si>
  <si>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</si>
  <si>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</si>
  <si>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</si>
  <si>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</si>
  <si>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</si>
  <si>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</si>
  <si>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</si>
  <si>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</si>
  <si>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</si>
  <si>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</si>
  <si>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</si>
  <si>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</si>
  <si>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</si>
  <si>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</si>
  <si>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</si>
  <si>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</si>
  <si>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</si>
  <si>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</si>
  <si>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</si>
  <si>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</si>
  <si>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</si>
  <si>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</si>
  <si>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</si>
  <si>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</si>
  <si>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</si>
  <si>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</si>
  <si>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</si>
  <si>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</si>
  <si>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</si>
  <si>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</si>
  <si>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</si>
  <si>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</si>
  <si>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</si>
  <si>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</si>
  <si>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</si>
  <si>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</si>
  <si>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</si>
  <si>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</si>
  <si>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</si>
  <si>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</si>
  <si>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</si>
  <si>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</si>
  <si>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</si>
  <si>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</si>
  <si>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</si>
  <si>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</si>
  <si>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</si>
  <si>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</si>
  <si>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</si>
  <si>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</si>
  <si>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</si>
  <si>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</si>
  <si>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</si>
  <si>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</si>
  <si>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</si>
  <si>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</si>
  <si>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</si>
  <si>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</si>
  <si>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</si>
  <si>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Clinton</t>
  </si>
  <si>
    <t>350 Hull</t>
  </si>
  <si>
    <t xml:space="preserve">Aviston  </t>
  </si>
  <si>
    <t>www.avistonk-8.org</t>
  </si>
  <si>
    <t>62216-3407</t>
  </si>
  <si>
    <t>Phillip Hamil</t>
  </si>
  <si>
    <t>(618)228-7246</t>
  </si>
  <si>
    <t>(618)228-7121</t>
  </si>
  <si>
    <t>Greg M. McCalley &amp; Ass., P.C.</t>
  </si>
  <si>
    <t xml:space="preserve">Greg M McCalley </t>
  </si>
  <si>
    <t>855 East Ferguson</t>
  </si>
  <si>
    <t>Wood River</t>
  </si>
  <si>
    <t>IL</t>
  </si>
  <si>
    <t>(618)254-8188</t>
  </si>
  <si>
    <t>(618)254-8680</t>
  </si>
  <si>
    <t>060-0019547</t>
  </si>
  <si>
    <t>Greg@dmacpa.com</t>
  </si>
  <si>
    <t>Greg M McCalley &amp; Ass., P.C.</t>
  </si>
  <si>
    <t>Series 2015</t>
  </si>
  <si>
    <t>3 &amp; 4</t>
  </si>
  <si>
    <t>Tort Fund-Purchase Service</t>
  </si>
  <si>
    <t>Miller, Tracy, Braun, Funk</t>
  </si>
  <si>
    <t>Transportation Fund-Purchase Service</t>
  </si>
  <si>
    <t>M &amp; K Bus Service LLC</t>
  </si>
  <si>
    <t>Education Fund-Administrative -Purchase Service</t>
  </si>
  <si>
    <t>Education Fund-Attendance &amp; Social  Work-Purchase Serv.</t>
  </si>
  <si>
    <t>Coping 4 Kids</t>
  </si>
  <si>
    <t>Education Fund-Instruction Purchase Service</t>
  </si>
  <si>
    <t>Moore Computing, LLP</t>
  </si>
  <si>
    <t>Education Fund-Instruction-Purchase Service</t>
  </si>
  <si>
    <t>Da-Cam Corporation</t>
  </si>
  <si>
    <t>Key Government Finance Inc.</t>
  </si>
  <si>
    <t>O &amp; M Fund-Purchase Service</t>
  </si>
  <si>
    <t>Prost Heating &amp; Cooling</t>
  </si>
  <si>
    <t>Allied Wast Serive</t>
  </si>
  <si>
    <t>Barnett's Termite &amp; Pest Control</t>
  </si>
  <si>
    <t>Quality Turf</t>
  </si>
  <si>
    <t>Kaskaskia Special Education District</t>
  </si>
  <si>
    <t>PAGE 11, LINE 81, COLUMN ( C ), OTHER DISTRICT/SCHOOL ACTIVITY REVENUE</t>
  </si>
  <si>
    <t>ACTIVITY FEES</t>
  </si>
  <si>
    <t>COUNTRY COMPANIES GRANT</t>
  </si>
  <si>
    <t>PICTURE REBATE</t>
  </si>
  <si>
    <t>PCARAE REBATE</t>
  </si>
  <si>
    <t>OTHER</t>
  </si>
  <si>
    <t>PAGE 12, LINE 107,  COLUMN ( F ),  OTHER LOCAL REVENUE</t>
  </si>
  <si>
    <t>FAN BUS</t>
  </si>
  <si>
    <t>PAGE 13, LINE 174, COLUMN ( C ), OTHER UNRESTRICTED GRANT-IN-AID</t>
  </si>
  <si>
    <t>REAP</t>
  </si>
  <si>
    <t>PAGE 66, LINE 10, COLUMN ( H ), OTHER RECEIPTS</t>
  </si>
  <si>
    <t>MOBILE HOME TAX</t>
  </si>
  <si>
    <t>PAGE 12, LINE 107, COLUMN ( C ), OTHER LOCAL REVENUE</t>
  </si>
  <si>
    <t>80-2300-300</t>
  </si>
  <si>
    <t>40-2300-300</t>
  </si>
  <si>
    <t>10-2300-300</t>
  </si>
  <si>
    <t>20-2300-300</t>
  </si>
  <si>
    <t>Aviston 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</si>
</sst>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bottom style="medium">
        <color indexed="64"/>
      </bottom>
      <diagonal/>
    </border>
    <border>
      <left/>
      <right/>
      <top style="medium">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4" fontId="57" fillId="0" borderId="0" xfId="19" applyFont="1"/>
    <xf numFmtId="181" fontId="57" fillId="0" borderId="0" xfId="19" applyNumberFormat="1" applyFont="1"/>
    <xf numFmtId="181" fontId="57" fillId="0" borderId="165" xfId="19" applyNumberFormat="1" applyFont="1" applyBorder="1"/>
    <xf numFmtId="182" fontId="57" fillId="0" borderId="0" xfId="1" applyNumberFormat="1" applyFont="1"/>
    <xf numFmtId="182" fontId="57" fillId="0" borderId="166" xfId="1" applyNumberFormat="1" applyFont="1" applyBorder="1"/>
    <xf numFmtId="181" fontId="57" fillId="0" borderId="167" xfId="19" applyNumberFormat="1" applyFont="1" applyBorder="1"/>
    <xf numFmtId="181" fontId="57" fillId="0" borderId="167" xfId="0"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2711161</xdr:colOff>
          <xdr:row>3</xdr:row>
          <xdr:rowOff>38966</xdr:rowOff>
        </xdr:from>
        <xdr:to>
          <xdr:col>1</xdr:col>
          <xdr:colOff>3625561</xdr:colOff>
          <xdr:row>7</xdr:row>
          <xdr:rowOff>77066</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B849919B-D127-47DE-9FF4-1EE6ABEC2FF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1548246</xdr:colOff>
          <xdr:row>3</xdr:row>
          <xdr:rowOff>39832</xdr:rowOff>
        </xdr:from>
        <xdr:to>
          <xdr:col>1</xdr:col>
          <xdr:colOff>2462646</xdr:colOff>
          <xdr:row>7</xdr:row>
          <xdr:rowOff>77932</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E4F2CC66-89D6-4AB3-9AEC-86C96AC68F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412173</xdr:colOff>
          <xdr:row>3</xdr:row>
          <xdr:rowOff>35502</xdr:rowOff>
        </xdr:from>
        <xdr:to>
          <xdr:col>1</xdr:col>
          <xdr:colOff>1326573</xdr:colOff>
          <xdr:row>7</xdr:row>
          <xdr:rowOff>73602</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CC1390C1-655F-4DFB-834E-6670A26191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8" t="s">
        <v>405</v>
      </c>
      <c r="J1" s="1989"/>
      <c r="K1" s="1989"/>
      <c r="L1" s="1989"/>
      <c r="M1" s="1989"/>
      <c r="N1" s="1989"/>
      <c r="O1" s="1989"/>
      <c r="P1" s="1989"/>
      <c r="Q1" s="1989"/>
      <c r="R1" s="1989"/>
      <c r="S1" s="1989"/>
    </row>
    <row r="2" spans="1:28" ht="12" customHeight="1" x14ac:dyDescent="0.2">
      <c r="A2" s="47" t="s">
        <v>1993</v>
      </c>
      <c r="D2" s="48"/>
      <c r="I2" s="1990" t="s">
        <v>979</v>
      </c>
      <c r="J2" s="1989"/>
      <c r="K2" s="1989"/>
      <c r="L2" s="1989"/>
      <c r="M2" s="1989"/>
      <c r="N2" s="1989"/>
      <c r="O2" s="1989"/>
      <c r="P2" s="1989"/>
      <c r="Q2" s="1989"/>
      <c r="R2" s="1989"/>
      <c r="S2" s="1989"/>
    </row>
    <row r="3" spans="1:28" ht="12" customHeight="1" x14ac:dyDescent="0.2">
      <c r="A3" s="155" t="s">
        <v>1945</v>
      </c>
      <c r="B3" s="156"/>
      <c r="C3" s="156"/>
      <c r="D3" s="157"/>
      <c r="I3" s="1990" t="s">
        <v>52</v>
      </c>
      <c r="J3" s="1989"/>
      <c r="K3" s="1989"/>
      <c r="L3" s="1989"/>
      <c r="M3" s="1989"/>
      <c r="N3" s="1989"/>
      <c r="O3" s="1989"/>
      <c r="P3" s="1989"/>
      <c r="Q3" s="1989"/>
      <c r="R3" s="1989"/>
      <c r="S3" s="1989"/>
    </row>
    <row r="4" spans="1:28" ht="12" customHeight="1" x14ac:dyDescent="0.2">
      <c r="A4" s="37"/>
      <c r="I4" s="1990" t="s">
        <v>524</v>
      </c>
      <c r="J4" s="1989"/>
      <c r="K4" s="1989"/>
      <c r="L4" s="1989"/>
      <c r="M4" s="1989"/>
      <c r="N4" s="1989"/>
      <c r="O4" s="1989"/>
      <c r="P4" s="1989"/>
      <c r="Q4" s="1989"/>
      <c r="R4" s="1989"/>
      <c r="S4" s="1989"/>
    </row>
    <row r="5" spans="1:28" ht="14.1" customHeight="1" x14ac:dyDescent="0.2">
      <c r="B5" s="104" t="s">
        <v>2064</v>
      </c>
      <c r="C5" s="26" t="s">
        <v>910</v>
      </c>
      <c r="D5" s="84"/>
      <c r="E5" s="84"/>
      <c r="H5" s="38"/>
      <c r="I5" s="1998" t="s">
        <v>680</v>
      </c>
      <c r="J5" s="1997"/>
      <c r="K5" s="1997"/>
      <c r="L5" s="1997"/>
      <c r="M5" s="1997"/>
      <c r="N5" s="1997"/>
      <c r="O5" s="1997"/>
      <c r="P5" s="1997"/>
      <c r="Q5" s="1997"/>
      <c r="R5" s="1997"/>
      <c r="S5" s="1997"/>
    </row>
    <row r="6" spans="1:28" ht="14.1" customHeight="1" x14ac:dyDescent="0.2">
      <c r="B6" s="104"/>
      <c r="C6" s="26" t="s">
        <v>911</v>
      </c>
      <c r="D6" s="84"/>
      <c r="E6" s="84"/>
      <c r="I6" s="1996" t="s">
        <v>883</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674</v>
      </c>
      <c r="J9" s="1994"/>
      <c r="K9" s="1994"/>
      <c r="L9" s="1994"/>
      <c r="M9" s="1994"/>
      <c r="N9" s="1994"/>
      <c r="O9" s="1994"/>
      <c r="P9" s="1994"/>
      <c r="Q9" s="1994"/>
      <c r="R9" s="1994"/>
      <c r="S9" s="1995"/>
      <c r="T9" s="2009" t="s">
        <v>533</v>
      </c>
      <c r="U9" s="2010"/>
      <c r="V9" s="2010"/>
      <c r="W9" s="2010"/>
      <c r="X9" s="2010"/>
      <c r="Y9" s="2010"/>
      <c r="Z9" s="2010"/>
      <c r="AA9" s="2011"/>
    </row>
    <row r="10" spans="1:28" ht="13.5" customHeight="1" x14ac:dyDescent="0.2">
      <c r="A10" s="2016" t="s">
        <v>675</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955</v>
      </c>
      <c r="B11" s="2020"/>
      <c r="C11" s="2020"/>
      <c r="D11" s="2020"/>
      <c r="E11" s="2020"/>
      <c r="F11" s="2020"/>
      <c r="G11" s="2020"/>
      <c r="H11" s="2021"/>
      <c r="I11" s="27"/>
      <c r="J11" s="74"/>
      <c r="K11" s="27"/>
      <c r="O11" s="148" t="s">
        <v>2064</v>
      </c>
      <c r="P11" s="100" t="s">
        <v>201</v>
      </c>
      <c r="Q11" s="30"/>
      <c r="R11" s="28"/>
      <c r="S11" s="27"/>
      <c r="T11" s="2013"/>
      <c r="U11" s="2014"/>
      <c r="V11" s="2014"/>
      <c r="W11" s="2014"/>
      <c r="X11" s="2014"/>
      <c r="Y11" s="2014"/>
      <c r="Z11" s="2014"/>
      <c r="AA11" s="201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3">
        <v>13014021002</v>
      </c>
      <c r="B13" s="2024"/>
      <c r="C13" s="2024"/>
      <c r="D13" s="2024"/>
      <c r="E13" s="2024"/>
      <c r="F13" s="2024"/>
      <c r="G13" s="2024"/>
      <c r="H13" s="2025"/>
      <c r="I13" s="31"/>
      <c r="J13" s="30"/>
      <c r="K13" s="28"/>
      <c r="L13" s="30"/>
      <c r="M13" s="30"/>
      <c r="N13" s="30"/>
      <c r="O13" s="30"/>
      <c r="P13" s="30"/>
      <c r="Q13" s="30"/>
      <c r="R13" s="30"/>
      <c r="S13" s="30"/>
      <c r="T13" s="2028" t="s">
        <v>2073</v>
      </c>
      <c r="U13" s="2029"/>
      <c r="V13" s="2029"/>
      <c r="W13" s="2029"/>
      <c r="X13" s="2029"/>
      <c r="Y13" s="2030"/>
      <c r="Z13" s="2030"/>
      <c r="AA13" s="203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2" t="s">
        <v>2065</v>
      </c>
      <c r="B15" s="2026"/>
      <c r="C15" s="2026"/>
      <c r="D15" s="2026"/>
      <c r="E15" s="2026"/>
      <c r="F15" s="2026"/>
      <c r="G15" s="2026"/>
      <c r="H15" s="2027"/>
      <c r="T15" s="2032" t="s">
        <v>2074</v>
      </c>
      <c r="U15" s="1976"/>
      <c r="V15" s="1976"/>
      <c r="W15" s="1976"/>
      <c r="X15" s="1976"/>
      <c r="Y15" s="2033"/>
      <c r="Z15" s="2033"/>
      <c r="AA15" s="203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2" t="s">
        <v>2120</v>
      </c>
      <c r="B17" s="1983"/>
      <c r="C17" s="1983"/>
      <c r="D17" s="1983"/>
      <c r="E17" s="1983"/>
      <c r="F17" s="1983"/>
      <c r="G17" s="1983"/>
      <c r="H17" s="2008"/>
      <c r="T17" s="2039" t="s">
        <v>2075</v>
      </c>
      <c r="U17" s="2040"/>
      <c r="V17" s="2040"/>
      <c r="W17" s="2040"/>
      <c r="X17" s="2040"/>
      <c r="Y17" s="2040"/>
      <c r="Z17" s="2040"/>
      <c r="AA17" s="2041"/>
    </row>
    <row r="18" spans="1:27" ht="13.5" customHeight="1" x14ac:dyDescent="0.2">
      <c r="A18" s="85" t="s">
        <v>530</v>
      </c>
      <c r="B18" s="76"/>
      <c r="C18" s="72"/>
      <c r="D18" s="76"/>
      <c r="E18" s="76"/>
      <c r="F18" s="76"/>
      <c r="G18" s="76"/>
      <c r="H18" s="56"/>
      <c r="I18" s="2007" t="s">
        <v>676</v>
      </c>
      <c r="J18" s="1958"/>
      <c r="K18" s="1958"/>
      <c r="L18" s="1958"/>
      <c r="M18" s="1958"/>
      <c r="N18" s="1958"/>
      <c r="O18" s="1958"/>
      <c r="P18" s="1958"/>
      <c r="Q18" s="1958"/>
      <c r="R18" s="1958"/>
      <c r="S18" s="1959"/>
      <c r="T18" s="85" t="s">
        <v>711</v>
      </c>
      <c r="U18" s="51"/>
      <c r="V18" s="72"/>
      <c r="W18" s="50"/>
      <c r="X18" s="85" t="s">
        <v>266</v>
      </c>
      <c r="Y18" s="81"/>
      <c r="Z18" s="159" t="s">
        <v>677</v>
      </c>
      <c r="AA18" s="46"/>
    </row>
    <row r="19" spans="1:27" ht="13.5" customHeight="1" x14ac:dyDescent="0.2">
      <c r="A19" s="2022" t="s">
        <v>2066</v>
      </c>
      <c r="B19" s="1968"/>
      <c r="C19" s="1968"/>
      <c r="D19" s="1968"/>
      <c r="E19" s="1968"/>
      <c r="F19" s="1968"/>
      <c r="G19" s="1968"/>
      <c r="H19" s="1948"/>
      <c r="I19" s="30"/>
      <c r="J19" s="99"/>
      <c r="K19" s="40"/>
      <c r="L19" s="38"/>
      <c r="M19" s="112" t="s">
        <v>315</v>
      </c>
      <c r="P19" s="27"/>
      <c r="Q19" s="27"/>
      <c r="R19" s="27"/>
      <c r="S19" s="31"/>
      <c r="T19" s="2022" t="s">
        <v>2076</v>
      </c>
      <c r="U19" s="1947"/>
      <c r="V19" s="1947"/>
      <c r="W19" s="1948"/>
      <c r="X19" s="2037" t="s">
        <v>2077</v>
      </c>
      <c r="Y19" s="2038"/>
      <c r="Z19" s="2035">
        <v>62095</v>
      </c>
      <c r="AA19" s="203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6" t="s">
        <v>2067</v>
      </c>
      <c r="B21" s="1947"/>
      <c r="C21" s="1947"/>
      <c r="D21" s="1947"/>
      <c r="E21" s="1947"/>
      <c r="F21" s="1947"/>
      <c r="G21" s="1947"/>
      <c r="H21" s="1948"/>
      <c r="I21" s="2002" t="s">
        <v>678</v>
      </c>
      <c r="J21" s="1997"/>
      <c r="K21" s="1997"/>
      <c r="L21" s="1997"/>
      <c r="M21" s="1997"/>
      <c r="N21" s="1997"/>
      <c r="O21" s="1997"/>
      <c r="P21" s="1997"/>
      <c r="Q21" s="1997"/>
      <c r="R21" s="1997"/>
      <c r="S21" s="2003"/>
      <c r="T21" s="2046" t="s">
        <v>2078</v>
      </c>
      <c r="U21" s="2047"/>
      <c r="V21" s="2047"/>
      <c r="W21" s="2047"/>
      <c r="X21" s="2052" t="s">
        <v>2079</v>
      </c>
      <c r="Y21" s="2053"/>
      <c r="Z21" s="2053"/>
      <c r="AA21" s="2054"/>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1999" t="s">
        <v>2068</v>
      </c>
      <c r="B23" s="2000"/>
      <c r="C23" s="2000"/>
      <c r="D23" s="2000"/>
      <c r="E23" s="2000"/>
      <c r="F23" s="2000"/>
      <c r="G23" s="2000"/>
      <c r="H23" s="2001"/>
      <c r="T23" s="1982" t="s">
        <v>2080</v>
      </c>
      <c r="U23" s="2045"/>
      <c r="V23" s="2045"/>
      <c r="W23" s="2045"/>
      <c r="X23" s="2049">
        <v>44469</v>
      </c>
      <c r="Y23" s="2050"/>
      <c r="Z23" s="2050"/>
      <c r="AA23" s="2051"/>
    </row>
    <row r="24" spans="1:27" ht="14.1" customHeight="1" x14ac:dyDescent="0.2">
      <c r="A24" s="88" t="s">
        <v>677</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531</v>
      </c>
      <c r="U24" s="106"/>
      <c r="V24" s="106"/>
      <c r="W24" s="106"/>
      <c r="X24" s="107"/>
      <c r="Y24" s="107"/>
      <c r="Z24" s="107"/>
      <c r="AA24" s="108"/>
    </row>
    <row r="25" spans="1:27" ht="14.1" customHeight="1" x14ac:dyDescent="0.2">
      <c r="A25" s="1946" t="s">
        <v>2069</v>
      </c>
      <c r="B25" s="1947"/>
      <c r="C25" s="1947"/>
      <c r="D25" s="1947"/>
      <c r="E25" s="1947"/>
      <c r="F25" s="1947"/>
      <c r="G25" s="1947"/>
      <c r="H25" s="1948"/>
      <c r="I25" s="113"/>
      <c r="J25" s="1971"/>
      <c r="K25" s="1971"/>
      <c r="L25" s="1971"/>
      <c r="M25" s="1971"/>
      <c r="N25" s="1971"/>
      <c r="O25" s="1971"/>
      <c r="P25" s="1971"/>
      <c r="Q25" s="1971"/>
      <c r="R25" s="1971"/>
      <c r="S25" s="1972"/>
      <c r="T25" s="2042" t="s">
        <v>2081</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7" t="s">
        <v>1511</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2" t="s">
        <v>2070</v>
      </c>
      <c r="B38" s="1983"/>
      <c r="C38" s="1983"/>
      <c r="D38" s="1983"/>
      <c r="E38" s="1983"/>
      <c r="F38" s="1947"/>
      <c r="G38" s="1947"/>
      <c r="H38" s="1948"/>
      <c r="I38" s="1975"/>
      <c r="J38" s="1976"/>
      <c r="K38" s="1976"/>
      <c r="L38" s="1976"/>
      <c r="M38" s="1976"/>
      <c r="N38" s="1976"/>
      <c r="O38" s="1976"/>
      <c r="P38" s="1977"/>
      <c r="Q38" s="1977"/>
      <c r="R38" s="1977"/>
      <c r="S38" s="1978"/>
      <c r="T38" s="2032"/>
      <c r="U38" s="1976"/>
      <c r="V38" s="1976"/>
      <c r="W38" s="1976"/>
      <c r="X38" s="1977"/>
      <c r="Y38" s="1977"/>
      <c r="Z38" s="1977"/>
      <c r="AA38" s="1978"/>
    </row>
    <row r="39" spans="1:27" ht="12" customHeight="1" x14ac:dyDescent="0.2">
      <c r="A39" s="1952" t="s">
        <v>531</v>
      </c>
      <c r="B39" s="1953"/>
      <c r="C39" s="72"/>
      <c r="D39" s="69"/>
      <c r="E39" s="69"/>
      <c r="F39" s="79"/>
      <c r="G39" s="69"/>
      <c r="H39" s="56"/>
      <c r="I39" s="1952" t="s">
        <v>531</v>
      </c>
      <c r="J39" s="1953"/>
      <c r="K39" s="1953"/>
      <c r="L39" s="1953"/>
      <c r="M39" s="1953"/>
      <c r="N39" s="67"/>
      <c r="O39" s="72"/>
      <c r="P39" s="72"/>
      <c r="Q39" s="78"/>
      <c r="R39" s="72"/>
      <c r="S39" s="56"/>
      <c r="T39" s="72" t="s">
        <v>531</v>
      </c>
      <c r="U39" s="51"/>
      <c r="V39" s="72"/>
      <c r="W39" s="50"/>
      <c r="X39" s="78"/>
      <c r="Y39" s="45"/>
      <c r="Z39" s="45"/>
      <c r="AA39" s="46"/>
    </row>
    <row r="40" spans="1:27" ht="13.5" customHeight="1" x14ac:dyDescent="0.2">
      <c r="A40" s="1960"/>
      <c r="B40" s="1961"/>
      <c r="C40" s="1962"/>
      <c r="D40" s="1962"/>
      <c r="E40" s="1962"/>
      <c r="F40" s="1963"/>
      <c r="G40" s="1963"/>
      <c r="H40" s="1964"/>
      <c r="I40" s="1985"/>
      <c r="J40" s="1986"/>
      <c r="K40" s="1986"/>
      <c r="L40" s="1986"/>
      <c r="M40" s="1986"/>
      <c r="N40" s="1986"/>
      <c r="O40" s="1986"/>
      <c r="P40" s="1986"/>
      <c r="Q40" s="1986"/>
      <c r="R40" s="1986"/>
      <c r="S40" s="1987"/>
      <c r="T40" s="1985"/>
      <c r="U40" s="2048"/>
      <c r="V40" s="1986"/>
      <c r="W40" s="1986"/>
      <c r="X40" s="1986"/>
      <c r="Y40" s="1986"/>
      <c r="Z40" s="1986"/>
      <c r="AA40" s="198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4" t="s">
        <v>2071</v>
      </c>
      <c r="B42" s="1966"/>
      <c r="C42" s="1967"/>
      <c r="D42" s="1965" t="s">
        <v>2072</v>
      </c>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9-14'!C5</f>
        <v>502365</v>
      </c>
      <c r="C4" s="1524">
        <v>208</v>
      </c>
      <c r="D4" s="1752">
        <f>B4-C4</f>
        <v>502157</v>
      </c>
      <c r="E4" s="1524">
        <v>528746</v>
      </c>
      <c r="F4" s="1752">
        <f>E4-C4</f>
        <v>528538</v>
      </c>
    </row>
    <row r="5" spans="1:6" ht="13.7" customHeight="1" x14ac:dyDescent="0.2">
      <c r="A5" s="715" t="s">
        <v>870</v>
      </c>
      <c r="B5" s="1750">
        <f>'Revenues 9-14'!D5</f>
        <v>136513</v>
      </c>
      <c r="C5" s="585">
        <v>56</v>
      </c>
      <c r="D5" s="1753">
        <f t="shared" ref="D5:D18" si="0">B5-C5</f>
        <v>136457</v>
      </c>
      <c r="E5" s="585">
        <v>143681</v>
      </c>
      <c r="F5" s="1753">
        <f>E5-C5</f>
        <v>143625</v>
      </c>
    </row>
    <row r="6" spans="1:6" ht="13.7" customHeight="1" x14ac:dyDescent="0.2">
      <c r="A6" s="715" t="s">
        <v>411</v>
      </c>
      <c r="B6" s="1750">
        <f>'Revenues 9-14'!E5</f>
        <v>241574</v>
      </c>
      <c r="C6" s="585">
        <v>100</v>
      </c>
      <c r="D6" s="1753">
        <f t="shared" si="0"/>
        <v>241474</v>
      </c>
      <c r="E6" s="585">
        <v>242105</v>
      </c>
      <c r="F6" s="1753">
        <f t="shared" ref="F6:F18" si="1">E6-C6</f>
        <v>242005</v>
      </c>
    </row>
    <row r="7" spans="1:6" ht="13.7" customHeight="1" x14ac:dyDescent="0.2">
      <c r="A7" s="715" t="s">
        <v>155</v>
      </c>
      <c r="B7" s="1750">
        <f>'Revenues 9-14'!F5</f>
        <v>65526</v>
      </c>
      <c r="C7" s="585">
        <v>27</v>
      </c>
      <c r="D7" s="1753">
        <f t="shared" si="0"/>
        <v>65499</v>
      </c>
      <c r="E7" s="585">
        <v>68967</v>
      </c>
      <c r="F7" s="1753">
        <f t="shared" si="1"/>
        <v>68940</v>
      </c>
    </row>
    <row r="8" spans="1:6" ht="13.7" customHeight="1" x14ac:dyDescent="0.2">
      <c r="A8" s="715" t="s">
        <v>1179</v>
      </c>
      <c r="B8" s="1750">
        <f>'Revenues 9-14'!G5</f>
        <v>9996</v>
      </c>
      <c r="C8" s="585">
        <v>7</v>
      </c>
      <c r="D8" s="1753">
        <f t="shared" si="0"/>
        <v>9989</v>
      </c>
      <c r="E8" s="585">
        <v>17018</v>
      </c>
      <c r="F8" s="1753">
        <f t="shared" si="1"/>
        <v>17011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27303</v>
      </c>
      <c r="C10" s="585">
        <v>11</v>
      </c>
      <c r="D10" s="1753">
        <f t="shared" si="0"/>
        <v>27292</v>
      </c>
      <c r="E10" s="585">
        <v>28736</v>
      </c>
      <c r="F10" s="1753">
        <f t="shared" si="1"/>
        <v>28725</v>
      </c>
    </row>
    <row r="11" spans="1:6" x14ac:dyDescent="0.2">
      <c r="A11" s="715" t="s">
        <v>409</v>
      </c>
      <c r="B11" s="1750">
        <f>'Revenues 9-14'!J5</f>
        <v>239843</v>
      </c>
      <c r="C11" s="585">
        <v>99</v>
      </c>
      <c r="D11" s="1753">
        <f t="shared" si="0"/>
        <v>239744</v>
      </c>
      <c r="E11" s="585">
        <v>240253</v>
      </c>
      <c r="F11" s="1753">
        <f t="shared" si="1"/>
        <v>240154</v>
      </c>
    </row>
    <row r="12" spans="1:6" ht="13.7" customHeight="1" x14ac:dyDescent="0.2">
      <c r="A12" s="715" t="s">
        <v>157</v>
      </c>
      <c r="B12" s="1750">
        <f>'Revenues 9-14'!K5</f>
        <v>3022</v>
      </c>
      <c r="C12" s="585">
        <v>1</v>
      </c>
      <c r="D12" s="1753">
        <f t="shared" si="0"/>
        <v>3021</v>
      </c>
      <c r="E12" s="585">
        <v>3002</v>
      </c>
      <c r="F12" s="1753">
        <f t="shared" si="1"/>
        <v>3001</v>
      </c>
    </row>
    <row r="13" spans="1:6" ht="13.7" customHeight="1" x14ac:dyDescent="0.2">
      <c r="A13" s="715" t="s">
        <v>936</v>
      </c>
      <c r="B13" s="1750">
        <f>SUM('Revenues 9-14'!C6:D6)</f>
        <v>27303</v>
      </c>
      <c r="C13" s="585">
        <v>11</v>
      </c>
      <c r="D13" s="1753">
        <f t="shared" si="0"/>
        <v>27292</v>
      </c>
      <c r="E13" s="585">
        <v>28736</v>
      </c>
      <c r="F13" s="1753">
        <f t="shared" si="1"/>
        <v>28725</v>
      </c>
    </row>
    <row r="14" spans="1:6" ht="13.7" customHeight="1" x14ac:dyDescent="0.2">
      <c r="A14" s="715" t="s">
        <v>410</v>
      </c>
      <c r="B14" s="1750">
        <f>SUM('Revenues 9-14'!C7:D7,'Revenues 9-14'!F7:H7)</f>
        <v>10921</v>
      </c>
      <c r="C14" s="585">
        <v>5</v>
      </c>
      <c r="D14" s="1753">
        <f t="shared" si="0"/>
        <v>10916</v>
      </c>
      <c r="E14" s="585">
        <v>11495</v>
      </c>
      <c r="F14" s="1753">
        <f t="shared" si="1"/>
        <v>11490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14995</v>
      </c>
      <c r="C16" s="585">
        <v>8</v>
      </c>
      <c r="D16" s="1753">
        <f t="shared" si="0"/>
        <v>14987</v>
      </c>
      <c r="E16" s="585">
        <v>20020</v>
      </c>
      <c r="F16" s="1753">
        <f t="shared" si="1"/>
        <v>20012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1279361</v>
      </c>
      <c r="C19" s="1751">
        <f>SUM(C4:C18)</f>
        <v>533</v>
      </c>
      <c r="D19" s="1751">
        <f>SUM(D4:D18)</f>
        <v>1278828</v>
      </c>
      <c r="E19" s="1751">
        <f>SUM(E4:E18)</f>
        <v>1332759</v>
      </c>
      <c r="F19" s="1751">
        <f>SUM(F4:F18)</f>
        <v>1332226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6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32" sqref="A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08"/>
      <c r="C1" s="721"/>
    </row>
    <row r="2" spans="1:7" ht="33.75" x14ac:dyDescent="0.2">
      <c r="A2" s="2215" t="s">
        <v>1802</v>
      </c>
      <c r="B2" s="2216"/>
      <c r="C2" s="1884" t="s">
        <v>1956</v>
      </c>
      <c r="D2" s="723" t="s">
        <v>1957</v>
      </c>
      <c r="E2" s="723" t="s">
        <v>1958</v>
      </c>
      <c r="F2" s="1884" t="s">
        <v>1959</v>
      </c>
    </row>
    <row r="3" spans="1:7" ht="15.75" customHeight="1" x14ac:dyDescent="0.2">
      <c r="A3" s="2217" t="s">
        <v>1114</v>
      </c>
      <c r="B3" s="2218"/>
      <c r="C3" s="2211"/>
      <c r="D3" s="2212"/>
      <c r="E3" s="2212"/>
      <c r="F3" s="2213"/>
    </row>
    <row r="4" spans="1:7" ht="12.75" customHeight="1" thickBot="1" x14ac:dyDescent="0.25">
      <c r="A4" s="2205" t="s">
        <v>630</v>
      </c>
      <c r="B4" s="2206"/>
      <c r="C4" s="581"/>
      <c r="D4" s="581"/>
      <c r="E4" s="581"/>
      <c r="F4" s="1755">
        <f>SUM(C4+D4)-E4</f>
        <v>0</v>
      </c>
    </row>
    <row r="5" spans="1:7" ht="15.75" customHeight="1" thickTop="1" x14ac:dyDescent="0.2">
      <c r="A5" s="2209" t="s">
        <v>1110</v>
      </c>
      <c r="B5" s="2204"/>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1" t="s">
        <v>631</v>
      </c>
      <c r="B15" s="2202"/>
      <c r="C15" s="1755">
        <f>SUM(C6:C14)</f>
        <v>0</v>
      </c>
      <c r="D15" s="1755">
        <f>SUM(D6:D14)</f>
        <v>0</v>
      </c>
      <c r="E15" s="1755">
        <f>SUM(E6:E14)</f>
        <v>0</v>
      </c>
      <c r="F15" s="1755">
        <f>SUM(F6:F14)</f>
        <v>0</v>
      </c>
      <c r="G15" s="552"/>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6"/>
      <c r="D17" s="585"/>
      <c r="E17" s="726"/>
      <c r="F17" s="1755">
        <f>SUM(C17+D17)-E17</f>
        <v>0</v>
      </c>
    </row>
    <row r="18" spans="1:11" ht="12.75" customHeight="1" thickTop="1" thickBot="1" x14ac:dyDescent="0.25">
      <c r="A18" s="2196" t="s">
        <v>6</v>
      </c>
      <c r="B18" s="2197"/>
      <c r="C18" s="726"/>
      <c r="D18" s="585"/>
      <c r="E18" s="726"/>
      <c r="F18" s="1755">
        <f>SUM(C18+D18)-E18</f>
        <v>0</v>
      </c>
    </row>
    <row r="19" spans="1:11" ht="12.75" customHeight="1" thickTop="1" thickBot="1" x14ac:dyDescent="0.25">
      <c r="A19" s="2196" t="s">
        <v>388</v>
      </c>
      <c r="B19" s="2197"/>
      <c r="C19" s="726"/>
      <c r="D19" s="585"/>
      <c r="E19" s="726"/>
      <c r="F19" s="1755">
        <f>SUM(C19+D19)-E19</f>
        <v>0</v>
      </c>
    </row>
    <row r="20" spans="1:11" ht="12.75" customHeight="1" thickTop="1" thickBot="1" x14ac:dyDescent="0.25">
      <c r="A20" s="2196" t="s">
        <v>448</v>
      </c>
      <c r="B20" s="2197"/>
      <c r="C20" s="726"/>
      <c r="D20" s="585"/>
      <c r="E20" s="726"/>
      <c r="F20" s="1755">
        <f>SUM(C20+D20)-E20</f>
        <v>0</v>
      </c>
    </row>
    <row r="21" spans="1:11" ht="14.25" thickTop="1" thickBot="1" x14ac:dyDescent="0.25">
      <c r="A21" s="2201" t="s">
        <v>632</v>
      </c>
      <c r="B21" s="2202"/>
      <c r="C21" s="1755">
        <f>SUM(C17:C20)</f>
        <v>0</v>
      </c>
      <c r="D21" s="1755">
        <f>SUM(D17:D20)</f>
        <v>0</v>
      </c>
      <c r="E21" s="1755">
        <f>SUM(E17:E20)</f>
        <v>0</v>
      </c>
      <c r="F21" s="1755">
        <f>SUM(F17:F20)</f>
        <v>0</v>
      </c>
      <c r="G21" s="552"/>
    </row>
    <row r="22" spans="1:11" ht="15.75" customHeight="1" thickTop="1" x14ac:dyDescent="0.2">
      <c r="A22" s="2203" t="s">
        <v>1112</v>
      </c>
      <c r="B22" s="2204"/>
      <c r="C22" s="2198"/>
      <c r="D22" s="2199"/>
      <c r="E22" s="2199"/>
      <c r="F22" s="2200"/>
    </row>
    <row r="23" spans="1:11" ht="13.5" thickBot="1" x14ac:dyDescent="0.25">
      <c r="A23" s="2205" t="s">
        <v>633</v>
      </c>
      <c r="B23" s="2206"/>
      <c r="C23" s="581"/>
      <c r="D23" s="581"/>
      <c r="E23" s="581"/>
      <c r="F23" s="1755">
        <f>SUM(C23+D23)-E23</f>
        <v>0</v>
      </c>
      <c r="G23" s="552"/>
    </row>
    <row r="24" spans="1:11" ht="15.75" customHeight="1" thickTop="1" x14ac:dyDescent="0.2">
      <c r="A24" s="2203" t="s">
        <v>1113</v>
      </c>
      <c r="B24" s="2204"/>
      <c r="C24" s="2198"/>
      <c r="D24" s="2199"/>
      <c r="E24" s="2199"/>
      <c r="F24" s="2200"/>
    </row>
    <row r="25" spans="1:11" ht="13.5" thickBot="1" x14ac:dyDescent="0.25">
      <c r="A25" s="2205" t="s">
        <v>634</v>
      </c>
      <c r="B25" s="2206"/>
      <c r="C25" s="581"/>
      <c r="D25" s="581"/>
      <c r="E25" s="581"/>
      <c r="F25" s="1755">
        <f>SUM(C25+D25)-E25</f>
        <v>0</v>
      </c>
      <c r="G25" s="552"/>
    </row>
    <row r="26" spans="1:11" ht="15.75" customHeight="1" thickTop="1" x14ac:dyDescent="0.2">
      <c r="A26" s="2209" t="s">
        <v>657</v>
      </c>
      <c r="B26" s="2204"/>
      <c r="C26" s="727"/>
      <c r="D26" s="727"/>
      <c r="E26" s="727"/>
      <c r="F26" s="728"/>
    </row>
    <row r="27" spans="1:11" ht="13.5" thickBot="1" x14ac:dyDescent="0.25">
      <c r="A27" s="2201" t="s">
        <v>1070</v>
      </c>
      <c r="B27" s="2202"/>
      <c r="C27" s="585"/>
      <c r="D27" s="585"/>
      <c r="E27" s="585"/>
      <c r="F27" s="1755">
        <f>SUM(C27+D27)-E27</f>
        <v>0</v>
      </c>
      <c r="G27" s="552"/>
    </row>
    <row r="28" spans="1:11" ht="7.5" customHeight="1" thickTop="1" x14ac:dyDescent="0.2">
      <c r="A28" s="593"/>
    </row>
    <row r="29" spans="1:11" ht="23.25" customHeight="1" x14ac:dyDescent="0.2">
      <c r="A29" s="2207" t="s">
        <v>582</v>
      </c>
      <c r="B29" s="220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2083</v>
      </c>
      <c r="B31" s="733">
        <v>42339</v>
      </c>
      <c r="C31" s="734">
        <v>2129800</v>
      </c>
      <c r="D31" s="735" t="s">
        <v>2084</v>
      </c>
      <c r="E31" s="734">
        <v>1735800</v>
      </c>
      <c r="F31" s="734"/>
      <c r="G31" s="734"/>
      <c r="H31" s="734">
        <v>200600</v>
      </c>
      <c r="I31" s="1756">
        <f>((E31+F31)-H31)+G31</f>
        <v>1535200</v>
      </c>
      <c r="J31" s="734">
        <v>1513227</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2129800</v>
      </c>
      <c r="D49" s="745"/>
      <c r="E49" s="1756">
        <f t="shared" ref="E49:J49" si="2">SUM(E31:E48)</f>
        <v>1735800</v>
      </c>
      <c r="F49" s="1756">
        <f t="shared" si="2"/>
        <v>0</v>
      </c>
      <c r="G49" s="1756">
        <f t="shared" si="2"/>
        <v>0</v>
      </c>
      <c r="H49" s="1756">
        <f t="shared" si="2"/>
        <v>200600</v>
      </c>
      <c r="I49" s="1756">
        <f t="shared" si="2"/>
        <v>1535200</v>
      </c>
      <c r="J49" s="1756">
        <f t="shared" si="2"/>
        <v>1513227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0" t="s">
        <v>584</v>
      </c>
      <c r="C52" s="2191"/>
      <c r="D52" s="2191"/>
      <c r="E52" s="749" t="s">
        <v>845</v>
      </c>
      <c r="F52" s="2192"/>
      <c r="G52" s="2193"/>
      <c r="H52" s="736"/>
      <c r="I52" s="736"/>
      <c r="J52" s="746"/>
    </row>
    <row r="53" spans="1:11" ht="11.25" customHeight="1" x14ac:dyDescent="0.2">
      <c r="A53" s="750" t="s">
        <v>913</v>
      </c>
      <c r="B53" s="751" t="s">
        <v>951</v>
      </c>
      <c r="C53" s="746"/>
      <c r="D53" s="737"/>
      <c r="E53" s="749" t="s">
        <v>497</v>
      </c>
      <c r="F53" s="2194"/>
      <c r="G53" s="2195"/>
      <c r="H53" s="736"/>
      <c r="I53" s="736"/>
      <c r="J53" s="746"/>
    </row>
    <row r="54" spans="1:11" ht="11.25" customHeight="1" x14ac:dyDescent="0.2">
      <c r="A54" s="752" t="s">
        <v>914</v>
      </c>
      <c r="B54" s="747" t="s">
        <v>952</v>
      </c>
      <c r="C54" s="746"/>
      <c r="D54" s="737"/>
      <c r="E54" s="749" t="s">
        <v>498</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66"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856</v>
      </c>
      <c r="B1" s="2220"/>
      <c r="C1" s="2220"/>
      <c r="D1" s="2220"/>
      <c r="E1" s="2220"/>
      <c r="F1" s="2220"/>
      <c r="G1" s="2221"/>
      <c r="H1" s="1530"/>
      <c r="I1" s="760"/>
      <c r="J1" s="433"/>
    </row>
    <row r="2" spans="1:11" ht="26.25" x14ac:dyDescent="0.2">
      <c r="A2" s="2238" t="s">
        <v>1677</v>
      </c>
      <c r="B2" s="2239"/>
      <c r="C2" s="2239"/>
      <c r="D2" s="2239"/>
      <c r="E2" s="2240"/>
      <c r="F2" s="761" t="s">
        <v>904</v>
      </c>
      <c r="G2" s="762" t="s">
        <v>1674</v>
      </c>
      <c r="H2" s="762" t="s">
        <v>410</v>
      </c>
      <c r="I2" s="762" t="s">
        <v>1158</v>
      </c>
      <c r="J2" s="762" t="s">
        <v>1812</v>
      </c>
      <c r="K2" s="762" t="s">
        <v>138</v>
      </c>
    </row>
    <row r="3" spans="1:11" x14ac:dyDescent="0.2">
      <c r="A3" s="2241" t="s">
        <v>1964</v>
      </c>
      <c r="B3" s="2242"/>
      <c r="C3" s="2242"/>
      <c r="D3" s="2242"/>
      <c r="E3" s="2243"/>
      <c r="F3" s="763"/>
      <c r="G3" s="764"/>
      <c r="H3" s="764"/>
      <c r="I3" s="764"/>
      <c r="J3" s="765"/>
      <c r="K3" s="765"/>
    </row>
    <row r="4" spans="1:11" x14ac:dyDescent="0.2">
      <c r="A4" s="2244" t="s">
        <v>369</v>
      </c>
      <c r="B4" s="2245"/>
      <c r="C4" s="2245"/>
      <c r="D4" s="2245"/>
      <c r="E4" s="2191"/>
      <c r="F4" s="766"/>
      <c r="G4" s="767"/>
      <c r="H4" s="768"/>
      <c r="I4" s="767"/>
      <c r="J4" s="769"/>
      <c r="K4" s="769"/>
    </row>
    <row r="5" spans="1:11" x14ac:dyDescent="0.2">
      <c r="A5" s="2222" t="s">
        <v>1069</v>
      </c>
      <c r="B5" s="2223"/>
      <c r="C5" s="2223"/>
      <c r="D5" s="2223"/>
      <c r="E5" s="2224"/>
      <c r="F5" s="770" t="s">
        <v>848</v>
      </c>
      <c r="G5" s="771"/>
      <c r="H5" s="764"/>
      <c r="I5" s="772"/>
      <c r="J5" s="773"/>
      <c r="K5" s="773"/>
    </row>
    <row r="6" spans="1:11" x14ac:dyDescent="0.2">
      <c r="A6" s="774" t="s">
        <v>720</v>
      </c>
      <c r="B6" s="775"/>
      <c r="C6" s="775"/>
      <c r="D6" s="775"/>
      <c r="E6" s="776"/>
      <c r="F6" s="777" t="s">
        <v>849</v>
      </c>
      <c r="G6" s="764"/>
      <c r="H6" s="764">
        <v>10921</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2" t="s">
        <v>1813</v>
      </c>
      <c r="B10" s="2223"/>
      <c r="C10" s="2223"/>
      <c r="D10" s="2223"/>
      <c r="E10" s="2225"/>
      <c r="F10" s="783" t="s">
        <v>862</v>
      </c>
      <c r="G10" s="782"/>
      <c r="H10" s="784">
        <v>2</v>
      </c>
      <c r="I10" s="764"/>
      <c r="J10" s="765"/>
      <c r="K10" s="765"/>
    </row>
    <row r="11" spans="1:11" x14ac:dyDescent="0.2">
      <c r="A11" s="2222" t="s">
        <v>160</v>
      </c>
      <c r="B11" s="2223"/>
      <c r="C11" s="2223"/>
      <c r="D11" s="2223"/>
      <c r="E11" s="2224"/>
      <c r="F11" s="770" t="s">
        <v>852</v>
      </c>
      <c r="G11" s="771"/>
      <c r="H11" s="764"/>
      <c r="I11" s="764"/>
      <c r="J11" s="765"/>
      <c r="K11" s="773"/>
    </row>
    <row r="12" spans="1:11" ht="13.5" thickBot="1" x14ac:dyDescent="0.25">
      <c r="A12" s="2249" t="s">
        <v>905</v>
      </c>
      <c r="B12" s="2250"/>
      <c r="C12" s="2250"/>
      <c r="D12" s="2250"/>
      <c r="E12" s="2251"/>
      <c r="F12" s="1757"/>
      <c r="G12" s="1758">
        <f>SUM(G5:G11)</f>
        <v>0</v>
      </c>
      <c r="H12" s="1758">
        <f>SUM(H5:H11)</f>
        <v>10923</v>
      </c>
      <c r="I12" s="1758">
        <f>SUM(I5:I11)</f>
        <v>0</v>
      </c>
      <c r="J12" s="1758">
        <f>SUM(J5:J11)</f>
        <v>0</v>
      </c>
      <c r="K12" s="1758">
        <f>SUM(K5:K11)</f>
        <v>0</v>
      </c>
    </row>
    <row r="13" spans="1:11" ht="13.5" thickTop="1" x14ac:dyDescent="0.2">
      <c r="A13" s="2246" t="s">
        <v>370</v>
      </c>
      <c r="B13" s="2247"/>
      <c r="C13" s="2247"/>
      <c r="D13" s="2247"/>
      <c r="E13" s="2248"/>
      <c r="F13" s="785"/>
      <c r="G13" s="786"/>
      <c r="H13" s="787"/>
      <c r="I13" s="788"/>
      <c r="J13" s="788"/>
      <c r="K13" s="788"/>
    </row>
    <row r="14" spans="1:11" x14ac:dyDescent="0.2">
      <c r="A14" s="2229" t="s">
        <v>456</v>
      </c>
      <c r="B14" s="2229"/>
      <c r="C14" s="2229"/>
      <c r="D14" s="2229"/>
      <c r="E14" s="2230"/>
      <c r="F14" s="789" t="s">
        <v>854</v>
      </c>
      <c r="G14" s="782"/>
      <c r="H14" s="764">
        <v>10923</v>
      </c>
      <c r="I14" s="771"/>
      <c r="J14" s="773"/>
      <c r="K14" s="765"/>
    </row>
    <row r="15" spans="1:11" x14ac:dyDescent="0.2">
      <c r="A15" s="2223" t="s">
        <v>4</v>
      </c>
      <c r="B15" s="2223"/>
      <c r="C15" s="2223"/>
      <c r="D15" s="2223"/>
      <c r="E15" s="2224"/>
      <c r="F15" s="789" t="s">
        <v>855</v>
      </c>
      <c r="G15" s="771"/>
      <c r="H15" s="764"/>
      <c r="I15" s="764"/>
      <c r="J15" s="765"/>
      <c r="K15" s="765"/>
    </row>
    <row r="16" spans="1:11" x14ac:dyDescent="0.2">
      <c r="A16" s="2223" t="s">
        <v>298</v>
      </c>
      <c r="B16" s="2223"/>
      <c r="C16" s="2223"/>
      <c r="D16" s="2223"/>
      <c r="E16" s="2224"/>
      <c r="F16" s="789" t="s">
        <v>923</v>
      </c>
      <c r="G16" s="772"/>
      <c r="H16" s="767"/>
      <c r="I16" s="767"/>
      <c r="J16" s="769"/>
      <c r="K16" s="769"/>
    </row>
    <row r="17" spans="1:11" x14ac:dyDescent="0.2">
      <c r="A17" s="2254" t="s">
        <v>935</v>
      </c>
      <c r="B17" s="2254"/>
      <c r="C17" s="2254"/>
      <c r="D17" s="2254"/>
      <c r="E17" s="2255"/>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31" t="s">
        <v>1809</v>
      </c>
      <c r="B19" s="2231"/>
      <c r="C19" s="2231"/>
      <c r="D19" s="2231"/>
      <c r="E19" s="2232"/>
      <c r="F19" s="789" t="s">
        <v>933</v>
      </c>
      <c r="G19" s="782"/>
      <c r="H19" s="782"/>
      <c r="I19" s="782"/>
      <c r="J19" s="765"/>
      <c r="K19" s="795"/>
    </row>
    <row r="20" spans="1:11" x14ac:dyDescent="0.2">
      <c r="A20" s="2233" t="s">
        <v>1814</v>
      </c>
      <c r="B20" s="2234"/>
      <c r="C20" s="2234"/>
      <c r="D20" s="2234"/>
      <c r="E20" s="2235"/>
      <c r="F20" s="789" t="s">
        <v>934</v>
      </c>
      <c r="G20" s="782"/>
      <c r="H20" s="782"/>
      <c r="I20" s="782"/>
      <c r="J20" s="765"/>
      <c r="K20" s="795"/>
    </row>
    <row r="21" spans="1:11" ht="13.5" thickBot="1" x14ac:dyDescent="0.25">
      <c r="A21" s="2252" t="s">
        <v>638</v>
      </c>
      <c r="B21" s="2252"/>
      <c r="C21" s="2252"/>
      <c r="D21" s="2252"/>
      <c r="E21" s="2252"/>
      <c r="F21" s="1759"/>
      <c r="G21" s="792"/>
      <c r="H21" s="796"/>
      <c r="I21" s="796"/>
      <c r="J21" s="1760">
        <f>SUM(J18:J20)</f>
        <v>0</v>
      </c>
      <c r="K21" s="793"/>
    </row>
    <row r="22" spans="1:11" ht="13.5" thickTop="1" x14ac:dyDescent="0.2">
      <c r="A22" s="2223" t="s">
        <v>1815</v>
      </c>
      <c r="B22" s="2223"/>
      <c r="C22" s="2223"/>
      <c r="D22" s="2223"/>
      <c r="E22" s="2224"/>
      <c r="F22" s="789" t="s">
        <v>862</v>
      </c>
      <c r="G22" s="782"/>
      <c r="H22" s="764"/>
      <c r="I22" s="764"/>
      <c r="J22" s="797"/>
      <c r="K22" s="765"/>
    </row>
    <row r="23" spans="1:11" ht="13.5" thickBot="1" x14ac:dyDescent="0.25">
      <c r="A23" s="2253" t="s">
        <v>906</v>
      </c>
      <c r="B23" s="2252"/>
      <c r="C23" s="2252"/>
      <c r="D23" s="2252"/>
      <c r="E23" s="2252"/>
      <c r="F23" s="1761"/>
      <c r="G23" s="1758">
        <f>SUM(G14:G16,G21,G22)</f>
        <v>0</v>
      </c>
      <c r="H23" s="1758">
        <f>SUM(H14:H16,H21,H22)</f>
        <v>10923</v>
      </c>
      <c r="I23" s="1758">
        <f>SUM(I14:I16,I21,I22)</f>
        <v>0</v>
      </c>
      <c r="J23" s="1758">
        <f>SUM(J14:J16,J21,J22)</f>
        <v>0</v>
      </c>
      <c r="K23" s="1758">
        <f>SUM(K14:K16,K21,K22)</f>
        <v>0</v>
      </c>
    </row>
    <row r="24" spans="1:11" ht="14.25" thickTop="1" thickBot="1" x14ac:dyDescent="0.25">
      <c r="A24" s="2253" t="s">
        <v>1965</v>
      </c>
      <c r="B24" s="2252"/>
      <c r="C24" s="2252"/>
      <c r="D24" s="2252"/>
      <c r="E24" s="225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6"/>
      <c r="I31" s="2227"/>
      <c r="J31" s="2227"/>
      <c r="K31" s="2227"/>
    </row>
    <row r="32" spans="1:11" x14ac:dyDescent="0.2">
      <c r="A32" s="809"/>
      <c r="B32" s="237"/>
      <c r="C32" s="237"/>
      <c r="D32" s="237"/>
      <c r="E32" s="805"/>
      <c r="F32" s="811" t="s">
        <v>540</v>
      </c>
      <c r="G32" s="764"/>
      <c r="H32" s="2228"/>
      <c r="I32" s="2227"/>
      <c r="J32" s="2227"/>
      <c r="K32" s="2227"/>
    </row>
    <row r="33" spans="1:11" ht="1.5" customHeight="1" x14ac:dyDescent="0.2">
      <c r="A33" s="812" t="s">
        <v>1169</v>
      </c>
      <c r="B33" s="364"/>
      <c r="C33" s="364"/>
      <c r="D33" s="364"/>
      <c r="E33" s="364"/>
      <c r="F33" s="364"/>
      <c r="G33" s="813"/>
      <c r="H33" s="2228"/>
      <c r="I33" s="2227"/>
      <c r="J33" s="2227"/>
      <c r="K33" s="222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36"/>
      <c r="C41" s="2236"/>
      <c r="D41" s="2236"/>
      <c r="E41" s="2236"/>
      <c r="F41" s="223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67"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6316894</v>
      </c>
      <c r="D8" s="844">
        <v>57094</v>
      </c>
      <c r="E8" s="844"/>
      <c r="F8" s="1760">
        <f>(C8+D8)-E8</f>
        <v>6373988</v>
      </c>
      <c r="G8" s="843">
        <v>50</v>
      </c>
      <c r="H8" s="765">
        <v>1853367</v>
      </c>
      <c r="I8" s="765">
        <v>127479</v>
      </c>
      <c r="J8" s="765"/>
      <c r="K8" s="1769">
        <f>(H8+I8)-J8</f>
        <v>1980846</v>
      </c>
      <c r="L8" s="1769">
        <f>F8-K8</f>
        <v>4393142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254103</v>
      </c>
      <c r="D10" s="846"/>
      <c r="E10" s="846"/>
      <c r="F10" s="1764">
        <f>(C10+D10)-E10</f>
        <v>254103</v>
      </c>
      <c r="G10" s="843">
        <v>20</v>
      </c>
      <c r="H10" s="847">
        <v>100105</v>
      </c>
      <c r="I10" s="847">
        <v>10282</v>
      </c>
      <c r="J10" s="847"/>
      <c r="K10" s="1769">
        <f>(H10+I10)-J10</f>
        <v>110387</v>
      </c>
      <c r="L10" s="1769">
        <f>F10-K10</f>
        <v>143716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878552</v>
      </c>
      <c r="D12" s="844">
        <v>14908</v>
      </c>
      <c r="E12" s="844">
        <v>10000</v>
      </c>
      <c r="F12" s="1760">
        <f>(C12+D12)-E12</f>
        <v>883460</v>
      </c>
      <c r="G12" s="843">
        <v>10</v>
      </c>
      <c r="H12" s="765">
        <v>757259</v>
      </c>
      <c r="I12" s="765">
        <v>20796</v>
      </c>
      <c r="J12" s="765">
        <v>10000</v>
      </c>
      <c r="K12" s="1769">
        <f>(H12+I12)-J12</f>
        <v>768055</v>
      </c>
      <c r="L12" s="1769">
        <f>F12-K12</f>
        <v>115405</v>
      </c>
    </row>
    <row r="13" spans="1:14" ht="14.25" thickTop="1" thickBot="1" x14ac:dyDescent="0.25">
      <c r="A13" s="848" t="s">
        <v>1122</v>
      </c>
      <c r="B13" s="840">
        <v>252</v>
      </c>
      <c r="C13" s="844">
        <v>25306</v>
      </c>
      <c r="D13" s="844"/>
      <c r="E13" s="844"/>
      <c r="F13" s="1760">
        <f>(C13+D13)-E13</f>
        <v>25306</v>
      </c>
      <c r="G13" s="843">
        <v>5</v>
      </c>
      <c r="H13" s="765">
        <v>25306</v>
      </c>
      <c r="I13" s="765"/>
      <c r="J13" s="765"/>
      <c r="K13" s="1769">
        <f>(H13+I13)-J13</f>
        <v>25306</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7474855</v>
      </c>
      <c r="D16" s="1760">
        <f>SUM(D3,D5:D6,D8:D10,D12:D15)</f>
        <v>72002</v>
      </c>
      <c r="E16" s="1760">
        <f>SUM(E3,E5:E6,E8:E10,E12:E15)</f>
        <v>10000</v>
      </c>
      <c r="F16" s="1760">
        <f>SUM(F3,F5:F6,F8:F10,F12:F15)</f>
        <v>7536857</v>
      </c>
      <c r="G16" s="843"/>
      <c r="H16" s="1760">
        <f>SUM(H3,H6,H8:H10,H12:H14,)</f>
        <v>2736037</v>
      </c>
      <c r="I16" s="1760">
        <f>SUM(I3,I6,I8:I10,I12:I14,)</f>
        <v>158557</v>
      </c>
      <c r="J16" s="1760">
        <f>SUM(J3,J6,J8:J10,J12:J14,)</f>
        <v>10000</v>
      </c>
      <c r="K16" s="1760">
        <f>(H16+I16)-J16</f>
        <v>2884594</v>
      </c>
      <c r="L16" s="1760">
        <f>F16-K16</f>
        <v>4652263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158557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68"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1938303</v>
      </c>
      <c r="G8" s="865"/>
    </row>
    <row r="9" spans="1:7" x14ac:dyDescent="0.2">
      <c r="A9" s="869" t="s">
        <v>460</v>
      </c>
      <c r="B9" s="870" t="s">
        <v>1877</v>
      </c>
      <c r="C9" s="871"/>
      <c r="D9" s="869" t="s">
        <v>501</v>
      </c>
      <c r="E9" s="868"/>
      <c r="F9" s="1909">
        <f>'Expenditures 15-22'!K151</f>
        <v>120734</v>
      </c>
      <c r="G9" s="872"/>
    </row>
    <row r="10" spans="1:7" x14ac:dyDescent="0.2">
      <c r="A10" s="869" t="s">
        <v>499</v>
      </c>
      <c r="B10" s="870" t="s">
        <v>1878</v>
      </c>
      <c r="C10" s="871"/>
      <c r="D10" s="869" t="s">
        <v>501</v>
      </c>
      <c r="E10" s="868"/>
      <c r="F10" s="1909">
        <f>'Expenditures 15-22'!K174</f>
        <v>242234</v>
      </c>
      <c r="G10" s="872"/>
    </row>
    <row r="11" spans="1:7" x14ac:dyDescent="0.2">
      <c r="A11" s="869" t="s">
        <v>461</v>
      </c>
      <c r="B11" s="870" t="s">
        <v>1879</v>
      </c>
      <c r="C11" s="871"/>
      <c r="D11" s="869" t="s">
        <v>501</v>
      </c>
      <c r="E11" s="868"/>
      <c r="F11" s="1909">
        <f>'Expenditures 15-22'!K210</f>
        <v>175424</v>
      </c>
      <c r="G11" s="872"/>
    </row>
    <row r="12" spans="1:7" x14ac:dyDescent="0.2">
      <c r="A12" s="869" t="s">
        <v>462</v>
      </c>
      <c r="B12" s="870" t="s">
        <v>1880</v>
      </c>
      <c r="C12" s="871"/>
      <c r="D12" s="869" t="s">
        <v>501</v>
      </c>
      <c r="E12" s="868"/>
      <c r="F12" s="1909">
        <f>'Expenditures 15-22'!K295</f>
        <v>70346</v>
      </c>
      <c r="G12" s="872"/>
    </row>
    <row r="13" spans="1:7" x14ac:dyDescent="0.2">
      <c r="A13" s="869" t="s">
        <v>106</v>
      </c>
      <c r="B13" s="870" t="s">
        <v>1881</v>
      </c>
      <c r="C13" s="871"/>
      <c r="D13" s="869" t="s">
        <v>501</v>
      </c>
      <c r="E13" s="868"/>
      <c r="F13" s="1909">
        <f>'Expenditures 15-22'!K342</f>
        <v>244909</v>
      </c>
      <c r="G13" s="873"/>
    </row>
    <row r="14" spans="1:7" ht="12" customHeight="1" thickBot="1" x14ac:dyDescent="0.25">
      <c r="A14" s="1770"/>
      <c r="B14" s="1771"/>
      <c r="C14" s="1772"/>
      <c r="D14" s="1773" t="s">
        <v>501</v>
      </c>
      <c r="E14" s="1774" t="s">
        <v>958</v>
      </c>
      <c r="F14" s="1775">
        <f>SUM(F8:F13)</f>
        <v>2791950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37113</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52845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50</v>
      </c>
      <c r="G52" s="865"/>
    </row>
    <row r="53" spans="1:7" x14ac:dyDescent="0.2">
      <c r="A53" s="869" t="s">
        <v>459</v>
      </c>
      <c r="B53" s="869" t="s">
        <v>1475</v>
      </c>
      <c r="C53" s="889">
        <f>'Expenditures 15-22'!B102</f>
        <v>4000</v>
      </c>
      <c r="D53" s="888" t="str">
        <f>'Expenditures 15-22'!A102</f>
        <v>Total Payments to Other Govt Units</v>
      </c>
      <c r="E53" s="868"/>
      <c r="F53" s="1913">
        <f>'Expenditures 15-22'!K102</f>
        <v>58746</v>
      </c>
      <c r="G53" s="865"/>
    </row>
    <row r="54" spans="1:7" x14ac:dyDescent="0.2">
      <c r="A54" s="869" t="s">
        <v>459</v>
      </c>
      <c r="B54" s="869" t="s">
        <v>1476</v>
      </c>
      <c r="C54" s="889" t="s">
        <v>982</v>
      </c>
      <c r="D54" s="885" t="s">
        <v>1095</v>
      </c>
      <c r="E54" s="868"/>
      <c r="F54" s="1913">
        <f>'Expenditures 15-22'!G114</f>
        <v>14908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200600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2401</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366663</v>
      </c>
      <c r="G76" s="865"/>
    </row>
    <row r="77" spans="1:8" s="893" customFormat="1" ht="12" customHeight="1" thickTop="1" thickBot="1" x14ac:dyDescent="0.25">
      <c r="A77" s="1779"/>
      <c r="B77" s="1776"/>
      <c r="C77" s="1772"/>
      <c r="D77" s="1777" t="s">
        <v>1900</v>
      </c>
      <c r="E77" s="1774"/>
      <c r="F77" s="1780">
        <f>(F14-F76)</f>
        <v>2425287</v>
      </c>
      <c r="G77" s="869"/>
    </row>
    <row r="78" spans="1:8" s="893" customFormat="1" ht="12" customHeight="1" thickTop="1" x14ac:dyDescent="0.2">
      <c r="A78" s="1781"/>
      <c r="B78" s="1776"/>
      <c r="C78" s="1772"/>
      <c r="D78" s="1777" t="s">
        <v>2062</v>
      </c>
      <c r="E78" s="1774"/>
      <c r="F78" s="898">
        <v>323.89999999999998</v>
      </c>
      <c r="G78" s="899"/>
      <c r="H78" s="869"/>
    </row>
    <row r="79" spans="1:8" s="893" customFormat="1" ht="12" customHeight="1" thickBot="1" x14ac:dyDescent="0.25">
      <c r="A79" s="1782"/>
      <c r="B79" s="1776"/>
      <c r="C79" s="1772"/>
      <c r="D79" s="1777" t="s">
        <v>1901</v>
      </c>
      <c r="E79" s="1774" t="s">
        <v>958</v>
      </c>
      <c r="F79" s="1783">
        <f>IF(F78&gt;0,F77/F78," Complete Line 78")</f>
        <v>7487.7647422043847</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8625</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83280</v>
      </c>
      <c r="G94" s="912"/>
    </row>
    <row r="95" spans="1:7" x14ac:dyDescent="0.2">
      <c r="A95" s="908" t="s">
        <v>140</v>
      </c>
      <c r="B95" s="908" t="s">
        <v>175</v>
      </c>
      <c r="C95" s="910">
        <v>1700</v>
      </c>
      <c r="D95" s="918" t="str">
        <f>'Revenues 9-14'!A82</f>
        <v>Total District/School Activity Income</v>
      </c>
      <c r="E95" s="906"/>
      <c r="F95" s="1789">
        <f>SUM('Revenues 9-14'!C82,'Revenues 9-14'!D82)</f>
        <v>17804</v>
      </c>
      <c r="G95" s="912"/>
    </row>
    <row r="96" spans="1:7" x14ac:dyDescent="0.2">
      <c r="A96" s="908" t="s">
        <v>459</v>
      </c>
      <c r="B96" s="908" t="s">
        <v>176</v>
      </c>
      <c r="C96" s="910">
        <f>'Revenues 9-14'!B84</f>
        <v>1811</v>
      </c>
      <c r="D96" s="911" t="str">
        <f>'Revenues 9-14'!A84</f>
        <v>Rentals - Regular Textbooks</v>
      </c>
      <c r="E96" s="906"/>
      <c r="F96" s="1789">
        <f>'Revenues 9-14'!C84</f>
        <v>47100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9314</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217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87355</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22416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12719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7184</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5727</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3771</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1585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265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307362</v>
      </c>
    </row>
    <row r="175" spans="1:7" ht="12" customHeight="1" x14ac:dyDescent="0.2">
      <c r="A175" s="1770"/>
      <c r="B175" s="1784"/>
      <c r="C175" s="1785"/>
      <c r="D175" s="1786" t="s">
        <v>2057</v>
      </c>
      <c r="E175" s="1787"/>
      <c r="F175" s="1789">
        <f>'PCTC-OEPP 27-28'!F77-F174</f>
        <v>2117925</v>
      </c>
    </row>
    <row r="176" spans="1:7" ht="12" customHeight="1" x14ac:dyDescent="0.2">
      <c r="A176" s="1770"/>
      <c r="B176" s="1784"/>
      <c r="C176" s="1785"/>
      <c r="D176" s="1786" t="s">
        <v>1817</v>
      </c>
      <c r="E176" s="1787"/>
      <c r="F176" s="1789">
        <f>'Cap Outlay Deprec 26'!I18</f>
        <v>158557</v>
      </c>
    </row>
    <row r="177" spans="1:7" ht="12" customHeight="1" x14ac:dyDescent="0.2">
      <c r="A177" s="1770"/>
      <c r="B177" s="1784"/>
      <c r="C177" s="1785"/>
      <c r="D177" s="1786" t="s">
        <v>2058</v>
      </c>
      <c r="E177" s="1787"/>
      <c r="F177" s="1789">
        <f>F175+F176</f>
        <v>2276482</v>
      </c>
    </row>
    <row r="178" spans="1:7" ht="12" customHeight="1" x14ac:dyDescent="0.2">
      <c r="A178" s="1770"/>
      <c r="B178" s="1790"/>
      <c r="C178" s="1785"/>
      <c r="D178" s="1786" t="str">
        <f>D78</f>
        <v>9 Month ADA from District Average Daily Attendance/Prior General State Aid Inquiry 2018-2019</v>
      </c>
      <c r="E178" s="1787"/>
      <c r="F178" s="1791">
        <f>'PCTC-OEPP 27-28'!F78</f>
        <v>323.89999999999998</v>
      </c>
      <c r="G178" s="930"/>
    </row>
    <row r="179" spans="1:7" ht="12" customHeight="1" thickBot="1" x14ac:dyDescent="0.25">
      <c r="A179" s="1770"/>
      <c r="B179" s="1790"/>
      <c r="C179" s="1785"/>
      <c r="D179" s="1786" t="s">
        <v>2059</v>
      </c>
      <c r="E179" s="1787" t="s">
        <v>1545</v>
      </c>
      <c r="F179" s="1792">
        <f>F177/F178</f>
        <v>7028.3482556344552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69"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9" sqref="B2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2492" t="s">
        <v>2116</v>
      </c>
      <c r="C17" s="1938" t="s">
        <v>2086</v>
      </c>
      <c r="D17" s="1844">
        <v>839</v>
      </c>
      <c r="E17" s="1540">
        <f t="shared" ref="E17:E141" si="0">IF(D17&lt;=25000,D17,IF(D17&gt;25000,25000,0))</f>
        <v>839</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839</v>
      </c>
      <c r="G17" s="1793">
        <f>IF(F17=0,0,D17-F17)</f>
        <v>0</v>
      </c>
      <c r="H17" s="1647"/>
    </row>
    <row r="18" spans="1:8" x14ac:dyDescent="0.25">
      <c r="A18" s="1937" t="s">
        <v>2087</v>
      </c>
      <c r="B18" s="2492" t="s">
        <v>2117</v>
      </c>
      <c r="C18" s="1938" t="s">
        <v>2088</v>
      </c>
      <c r="D18" s="1844">
        <v>127732.31</v>
      </c>
      <c r="E18" s="1540">
        <f t="shared" ref="E18:E140" si="2">IF(D18&lt;=25000,D18,IF(D18&gt;25000,25000,0))</f>
        <v>25000</v>
      </c>
      <c r="F18" s="1932">
        <f t="shared" si="1"/>
        <v>0</v>
      </c>
      <c r="G18" s="1793">
        <f t="shared" ref="G18:G140" si="3">IF(F18=0,0,D18-F18)</f>
        <v>0</v>
      </c>
    </row>
    <row r="19" spans="1:8" x14ac:dyDescent="0.25">
      <c r="A19" s="1937" t="s">
        <v>2089</v>
      </c>
      <c r="B19" s="2492" t="s">
        <v>2118</v>
      </c>
      <c r="C19" s="1938" t="s">
        <v>2073</v>
      </c>
      <c r="D19" s="1844">
        <v>3100</v>
      </c>
      <c r="E19" s="1540">
        <f t="shared" si="2"/>
        <v>3100</v>
      </c>
      <c r="F19" s="1932">
        <f t="shared" si="1"/>
        <v>3100</v>
      </c>
      <c r="G19" s="1793">
        <f t="shared" si="3"/>
        <v>0</v>
      </c>
    </row>
    <row r="20" spans="1:8" ht="30" x14ac:dyDescent="0.25">
      <c r="A20" s="1937" t="s">
        <v>2090</v>
      </c>
      <c r="B20" s="2492" t="s">
        <v>2118</v>
      </c>
      <c r="C20" s="1938" t="s">
        <v>2091</v>
      </c>
      <c r="D20" s="1844">
        <v>10530</v>
      </c>
      <c r="E20" s="1540">
        <f t="shared" si="2"/>
        <v>10530</v>
      </c>
      <c r="F20" s="1932">
        <f t="shared" si="1"/>
        <v>10530</v>
      </c>
      <c r="G20" s="1793">
        <f t="shared" si="3"/>
        <v>0</v>
      </c>
    </row>
    <row r="21" spans="1:8" x14ac:dyDescent="0.25">
      <c r="A21" s="1937" t="s">
        <v>2092</v>
      </c>
      <c r="B21" s="2492" t="s">
        <v>2118</v>
      </c>
      <c r="C21" s="1938" t="s">
        <v>2093</v>
      </c>
      <c r="D21" s="1844">
        <v>6547</v>
      </c>
      <c r="E21" s="1540">
        <f t="shared" si="2"/>
        <v>6547</v>
      </c>
      <c r="F21" s="1932">
        <f t="shared" si="1"/>
        <v>6547</v>
      </c>
      <c r="G21" s="1793">
        <f t="shared" si="3"/>
        <v>0</v>
      </c>
    </row>
    <row r="22" spans="1:8" x14ac:dyDescent="0.25">
      <c r="A22" s="1937" t="s">
        <v>2094</v>
      </c>
      <c r="B22" s="2492" t="s">
        <v>2118</v>
      </c>
      <c r="C22" s="1938" t="s">
        <v>2095</v>
      </c>
      <c r="D22" s="1844">
        <v>3856</v>
      </c>
      <c r="E22" s="1540">
        <f t="shared" si="2"/>
        <v>3856</v>
      </c>
      <c r="F22" s="1932">
        <f t="shared" si="1"/>
        <v>3856</v>
      </c>
      <c r="G22" s="1793">
        <f t="shared" si="3"/>
        <v>0</v>
      </c>
    </row>
    <row r="23" spans="1:8" x14ac:dyDescent="0.25">
      <c r="A23" s="1937" t="s">
        <v>2094</v>
      </c>
      <c r="B23" s="2492" t="s">
        <v>2118</v>
      </c>
      <c r="C23" s="1938" t="s">
        <v>2096</v>
      </c>
      <c r="D23" s="1844">
        <v>15177</v>
      </c>
      <c r="E23" s="1540">
        <f t="shared" si="2"/>
        <v>15177</v>
      </c>
      <c r="F23" s="1932">
        <f t="shared" si="1"/>
        <v>15177</v>
      </c>
      <c r="G23" s="1793">
        <f t="shared" si="3"/>
        <v>0</v>
      </c>
    </row>
    <row r="24" spans="1:8" x14ac:dyDescent="0.25">
      <c r="A24" s="1937" t="s">
        <v>2097</v>
      </c>
      <c r="B24" s="2492" t="s">
        <v>2119</v>
      </c>
      <c r="C24" s="1938" t="s">
        <v>2098</v>
      </c>
      <c r="D24" s="1844">
        <v>3303</v>
      </c>
      <c r="E24" s="1540">
        <f t="shared" si="2"/>
        <v>3303</v>
      </c>
      <c r="F24" s="1932">
        <f t="shared" si="1"/>
        <v>0</v>
      </c>
      <c r="G24" s="1793">
        <f t="shared" si="3"/>
        <v>0</v>
      </c>
    </row>
    <row r="25" spans="1:8" x14ac:dyDescent="0.25">
      <c r="A25" s="1937" t="s">
        <v>2097</v>
      </c>
      <c r="B25" s="2492" t="s">
        <v>2119</v>
      </c>
      <c r="C25" s="1938" t="s">
        <v>2098</v>
      </c>
      <c r="D25" s="1844">
        <v>2201</v>
      </c>
      <c r="E25" s="1540">
        <f t="shared" si="2"/>
        <v>2201</v>
      </c>
      <c r="F25" s="1932">
        <f t="shared" si="1"/>
        <v>0</v>
      </c>
      <c r="G25" s="1793">
        <f t="shared" si="3"/>
        <v>0</v>
      </c>
    </row>
    <row r="26" spans="1:8" x14ac:dyDescent="0.25">
      <c r="A26" s="1937" t="s">
        <v>2097</v>
      </c>
      <c r="B26" s="2492" t="s">
        <v>2119</v>
      </c>
      <c r="C26" s="1938" t="s">
        <v>2099</v>
      </c>
      <c r="D26" s="1844">
        <v>1845</v>
      </c>
      <c r="E26" s="1540">
        <f t="shared" si="2"/>
        <v>1845</v>
      </c>
      <c r="F26" s="1932">
        <f t="shared" si="1"/>
        <v>0</v>
      </c>
      <c r="G26" s="1793">
        <f t="shared" si="3"/>
        <v>0</v>
      </c>
    </row>
    <row r="27" spans="1:8" x14ac:dyDescent="0.25">
      <c r="A27" s="1937" t="s">
        <v>2097</v>
      </c>
      <c r="B27" s="2492" t="s">
        <v>2119</v>
      </c>
      <c r="C27" s="1938" t="s">
        <v>2100</v>
      </c>
      <c r="D27" s="1844">
        <v>1475</v>
      </c>
      <c r="E27" s="1540">
        <f t="shared" si="2"/>
        <v>1475</v>
      </c>
      <c r="F27" s="1932">
        <f t="shared" si="1"/>
        <v>0</v>
      </c>
      <c r="G27" s="1793">
        <f t="shared" si="3"/>
        <v>0</v>
      </c>
    </row>
    <row r="28" spans="1:8" x14ac:dyDescent="0.25">
      <c r="A28" s="1937" t="s">
        <v>2097</v>
      </c>
      <c r="B28" s="2492" t="s">
        <v>2119</v>
      </c>
      <c r="C28" s="1938" t="s">
        <v>2101</v>
      </c>
      <c r="D28" s="1844">
        <v>3865</v>
      </c>
      <c r="E28" s="1540">
        <f t="shared" si="2"/>
        <v>3865</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180470.31</v>
      </c>
      <c r="E141" s="1541">
        <f t="shared" si="0"/>
        <v>25000</v>
      </c>
      <c r="F141" s="1933">
        <f>SUM(F17:F140)</f>
        <v>40049</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74</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65372</v>
      </c>
      <c r="F10" s="974"/>
      <c r="G10" s="975"/>
      <c r="H10" s="162"/>
      <c r="I10" s="162"/>
    </row>
    <row r="11" spans="1:9" s="668" customFormat="1" ht="22.5" customHeight="1" x14ac:dyDescent="0.2">
      <c r="A11" s="2292" t="s">
        <v>1977</v>
      </c>
      <c r="B11" s="2293"/>
      <c r="C11" s="2293"/>
      <c r="D11" s="229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1556755</v>
      </c>
      <c r="F19" s="1799"/>
      <c r="G19" s="1801">
        <f>'Expenditures 15-22'!K33-SUM('Expenditures 15-22'!G33,'Expenditures 15-22'!I33)+'Expenditures 15-22'!D229</f>
        <v>1556755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23781</v>
      </c>
      <c r="F21" s="1802"/>
      <c r="G21" s="1805">
        <f>'Expenditures 15-22'!K42-SUM('Expenditures 15-22'!G42,'Expenditures 15-22'!I42)+'Expenditures 15-22'!K120-SUM('Expenditures 15-22'!G120,'Expenditures 15-22'!I120)+'Expenditures 15-22'!K180-SUM('Expenditures 15-22'!G180,'Expenditures 15-22'!I180)+'Expenditures 15-22'!D238</f>
        <v>23781</v>
      </c>
      <c r="H21" s="987"/>
      <c r="I21" s="162"/>
    </row>
    <row r="22" spans="1:9" s="668" customFormat="1" ht="12" customHeight="1" x14ac:dyDescent="0.2">
      <c r="A22" s="994" t="s">
        <v>564</v>
      </c>
      <c r="B22" s="995"/>
      <c r="C22" s="993">
        <v>2200</v>
      </c>
      <c r="D22" s="1802"/>
      <c r="E22" s="1804">
        <f>'Expenditures 15-22'!K47-SUM('Expenditures 15-22'!G47,'Expenditures 15-22'!I47)+'Expenditures 15-22'!D243</f>
        <v>3465</v>
      </c>
      <c r="F22" s="1802"/>
      <c r="G22" s="1805">
        <f>'Expenditures 15-22'!K47-SUM('Expenditures 15-22'!G47,'Expenditures 15-22'!I47)+'Expenditures 15-22'!D243</f>
        <v>3465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349173</v>
      </c>
      <c r="F23" s="1802"/>
      <c r="G23" s="1804">
        <f>'Expenditures 15-22'!K53-SUM('Expenditures 15-22'!G53,'Expenditures 15-22'!I53)+'Expenditures 15-22'!D257+'Expenditures 15-22'!K330-SUM('Expenditures 15-22'!G330,'Expenditures 15-22'!I330)</f>
        <v>349173</v>
      </c>
      <c r="H23" s="987"/>
      <c r="I23" s="162"/>
    </row>
    <row r="24" spans="1:9" s="668" customFormat="1" ht="12" customHeight="1" x14ac:dyDescent="0.2">
      <c r="A24" s="994" t="s">
        <v>566</v>
      </c>
      <c r="B24" s="995"/>
      <c r="C24" s="993">
        <v>2400</v>
      </c>
      <c r="D24" s="1802"/>
      <c r="E24" s="1804">
        <f>'Expenditures 15-22'!K57-SUM('Expenditures 15-22'!G57,'Expenditures 15-22'!I57)+'Expenditures 15-22'!D261</f>
        <v>49585</v>
      </c>
      <c r="F24" s="1802"/>
      <c r="G24" s="1805">
        <f>'Expenditures 15-22'!K57-SUM('Expenditures 15-22'!G57,'Expenditures 15-22'!I57)+'Expenditures 15-22'!D261</f>
        <v>49585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25401</v>
      </c>
      <c r="E27" s="1804">
        <f>E8</f>
        <v>0</v>
      </c>
      <c r="F27" s="1804">
        <f>'Expenditures 15-22'!K60-SUM('Expenditures 15-22'!G60,'Expenditures 15-22'!I60)+'Expenditures 15-22'!D264-E8</f>
        <v>25401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194565</v>
      </c>
      <c r="F28" s="1806">
        <f>'Expenditures 15-22'!K61-SUM('Expenditures 15-22'!G61,'Expenditures 15-22'!I61)+'Expenditures 15-22'!K124-SUM('Expenditures 15-22'!G124,'Expenditures 15-22'!I124)+'Expenditures 15-22'!D266-E9</f>
        <v>194565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168822</v>
      </c>
      <c r="F29" s="1802"/>
      <c r="G29" s="1805">
        <f>'Expenditures 15-22'!K62-SUM('Expenditures 15-22'!G62,'Expenditures 15-22'!I62)+'Expenditures 15-22'!K125-SUM('Expenditures 15-22'!G125,'Expenditures 15-22'!I125)+'Expenditures 15-22'!K182-SUM('Expenditures 15-22'!G182,'Expenditures 15-22'!I182)+'Expenditures 15-22'!D267</f>
        <v>168822</v>
      </c>
      <c r="H29" s="985"/>
    </row>
    <row r="30" spans="1:9" ht="12" customHeight="1" x14ac:dyDescent="0.2">
      <c r="A30" s="994" t="s">
        <v>100</v>
      </c>
      <c r="B30" s="997"/>
      <c r="C30" s="993">
        <v>2560</v>
      </c>
      <c r="D30" s="1802"/>
      <c r="E30" s="1804">
        <f>'Expenditures 15-22'!K63-SUM('Expenditures 15-22'!G63,'Expenditures 15-22'!I63)+'Expenditures 15-22'!D268-E10</f>
        <v>38893</v>
      </c>
      <c r="F30" s="1802"/>
      <c r="G30" s="1804">
        <f>'Expenditures 15-22'!K63-SUM('Expenditures 15-22'!G63,'Expenditures 15-22'!I63)+'Expenditures 15-22'!D268-E10</f>
        <v>38893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200</v>
      </c>
      <c r="F38" s="1802"/>
      <c r="G38" s="1804">
        <f>'Expenditures 15-22'!K73-SUM('Expenditures 15-22'!G73,'Expenditures 15-22'!I73)+'Expenditures 15-22'!K128-SUM('Expenditures 15-22'!G128,'Expenditures 15-22'!I128)+'Expenditures 15-22'!K183-SUM('Expenditures 15-22'!G183,'Expenditures 15-22'!I183)+'Expenditures 15-22'!D278</f>
        <v>200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50</v>
      </c>
      <c r="F39" s="1802"/>
      <c r="G39" s="1804">
        <f>'Expenditures 15-22'!K75-SUM('Expenditures 15-22'!G75,'Expenditures 15-22'!I75)+'Expenditures 15-22'!K130-SUM('Expenditures 15-22'!G130,'Expenditures 15-22'!I130)+'Expenditures 15-22'!K185-SUM('Expenditures 15-22'!G185,'Expenditures 15-22'!I185)+'Expenditures 15-22'!D280</f>
        <v>50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25401</v>
      </c>
      <c r="E41" s="1806">
        <f>SUM(E19:E40)</f>
        <v>2385289</v>
      </c>
      <c r="F41" s="1806">
        <f>SUM(F19:F39)</f>
        <v>219966</v>
      </c>
      <c r="G41" s="1806">
        <f>SUM(G19:G40)</f>
        <v>2190724</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25401</v>
      </c>
      <c r="F43" s="1807" t="s">
        <v>473</v>
      </c>
      <c r="G43" s="1808">
        <f>F41</f>
        <v>219966</v>
      </c>
    </row>
    <row r="44" spans="1:7" ht="12" customHeight="1" x14ac:dyDescent="0.2">
      <c r="A44" s="987"/>
      <c r="B44" s="162"/>
      <c r="C44" s="1001"/>
      <c r="D44" s="1807" t="s">
        <v>474</v>
      </c>
      <c r="E44" s="1808">
        <f>E41</f>
        <v>2385289</v>
      </c>
      <c r="F44" s="1807" t="s">
        <v>474</v>
      </c>
      <c r="G44" s="1808">
        <f>G41</f>
        <v>2190724</v>
      </c>
    </row>
    <row r="45" spans="1:7" ht="12" customHeight="1" x14ac:dyDescent="0.2">
      <c r="A45" s="987"/>
      <c r="B45" s="162"/>
      <c r="C45" s="162"/>
      <c r="D45" s="1809" t="s">
        <v>1006</v>
      </c>
      <c r="E45" s="1810">
        <f>(E43/E44)</f>
        <v>1.0649024080520222E-2</v>
      </c>
      <c r="F45" s="1809" t="s">
        <v>1006</v>
      </c>
      <c r="G45" s="1810">
        <f>(G43/G44)</f>
        <v>0.10040790167999256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78"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9" t="s">
        <v>1379</v>
      </c>
      <c r="B1" s="2309"/>
      <c r="C1" s="2309"/>
      <c r="D1" s="2309"/>
      <c r="E1" s="2309"/>
      <c r="F1" s="2309"/>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0" t="s">
        <v>1546</v>
      </c>
      <c r="B5" s="2311"/>
      <c r="C5" s="2312"/>
      <c r="D5" s="2312"/>
      <c r="E5" s="2312"/>
      <c r="F5" s="2312"/>
    </row>
    <row r="6" spans="1:10" ht="12" customHeight="1" x14ac:dyDescent="0.25">
      <c r="A6" s="1850"/>
      <c r="B6" s="1851"/>
      <c r="C6" s="2313" t="str">
        <f>COVER!A17</f>
        <v>Aviston SD 21</v>
      </c>
      <c r="D6" s="2313"/>
      <c r="E6" s="2313"/>
      <c r="F6" s="1852"/>
    </row>
    <row r="7" spans="1:10" ht="11.25" customHeight="1" thickBot="1" x14ac:dyDescent="0.3">
      <c r="A7" s="1850"/>
      <c r="B7" s="1851"/>
      <c r="C7" s="2314">
        <f>COVER!A13</f>
        <v>13014021002</v>
      </c>
      <c r="D7" s="2314"/>
      <c r="E7" s="2314"/>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2102</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5"/>
      <c r="B43" s="2296"/>
      <c r="C43" s="2296"/>
      <c r="D43" s="2296"/>
      <c r="E43" s="2296"/>
      <c r="F43" s="2297"/>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76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Aviston SD 21</v>
      </c>
      <c r="J6" s="2323"/>
      <c r="Q6" s="1664"/>
    </row>
    <row r="7" spans="1:17" x14ac:dyDescent="0.2">
      <c r="A7" s="2324" t="s">
        <v>869</v>
      </c>
      <c r="B7" s="2325"/>
      <c r="C7" s="2325"/>
      <c r="D7" s="2325"/>
      <c r="E7" s="2326"/>
      <c r="F7" s="1017"/>
      <c r="G7" s="1009"/>
      <c r="H7" s="1016" t="s">
        <v>372</v>
      </c>
      <c r="I7" s="2327">
        <f>COVER!A13</f>
        <v>13014021002</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69517</v>
      </c>
      <c r="F12" s="1039"/>
      <c r="G12" s="1811">
        <f t="shared" ref="G12:G18" si="0">SUM(E12:F12)</f>
        <v>69517</v>
      </c>
      <c r="H12" s="1040">
        <v>77200</v>
      </c>
      <c r="I12" s="1039"/>
      <c r="J12" s="1811">
        <f t="shared" ref="J12:J18" si="1">SUM(H12:I12)</f>
        <v>77200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69517</v>
      </c>
      <c r="F19" s="1813">
        <f t="shared" si="2"/>
        <v>0</v>
      </c>
      <c r="G19" s="1813">
        <f t="shared" si="2"/>
        <v>69517</v>
      </c>
      <c r="H19" s="1813">
        <f t="shared" si="2"/>
        <v>77200</v>
      </c>
      <c r="I19" s="1813">
        <f t="shared" si="2"/>
        <v>0</v>
      </c>
      <c r="J19" s="1813">
        <f t="shared" si="2"/>
        <v>77200</v>
      </c>
    </row>
    <row r="20" spans="1:10" ht="13.5" thickTop="1" x14ac:dyDescent="0.2">
      <c r="A20" s="1035">
        <v>9</v>
      </c>
      <c r="B20" s="2334" t="s">
        <v>1981</v>
      </c>
      <c r="C20" s="2334"/>
      <c r="D20" s="2335"/>
      <c r="E20" s="1046"/>
      <c r="F20" s="1046"/>
      <c r="G20" s="1046"/>
      <c r="H20" s="1046"/>
      <c r="I20" s="1046"/>
      <c r="J20" s="1814">
        <f>IF(AND(G19&gt;0,J19&gt;0),(((J19-G19)/G19)),"Enter Budget Data")</f>
        <v>0.11051972898715422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1983</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9" orientation="landscape" useFirstPageNumber="1" r:id="rId1"/>
  <headerFooter alignWithMargins="0">
    <oddHeader>&amp;L&amp;8Page 79&amp;C &amp;R&amp;8Page 79</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I65"/>
  <sheetViews>
    <sheetView showGridLines="0" zoomScale="110" zoomScaleNormal="110" workbookViewId="0">
      <selection activeCell="R22" sqref="R22"/>
    </sheetView>
  </sheetViews>
  <sheetFormatPr defaultRowHeight="12.75" x14ac:dyDescent="0.2"/>
  <cols>
    <col min="1" max="1" width="4.140625" style="329" customWidth="1"/>
    <col min="2" max="2" width="3.5703125" style="329" customWidth="1"/>
    <col min="3" max="3" width="3.140625" style="329" customWidth="1"/>
    <col min="4" max="7" width="9.140625" style="329"/>
    <col min="8" max="8" width="11" style="329" bestFit="1" customWidth="1"/>
    <col min="9" max="16384" width="9.140625" style="329"/>
  </cols>
  <sheetData>
    <row r="2" spans="1:9" x14ac:dyDescent="0.2">
      <c r="A2" s="389" t="s">
        <v>258</v>
      </c>
    </row>
    <row r="3" spans="1:9" x14ac:dyDescent="0.2">
      <c r="A3" s="329" t="s">
        <v>259</v>
      </c>
    </row>
    <row r="5" spans="1:9" x14ac:dyDescent="0.2">
      <c r="A5" s="1068">
        <v>1</v>
      </c>
      <c r="B5" s="329" t="s">
        <v>2103</v>
      </c>
    </row>
    <row r="6" spans="1:9" ht="13.5" thickBot="1" x14ac:dyDescent="0.25">
      <c r="A6" s="1068"/>
      <c r="C6" s="329" t="s">
        <v>2104</v>
      </c>
      <c r="H6" s="1941">
        <v>6815</v>
      </c>
    </row>
    <row r="7" spans="1:9" ht="13.5" thickTop="1" x14ac:dyDescent="0.2">
      <c r="A7" s="1068"/>
    </row>
    <row r="8" spans="1:9" x14ac:dyDescent="0.2">
      <c r="A8" s="1068">
        <v>2</v>
      </c>
      <c r="B8" s="329" t="s">
        <v>2115</v>
      </c>
    </row>
    <row r="9" spans="1:9" x14ac:dyDescent="0.2">
      <c r="A9" s="1069"/>
      <c r="C9" s="329" t="s">
        <v>2105</v>
      </c>
      <c r="H9" s="1940">
        <v>700</v>
      </c>
    </row>
    <row r="10" spans="1:9" x14ac:dyDescent="0.2">
      <c r="A10" s="1069"/>
      <c r="C10" s="329" t="s">
        <v>2106</v>
      </c>
      <c r="H10" s="1942">
        <v>958</v>
      </c>
    </row>
    <row r="11" spans="1:9" x14ac:dyDescent="0.2">
      <c r="A11" s="1069"/>
      <c r="C11" s="329" t="s">
        <v>2107</v>
      </c>
      <c r="H11" s="1942">
        <v>645</v>
      </c>
    </row>
    <row r="12" spans="1:9" ht="13.5" thickBot="1" x14ac:dyDescent="0.25">
      <c r="A12" s="1069"/>
      <c r="C12" s="329" t="s">
        <v>2108</v>
      </c>
      <c r="H12" s="1943">
        <v>795</v>
      </c>
    </row>
    <row r="13" spans="1:9" ht="13.5" thickBot="1" x14ac:dyDescent="0.25">
      <c r="A13" s="1069"/>
      <c r="H13" s="1944">
        <f>SUM(H9:H12)</f>
        <v>3098</v>
      </c>
    </row>
    <row r="14" spans="1:9" ht="13.5" thickTop="1" x14ac:dyDescent="0.2">
      <c r="A14" s="1069"/>
      <c r="I14" s="1939"/>
    </row>
    <row r="15" spans="1:9" x14ac:dyDescent="0.2">
      <c r="A15" s="1069">
        <v>3</v>
      </c>
      <c r="B15" s="329" t="s">
        <v>2109</v>
      </c>
    </row>
    <row r="16" spans="1:9" x14ac:dyDescent="0.2">
      <c r="A16" s="1069"/>
      <c r="C16" s="329" t="s">
        <v>2105</v>
      </c>
      <c r="H16" s="1940">
        <v>125</v>
      </c>
    </row>
    <row r="17" spans="1:8" ht="13.5" thickBot="1" x14ac:dyDescent="0.25">
      <c r="A17" s="1069"/>
      <c r="C17" s="329" t="s">
        <v>2110</v>
      </c>
      <c r="H17" s="1943">
        <v>249</v>
      </c>
    </row>
    <row r="18" spans="1:8" ht="13.5" thickBot="1" x14ac:dyDescent="0.25">
      <c r="A18" s="1069"/>
      <c r="H18" s="1945">
        <f>SUM(H16:H17)</f>
        <v>374</v>
      </c>
    </row>
    <row r="19" spans="1:8" ht="13.5" thickTop="1" x14ac:dyDescent="0.2">
      <c r="A19" s="1069"/>
    </row>
    <row r="20" spans="1:8" x14ac:dyDescent="0.2">
      <c r="A20" s="1069">
        <v>4</v>
      </c>
      <c r="B20" s="329" t="s">
        <v>2111</v>
      </c>
    </row>
    <row r="21" spans="1:8" ht="13.5" thickBot="1" x14ac:dyDescent="0.25">
      <c r="A21" s="1069"/>
      <c r="C21" s="329" t="s">
        <v>2112</v>
      </c>
      <c r="H21" s="1941">
        <v>38333</v>
      </c>
    </row>
    <row r="22" spans="1:8" ht="13.5" thickTop="1" x14ac:dyDescent="0.2">
      <c r="A22" s="1069"/>
    </row>
    <row r="23" spans="1:8" x14ac:dyDescent="0.2">
      <c r="A23" s="1069">
        <v>5</v>
      </c>
      <c r="B23" s="329" t="s">
        <v>2113</v>
      </c>
    </row>
    <row r="24" spans="1:8" ht="13.5" thickBot="1" x14ac:dyDescent="0.25">
      <c r="A24" s="1069"/>
      <c r="C24" s="329" t="s">
        <v>2114</v>
      </c>
      <c r="H24" s="1941">
        <v>2</v>
      </c>
    </row>
    <row r="25" spans="1:8" ht="13.5" thickTop="1" x14ac:dyDescent="0.2">
      <c r="A25" s="1069"/>
    </row>
    <row r="26" spans="1:8" x14ac:dyDescent="0.2">
      <c r="A26" s="1069"/>
    </row>
    <row r="27" spans="1:8" x14ac:dyDescent="0.2">
      <c r="A27" s="1069"/>
    </row>
    <row r="28" spans="1:8" x14ac:dyDescent="0.2">
      <c r="A28" s="1069"/>
    </row>
    <row r="29" spans="1:8" x14ac:dyDescent="0.2">
      <c r="A29" s="1069"/>
    </row>
    <row r="30" spans="1:8" x14ac:dyDescent="0.2">
      <c r="A30" s="1069"/>
    </row>
    <row r="31" spans="1:8" x14ac:dyDescent="0.2">
      <c r="A31" s="1069"/>
    </row>
    <row r="32" spans="1:8"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Aviston SD 21</v>
      </c>
    </row>
    <row r="65" spans="2:2" x14ac:dyDescent="0.2">
      <c r="B65" s="1070">
        <f>COVER!A13</f>
        <v>13014021002</v>
      </c>
    </row>
  </sheetData>
  <phoneticPr fontId="15" type="noConversion"/>
  <pageMargins left="0.2" right="0.2" top="1.17" bottom="0.75" header="0.19" footer="0.16"/>
  <pageSetup scale="80" firstPageNumber="24"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1</xdr:col>
                <xdr:colOff>2714625</xdr:colOff>
                <xdr:row>3</xdr:row>
                <xdr:rowOff>38100</xdr:rowOff>
              </from>
              <to>
                <xdr:col>1</xdr:col>
                <xdr:colOff>3629025</xdr:colOff>
                <xdr:row>7</xdr:row>
                <xdr:rowOff>76200</xdr:rowOff>
              </to>
            </anchor>
          </objectPr>
        </oleObject>
      </mc:Choice>
      <mc:Fallback>
        <oleObject progId="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1552575</xdr:colOff>
                <xdr:row>3</xdr:row>
                <xdr:rowOff>38100</xdr:rowOff>
              </from>
              <to>
                <xdr:col>1</xdr:col>
                <xdr:colOff>2466975</xdr:colOff>
                <xdr:row>7</xdr:row>
                <xdr:rowOff>76200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Acrobat Document" dvAspect="DVASPECT_ICON" shapeId="29699" r:id="rId8">
          <objectPr defaultSize="0" r:id="rId9">
            <anchor moveWithCells="1">
              <from>
                <xdr:col>1</xdr:col>
                <xdr:colOff>409575</xdr:colOff>
                <xdr:row>3</xdr:row>
                <xdr:rowOff>38100</xdr:rowOff>
              </from>
              <to>
                <xdr:col>1</xdr:col>
                <xdr:colOff>1323975</xdr:colOff>
                <xdr:row>7</xdr:row>
                <xdr:rowOff>76200</xdr:rowOff>
              </to>
            </anchor>
          </objectPr>
        </oleObject>
      </mc:Choice>
      <mc:Fallback>
        <oleObject progId="Acrobat 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1987</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1988</v>
      </c>
      <c r="B4" s="2362"/>
      <c r="C4" s="2362"/>
      <c r="D4" s="2362"/>
      <c r="E4" s="2362"/>
      <c r="F4" s="2363"/>
      <c r="G4" s="1074"/>
      <c r="H4" s="1074"/>
    </row>
    <row r="5" spans="1:8" ht="14.25" customHeight="1" x14ac:dyDescent="0.2">
      <c r="A5" s="2364" t="s">
        <v>1984</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2016246</v>
      </c>
      <c r="C8" s="1815">
        <f>'Acct Summary 7-8'!D8</f>
        <v>139909</v>
      </c>
      <c r="D8" s="1815">
        <f>'Acct Summary 7-8'!F8</f>
        <v>214845</v>
      </c>
      <c r="E8" s="1815">
        <f>'Acct Summary 7-8'!I8</f>
        <v>30767</v>
      </c>
      <c r="F8" s="1815">
        <f>SUM(B8:E8)</f>
        <v>2401767</v>
      </c>
    </row>
    <row r="9" spans="1:8" s="1079" customFormat="1" ht="14.25" customHeight="1" thickBot="1" x14ac:dyDescent="0.25">
      <c r="A9" s="1078" t="s">
        <v>1369</v>
      </c>
      <c r="B9" s="1816">
        <f>'Acct Summary 7-8'!C17</f>
        <v>1938303</v>
      </c>
      <c r="C9" s="1816">
        <f>'Acct Summary 7-8'!D17</f>
        <v>120734</v>
      </c>
      <c r="D9" s="1816">
        <f>'Acct Summary 7-8'!F17</f>
        <v>175424</v>
      </c>
      <c r="E9" s="1815"/>
      <c r="F9" s="1815">
        <f>SUM(B9:E9)</f>
        <v>2234461</v>
      </c>
    </row>
    <row r="10" spans="1:8" s="1079" customFormat="1" ht="14.25" thickTop="1" thickBot="1" x14ac:dyDescent="0.25">
      <c r="A10" s="1080" t="s">
        <v>1370</v>
      </c>
      <c r="B10" s="1817">
        <f>(B8-B9)</f>
        <v>77943</v>
      </c>
      <c r="C10" s="1817">
        <f>(C8-C9)</f>
        <v>19175</v>
      </c>
      <c r="D10" s="1817">
        <f>(D8-D9)</f>
        <v>39421</v>
      </c>
      <c r="E10" s="1816">
        <f>(E8-E9)</f>
        <v>30767</v>
      </c>
      <c r="F10" s="1818">
        <f>SUM(F8-F9)</f>
        <v>167306</v>
      </c>
    </row>
    <row r="11" spans="1:8" s="1079" customFormat="1" ht="14.25" thickTop="1" thickBot="1" x14ac:dyDescent="0.25">
      <c r="A11" s="1081" t="s">
        <v>1985</v>
      </c>
      <c r="B11" s="1819">
        <f>'Acct Summary 7-8'!C81</f>
        <v>835400</v>
      </c>
      <c r="C11" s="1819">
        <f>'Acct Summary 7-8'!D81</f>
        <v>171848</v>
      </c>
      <c r="D11" s="1819">
        <f>'Acct Summary 7-8'!F81</f>
        <v>103293</v>
      </c>
      <c r="E11" s="1819">
        <f>'Acct Summary 7-8'!I81</f>
        <v>189409</v>
      </c>
      <c r="F11" s="1820">
        <f>SUM(B11:E11)</f>
        <v>1299950</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77&amp;R&amp;8Page 77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2" colorId="8" zoomScale="110" zoomScaleNormal="110" workbookViewId="0">
      <selection activeCell="C63" sqref="C6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13014021002</v>
      </c>
    </row>
    <row r="3" spans="1:2" x14ac:dyDescent="0.2">
      <c r="A3" t="s">
        <v>956</v>
      </c>
      <c r="B3" s="138" t="str">
        <f>COVER!A15</f>
        <v>Clinton</v>
      </c>
    </row>
    <row r="4" spans="1:2" x14ac:dyDescent="0.2">
      <c r="A4" t="s">
        <v>1007</v>
      </c>
      <c r="B4" s="138" t="str">
        <f>COVER!A17</f>
        <v>Aviston SD 21</v>
      </c>
    </row>
    <row r="5" spans="1:2" x14ac:dyDescent="0.2">
      <c r="A5" t="s">
        <v>704</v>
      </c>
      <c r="B5" s="138" t="str">
        <f>COVER!A38</f>
        <v>Phillip Hamil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No</v>
      </c>
    </row>
    <row r="15" spans="1:2" x14ac:dyDescent="0.2">
      <c r="A15" t="s">
        <v>577</v>
      </c>
      <c r="B15" s="138" t="str">
        <f>COVER!T23</f>
        <v>060-0019547</v>
      </c>
    </row>
    <row r="16" spans="1:2" x14ac:dyDescent="0.2">
      <c r="A16" t="s">
        <v>422</v>
      </c>
      <c r="B16" s="138" t="str">
        <f>COVER!T13</f>
        <v>Greg M. McCalley &amp; Ass., P.C.</v>
      </c>
    </row>
    <row r="17" spans="1:2" x14ac:dyDescent="0.2">
      <c r="A17" t="s">
        <v>884</v>
      </c>
      <c r="B17" s="138" t="str">
        <f>COVER!T15</f>
        <v xml:space="preserve">Greg M McCalley </v>
      </c>
    </row>
    <row r="18" spans="1:2" x14ac:dyDescent="0.2">
      <c r="A18" t="s">
        <v>1150</v>
      </c>
      <c r="B18" s="138" t="str">
        <f>COVER!T17</f>
        <v>855 East Ferguson</v>
      </c>
    </row>
    <row r="19" spans="1:2" x14ac:dyDescent="0.2">
      <c r="A19" t="s">
        <v>886</v>
      </c>
      <c r="B19" s="138" t="str">
        <f>COVER!T25</f>
        <v>Greg@dmacpa.com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835400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835400</v>
      </c>
      <c r="D92" s="2" t="str">
        <f t="shared" si="0"/>
        <v>Error?</v>
      </c>
    </row>
    <row r="93" spans="1:4" x14ac:dyDescent="0.2">
      <c r="A93" s="5">
        <v>32</v>
      </c>
      <c r="B93" s="138">
        <f>'Assets-Liab 5-6'!C41</f>
        <v>835400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171848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171848</v>
      </c>
      <c r="D123" s="2" t="str">
        <f t="shared" si="0"/>
        <v>Error?</v>
      </c>
    </row>
    <row r="124" spans="1:4" x14ac:dyDescent="0.2">
      <c r="A124" s="5">
        <v>63</v>
      </c>
      <c r="B124" s="138">
        <f>'Assets-Liab 5-6'!D41</f>
        <v>171848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21973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21973</v>
      </c>
      <c r="D140" s="2" t="str">
        <f t="shared" si="1"/>
        <v>Error?</v>
      </c>
    </row>
    <row r="141" spans="1:4" x14ac:dyDescent="0.2">
      <c r="A141" s="5">
        <v>80</v>
      </c>
      <c r="B141" s="138">
        <f>'Assets-Liab 5-6'!E41</f>
        <v>21973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103293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103293</v>
      </c>
      <c r="D170" s="2" t="str">
        <f t="shared" si="1"/>
        <v>Error?</v>
      </c>
    </row>
    <row r="171" spans="1:4" x14ac:dyDescent="0.2">
      <c r="A171" s="5">
        <v>110</v>
      </c>
      <c r="B171" s="138">
        <f>'Assets-Liab 5-6'!F41</f>
        <v>103293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110340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110340</v>
      </c>
      <c r="D189" s="2" t="str">
        <f t="shared" si="1"/>
        <v>Error?</v>
      </c>
    </row>
    <row r="190" spans="1:4" x14ac:dyDescent="0.2">
      <c r="A190" s="5">
        <v>129</v>
      </c>
      <c r="B190" s="138">
        <f>'Assets-Liab 5-6'!G41</f>
        <v>110340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6628091</v>
      </c>
      <c r="D274" s="2" t="str">
        <f t="shared" si="3"/>
        <v>Error?</v>
      </c>
    </row>
    <row r="275" spans="1:4" x14ac:dyDescent="0.2">
      <c r="A275" s="5">
        <v>214</v>
      </c>
      <c r="B275" s="138">
        <f>'Assets-Liab 5-6'!M18</f>
        <v>0</v>
      </c>
      <c r="D275" s="2" t="str">
        <f t="shared" si="3"/>
        <v>Error?</v>
      </c>
    </row>
    <row r="276" spans="1:4" x14ac:dyDescent="0.2">
      <c r="A276" s="5">
        <v>215</v>
      </c>
      <c r="B276" s="138">
        <f>'Assets-Liab 5-6'!M19</f>
        <v>908766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7536857</v>
      </c>
      <c r="C279" s="2" t="s">
        <v>573</v>
      </c>
      <c r="D279" s="2" t="str">
        <f t="shared" si="3"/>
        <v>Error?</v>
      </c>
    </row>
    <row r="280" spans="1:4" x14ac:dyDescent="0.2">
      <c r="A280" s="5">
        <v>219</v>
      </c>
      <c r="B280" s="138">
        <f>'Assets-Liab 5-6'!M40</f>
        <v>7536857</v>
      </c>
      <c r="D280" s="2" t="str">
        <f t="shared" si="3"/>
        <v>Error?</v>
      </c>
    </row>
    <row r="281" spans="1:4" x14ac:dyDescent="0.2">
      <c r="A281" s="5">
        <v>220</v>
      </c>
      <c r="B281" s="138">
        <f>'Assets-Liab 5-6'!M41</f>
        <v>7536857</v>
      </c>
      <c r="C281" s="2" t="s">
        <v>573</v>
      </c>
      <c r="D281" s="2" t="str">
        <f t="shared" si="3"/>
        <v>Error?</v>
      </c>
    </row>
    <row r="282" spans="1:4" x14ac:dyDescent="0.2">
      <c r="A282" s="5">
        <v>221</v>
      </c>
      <c r="B282" s="138">
        <f>'Assets-Liab 5-6'!N21</f>
        <v>21973</v>
      </c>
      <c r="D282" s="2" t="str">
        <f t="shared" si="3"/>
        <v>Error?</v>
      </c>
    </row>
    <row r="283" spans="1:4" x14ac:dyDescent="0.2">
      <c r="A283" s="5">
        <v>222</v>
      </c>
      <c r="B283" s="138">
        <f>'Assets-Liab 5-6'!N22</f>
        <v>1513227</v>
      </c>
      <c r="D283" s="2" t="str">
        <f t="shared" si="3"/>
        <v>Error?</v>
      </c>
    </row>
    <row r="284" spans="1:4" x14ac:dyDescent="0.2">
      <c r="A284" s="5">
        <v>223</v>
      </c>
      <c r="B284" s="138">
        <f>'Assets-Liab 5-6'!N23</f>
        <v>1535200</v>
      </c>
      <c r="C284" s="2" t="s">
        <v>573</v>
      </c>
      <c r="D284" s="2" t="str">
        <f t="shared" si="3"/>
        <v>Error?</v>
      </c>
    </row>
    <row r="285" spans="1:4" x14ac:dyDescent="0.2">
      <c r="A285" s="5">
        <v>224</v>
      </c>
      <c r="B285" s="138">
        <f>'Assets-Liab 5-6'!N36</f>
        <v>1535200</v>
      </c>
      <c r="D285" s="2" t="str">
        <f t="shared" si="3"/>
        <v>Error?</v>
      </c>
    </row>
    <row r="286" spans="1:4" x14ac:dyDescent="0.2">
      <c r="A286" s="10">
        <v>225</v>
      </c>
      <c r="D286" s="2" t="str">
        <f t="shared" si="3"/>
        <v>OK</v>
      </c>
    </row>
    <row r="287" spans="1:4" x14ac:dyDescent="0.2">
      <c r="A287" s="5">
        <v>226</v>
      </c>
      <c r="B287" s="138">
        <f>'Assets-Liab 5-6'!N37</f>
        <v>1535200</v>
      </c>
      <c r="C287" s="2" t="s">
        <v>573</v>
      </c>
      <c r="D287" s="2" t="str">
        <f t="shared" si="3"/>
        <v>Error?</v>
      </c>
    </row>
    <row r="288" spans="1:4" x14ac:dyDescent="0.2">
      <c r="A288" s="5">
        <v>227</v>
      </c>
      <c r="B288" s="138">
        <f>'Assets-Liab 5-6'!N41</f>
        <v>1535200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924084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15524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1092180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5378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5378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2676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2676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53935</v>
      </c>
      <c r="D733" s="2" t="str">
        <f t="shared" si="10"/>
        <v>Error?</v>
      </c>
    </row>
    <row r="734" spans="1:4" x14ac:dyDescent="0.2">
      <c r="A734" s="5">
        <v>673</v>
      </c>
      <c r="B734" s="138">
        <f>'Expenditures 15-22'!C53</f>
        <v>53935</v>
      </c>
      <c r="C734" s="2" t="s">
        <v>573</v>
      </c>
      <c r="D734" s="2" t="str">
        <f t="shared" si="10"/>
        <v>Error?</v>
      </c>
    </row>
    <row r="735" spans="1:4" x14ac:dyDescent="0.2">
      <c r="A735" s="5">
        <v>674</v>
      </c>
      <c r="B735" s="138">
        <f>'Expenditures 15-22'!C55</f>
        <v>41804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41804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21207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32289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53496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157289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1249469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216056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237710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8392</v>
      </c>
      <c r="D791" s="2" t="str">
        <f t="shared" si="11"/>
        <v>Error?</v>
      </c>
    </row>
    <row r="792" spans="1:4" x14ac:dyDescent="0.2">
      <c r="A792" s="5">
        <v>731</v>
      </c>
      <c r="B792" s="138">
        <f>'Expenditures 15-22'!D53</f>
        <v>8392</v>
      </c>
      <c r="C792" s="2" t="s">
        <v>573</v>
      </c>
      <c r="D792" s="2" t="str">
        <f t="shared" si="11"/>
        <v>Error?</v>
      </c>
    </row>
    <row r="793" spans="1:4" x14ac:dyDescent="0.2">
      <c r="A793" s="5">
        <v>732</v>
      </c>
      <c r="B793" s="138">
        <f>'Expenditures 15-22'!D55</f>
        <v>5999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5999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14684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252394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62262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62712</v>
      </c>
      <c r="C836" s="2" t="s">
        <v>573</v>
      </c>
      <c r="D836" s="2" t="str">
        <f t="shared" si="12"/>
        <v>Error?</v>
      </c>
    </row>
    <row r="837" spans="1:4" x14ac:dyDescent="0.2">
      <c r="A837" s="5">
        <v>776</v>
      </c>
      <c r="B837" s="138">
        <f>'Expenditures 15-22'!E36</f>
        <v>10530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10530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13874</v>
      </c>
      <c r="D848" s="2" t="str">
        <f t="shared" si="12"/>
        <v>Error?</v>
      </c>
    </row>
    <row r="849" spans="1:4" x14ac:dyDescent="0.2">
      <c r="A849" s="5">
        <v>788</v>
      </c>
      <c r="B849" s="138">
        <f>'Expenditures 15-22'!E50</f>
        <v>7184</v>
      </c>
      <c r="D849" s="2" t="str">
        <f t="shared" si="12"/>
        <v>Error?</v>
      </c>
    </row>
    <row r="850" spans="1:4" x14ac:dyDescent="0.2">
      <c r="A850" s="5">
        <v>789</v>
      </c>
      <c r="B850" s="138">
        <f>'Expenditures 15-22'!E53</f>
        <v>21058</v>
      </c>
      <c r="C850" s="2" t="s">
        <v>573</v>
      </c>
      <c r="D850" s="2" t="str">
        <f t="shared" si="12"/>
        <v>Error?</v>
      </c>
    </row>
    <row r="851" spans="1:4" x14ac:dyDescent="0.2">
      <c r="A851" s="5">
        <v>790</v>
      </c>
      <c r="B851" s="138">
        <f>'Expenditures 15-22'!E55</f>
        <v>377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4132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4926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36891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101478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128677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133779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291</v>
      </c>
      <c r="C905" s="2" t="s">
        <v>573</v>
      </c>
      <c r="D905" s="2" t="str">
        <f t="shared" si="13"/>
        <v>Error?</v>
      </c>
    </row>
    <row r="906" spans="1:4" x14ac:dyDescent="0.2">
      <c r="A906" s="5">
        <v>845</v>
      </c>
      <c r="B906" s="138">
        <f>'Expenditures 15-22'!F49</f>
        <v>1995</v>
      </c>
      <c r="D906" s="2" t="str">
        <f t="shared" si="13"/>
        <v>Error?</v>
      </c>
    </row>
    <row r="907" spans="1:4" x14ac:dyDescent="0.2">
      <c r="A907" s="5">
        <v>846</v>
      </c>
      <c r="B907" s="138">
        <f>'Expenditures 15-22'!F50</f>
        <v>6</v>
      </c>
      <c r="D907" s="2" t="str">
        <f t="shared" si="13"/>
        <v>Error?</v>
      </c>
    </row>
    <row r="908" spans="1:4" x14ac:dyDescent="0.2">
      <c r="A908" s="5">
        <v>847</v>
      </c>
      <c r="B908" s="138">
        <f>'Expenditures 15-22'!F53</f>
        <v>2001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62105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64578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126683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128975</v>
      </c>
      <c r="C929" s="2" t="s">
        <v>573</v>
      </c>
      <c r="D929" s="2" t="str">
        <f t="shared" si="13"/>
        <v>Error?</v>
      </c>
    </row>
    <row r="930" spans="1:4" x14ac:dyDescent="0.2">
      <c r="A930" s="5">
        <v>869</v>
      </c>
      <c r="B930" s="138">
        <f>'Expenditures 15-22'!F75</f>
        <v>50</v>
      </c>
      <c r="D930" s="2" t="str">
        <f t="shared" si="13"/>
        <v>Error?</v>
      </c>
    </row>
    <row r="931" spans="1:4" x14ac:dyDescent="0.2">
      <c r="A931" s="5">
        <v>870</v>
      </c>
      <c r="B931" s="138">
        <f>'Expenditures 15-22'!F114</f>
        <v>262804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14908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14908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14908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14908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200</v>
      </c>
      <c r="D1044" s="2" t="str">
        <f t="shared" si="15"/>
        <v>Error?</v>
      </c>
    </row>
    <row r="1045" spans="1:4" x14ac:dyDescent="0.2">
      <c r="A1045" s="5">
        <v>984</v>
      </c>
      <c r="B1045" s="138">
        <f>'Expenditures 15-22'!H74</f>
        <v>200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56871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57250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1331258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18148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1526560</v>
      </c>
      <c r="C1108" s="2" t="s">
        <v>573</v>
      </c>
      <c r="D1108" s="2" t="str">
        <f t="shared" si="16"/>
        <v>Error?</v>
      </c>
    </row>
    <row r="1109" spans="1:4" x14ac:dyDescent="0.2">
      <c r="A1109" s="5">
        <v>1048</v>
      </c>
      <c r="B1109" s="138">
        <f>'Expenditures 15-22'!K36</f>
        <v>10530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5378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15908</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2967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2967</v>
      </c>
      <c r="C1119" s="2" t="s">
        <v>573</v>
      </c>
      <c r="D1119" s="2" t="str">
        <f t="shared" si="16"/>
        <v>Error?</v>
      </c>
    </row>
    <row r="1120" spans="1:4" x14ac:dyDescent="0.2">
      <c r="A1120" s="5">
        <v>1059</v>
      </c>
      <c r="B1120" s="138">
        <f>'Expenditures 15-22'!K49</f>
        <v>15869</v>
      </c>
      <c r="C1120" s="2" t="s">
        <v>573</v>
      </c>
      <c r="D1120" s="2" t="str">
        <f t="shared" si="16"/>
        <v>Error?</v>
      </c>
    </row>
    <row r="1121" spans="1:4" x14ac:dyDescent="0.2">
      <c r="A1121" s="5">
        <v>1060</v>
      </c>
      <c r="B1121" s="138">
        <f>'Expenditures 15-22'!K50</f>
        <v>69517</v>
      </c>
      <c r="C1121" s="2" t="s">
        <v>573</v>
      </c>
      <c r="D1121" s="2" t="str">
        <f t="shared" si="16"/>
        <v>Error?</v>
      </c>
    </row>
    <row r="1122" spans="1:4" x14ac:dyDescent="0.2">
      <c r="A1122" s="5">
        <v>1061</v>
      </c>
      <c r="B1122" s="138">
        <f>'Expenditures 15-22'!K53</f>
        <v>85386</v>
      </c>
      <c r="C1122" s="2" t="s">
        <v>573</v>
      </c>
      <c r="D1122" s="2" t="str">
        <f t="shared" si="16"/>
        <v>Error?</v>
      </c>
    </row>
    <row r="1123" spans="1:4" x14ac:dyDescent="0.2">
      <c r="A1123" s="5">
        <v>1062</v>
      </c>
      <c r="B1123" s="138">
        <f>'Expenditures 15-22'!K55</f>
        <v>48180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48180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21207</v>
      </c>
      <c r="C1127" s="2" t="s">
        <v>573</v>
      </c>
      <c r="D1127" s="2" t="str">
        <f t="shared" si="16"/>
        <v>Error?</v>
      </c>
    </row>
    <row r="1128" spans="1:4" x14ac:dyDescent="0.2">
      <c r="A1128" s="5">
        <v>1067</v>
      </c>
      <c r="B1128" s="138">
        <f>'Expenditures 15-22'!K61</f>
        <v>66237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112862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200306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200</v>
      </c>
      <c r="C1142" s="2" t="s">
        <v>573</v>
      </c>
      <c r="D1142" s="2" t="str">
        <f t="shared" si="16"/>
        <v>Error?</v>
      </c>
    </row>
    <row r="1143" spans="1:4" x14ac:dyDescent="0.2">
      <c r="A1143" s="5">
        <v>1082</v>
      </c>
      <c r="B1143" s="138">
        <f>'Expenditures 15-22'!K74</f>
        <v>352947</v>
      </c>
      <c r="C1143" s="2" t="s">
        <v>573</v>
      </c>
      <c r="D1143" s="2" t="str">
        <f t="shared" si="16"/>
        <v>Error?</v>
      </c>
    </row>
    <row r="1144" spans="1:4" x14ac:dyDescent="0.2">
      <c r="A1144" s="5">
        <v>1083</v>
      </c>
      <c r="B1144" s="138">
        <f>'Expenditures 15-22'!K75</f>
        <v>50</v>
      </c>
      <c r="C1144" s="2" t="s">
        <v>573</v>
      </c>
      <c r="D1144" s="2" t="str">
        <f t="shared" si="16"/>
        <v>Error?</v>
      </c>
    </row>
    <row r="1145" spans="1:4" x14ac:dyDescent="0.2">
      <c r="A1145" s="5">
        <v>1084</v>
      </c>
      <c r="B1145" s="138">
        <f>'Expenditures 15-22'!K102</f>
        <v>58746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1938303</v>
      </c>
      <c r="C1152" s="2" t="s">
        <v>573</v>
      </c>
      <c r="D1152" s="2" t="str">
        <f t="shared" si="17"/>
        <v>Error?</v>
      </c>
    </row>
    <row r="1153" spans="1:4" x14ac:dyDescent="0.2">
      <c r="A1153" s="5">
        <v>1092</v>
      </c>
      <c r="B1153" s="138">
        <f>'Expenditures 15-22'!K115</f>
        <v>77943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40796</v>
      </c>
      <c r="D1221" s="2" t="str">
        <f t="shared" si="18"/>
        <v>Error?</v>
      </c>
    </row>
    <row r="1222" spans="1:4" x14ac:dyDescent="0.2">
      <c r="A1222" s="10">
        <v>1161</v>
      </c>
      <c r="D1222" s="2" t="str">
        <f t="shared" si="18"/>
        <v>OK</v>
      </c>
    </row>
    <row r="1223" spans="1:4" x14ac:dyDescent="0.2">
      <c r="A1223" s="5">
        <v>1162</v>
      </c>
      <c r="B1223" s="138">
        <f>'Expenditures 15-22'!C127</f>
        <v>40796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40796</v>
      </c>
      <c r="C1225" s="2" t="s">
        <v>573</v>
      </c>
      <c r="D1225" s="2" t="str">
        <f t="shared" si="18"/>
        <v>Error?</v>
      </c>
    </row>
    <row r="1226" spans="1:4" x14ac:dyDescent="0.2">
      <c r="A1226" s="5">
        <v>1165</v>
      </c>
      <c r="B1226" s="138">
        <f>'Expenditures 15-22'!C151</f>
        <v>40796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1658</v>
      </c>
      <c r="D1229" s="2" t="str">
        <f t="shared" si="18"/>
        <v>Error?</v>
      </c>
    </row>
    <row r="1230" spans="1:4" x14ac:dyDescent="0.2">
      <c r="A1230" s="10">
        <v>1169</v>
      </c>
      <c r="D1230" s="2" t="str">
        <f t="shared" si="18"/>
        <v>OK</v>
      </c>
    </row>
    <row r="1231" spans="1:4" x14ac:dyDescent="0.2">
      <c r="A1231" s="5">
        <v>1170</v>
      </c>
      <c r="B1231" s="138">
        <f>'Expenditures 15-22'!D127</f>
        <v>1658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1658</v>
      </c>
      <c r="C1233" s="2" t="s">
        <v>573</v>
      </c>
      <c r="D1233" s="2" t="str">
        <f t="shared" si="18"/>
        <v>Error?</v>
      </c>
    </row>
    <row r="1234" spans="1:4" x14ac:dyDescent="0.2">
      <c r="A1234" s="5">
        <v>1173</v>
      </c>
      <c r="B1234" s="138">
        <f>'Expenditures 15-22'!D151</f>
        <v>1658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56981</v>
      </c>
      <c r="D1237" s="2" t="str">
        <f t="shared" si="18"/>
        <v>Error?</v>
      </c>
    </row>
    <row r="1238" spans="1:4" x14ac:dyDescent="0.2">
      <c r="A1238" s="10">
        <v>1177</v>
      </c>
      <c r="D1238" s="2" t="str">
        <f t="shared" si="18"/>
        <v>OK</v>
      </c>
    </row>
    <row r="1239" spans="1:4" x14ac:dyDescent="0.2">
      <c r="A1239" s="5">
        <v>1178</v>
      </c>
      <c r="B1239" s="138">
        <f>'Expenditures 15-22'!E127</f>
        <v>56981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56981</v>
      </c>
      <c r="C1241" s="2" t="s">
        <v>573</v>
      </c>
      <c r="D1241" s="2" t="str">
        <f t="shared" si="18"/>
        <v>Error?</v>
      </c>
    </row>
    <row r="1242" spans="1:4" x14ac:dyDescent="0.2">
      <c r="A1242" s="5">
        <v>1181</v>
      </c>
      <c r="B1242" s="138">
        <f>'Expenditures 15-22'!E151</f>
        <v>56981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21299</v>
      </c>
      <c r="D1245" s="2" t="str">
        <f t="shared" si="18"/>
        <v>Error?</v>
      </c>
    </row>
    <row r="1246" spans="1:4" x14ac:dyDescent="0.2">
      <c r="A1246" s="10">
        <v>1185</v>
      </c>
      <c r="D1246" s="2" t="str">
        <f t="shared" si="18"/>
        <v>OK</v>
      </c>
    </row>
    <row r="1247" spans="1:4" x14ac:dyDescent="0.2">
      <c r="A1247" s="5">
        <v>1186</v>
      </c>
      <c r="B1247" s="138">
        <f>'Expenditures 15-22'!F127</f>
        <v>21299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21299</v>
      </c>
      <c r="C1249" s="2" t="s">
        <v>573</v>
      </c>
      <c r="D1249" s="2" t="str">
        <f t="shared" si="18"/>
        <v>Error?</v>
      </c>
    </row>
    <row r="1250" spans="1:4" x14ac:dyDescent="0.2">
      <c r="A1250" s="5">
        <v>1189</v>
      </c>
      <c r="B1250" s="138">
        <f>'Expenditures 15-22'!F151</f>
        <v>21299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120734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120734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120734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120734</v>
      </c>
      <c r="C1288" s="2" t="s">
        <v>573</v>
      </c>
      <c r="D1288" s="2" t="str">
        <f t="shared" si="19"/>
        <v>Error?</v>
      </c>
    </row>
    <row r="1289" spans="1:4" x14ac:dyDescent="0.2">
      <c r="A1289" s="5">
        <v>1228</v>
      </c>
      <c r="B1289" s="138">
        <f>'Expenditures 15-22'!K152</f>
        <v>19175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41134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200600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242234</v>
      </c>
      <c r="C1317" s="2" t="s">
        <v>573</v>
      </c>
      <c r="D1317" s="2" t="str">
        <f t="shared" si="19"/>
        <v>Error?</v>
      </c>
    </row>
    <row r="1318" spans="1:4" x14ac:dyDescent="0.2">
      <c r="A1318" s="5">
        <v>1257</v>
      </c>
      <c r="B1318" s="138">
        <f>'Expenditures 15-22'!H174</f>
        <v>242234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41134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200600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242234</v>
      </c>
      <c r="C1331" s="2" t="s">
        <v>573</v>
      </c>
      <c r="D1331" s="2" t="str">
        <f t="shared" si="19"/>
        <v>Error?</v>
      </c>
    </row>
    <row r="1332" spans="1:4" x14ac:dyDescent="0.2">
      <c r="A1332" s="5">
        <v>1271</v>
      </c>
      <c r="B1332" s="138">
        <f>'Expenditures 15-22'!K174</f>
        <v>242234</v>
      </c>
      <c r="C1332" s="2" t="s">
        <v>573</v>
      </c>
      <c r="D1332" s="2" t="str">
        <f t="shared" si="19"/>
        <v>Error?</v>
      </c>
    </row>
    <row r="1333" spans="1:4" x14ac:dyDescent="0.2">
      <c r="A1333" s="5">
        <v>1272</v>
      </c>
      <c r="B1333" s="138">
        <f>'Expenditures 15-22'!K175</f>
        <v>118</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5877</v>
      </c>
      <c r="C1339" s="2" t="s">
        <v>573</v>
      </c>
      <c r="D1339" s="2" t="str">
        <f t="shared" si="19"/>
        <v>Error?</v>
      </c>
    </row>
    <row r="1340" spans="1:4" x14ac:dyDescent="0.2">
      <c r="A1340" s="5">
        <v>1279</v>
      </c>
      <c r="B1340" s="138">
        <f>'Expenditures 15-22'!C210</f>
        <v>5877</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725</v>
      </c>
      <c r="C1345" s="2" t="s">
        <v>573</v>
      </c>
      <c r="D1345" s="2" t="str">
        <f t="shared" si="20"/>
        <v>Error?</v>
      </c>
    </row>
    <row r="1346" spans="1:4" x14ac:dyDescent="0.2">
      <c r="A1346" s="5">
        <v>1285</v>
      </c>
      <c r="B1346" s="138">
        <f>'Expenditures 15-22'!D210</f>
        <v>725</v>
      </c>
      <c r="C1346" s="2" t="s">
        <v>573</v>
      </c>
      <c r="D1346" s="2" t="str">
        <f t="shared" si="20"/>
        <v>Error?</v>
      </c>
    </row>
    <row r="1347" spans="1:4" x14ac:dyDescent="0.2">
      <c r="A1347" s="5">
        <v>1286</v>
      </c>
      <c r="B1347" s="138">
        <f>'Expenditures 15-22'!E182</f>
        <v>168822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168822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168822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168822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175424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175424</v>
      </c>
      <c r="C1388" s="2" t="s">
        <v>573</v>
      </c>
      <c r="D1388" s="2" t="str">
        <f t="shared" si="20"/>
        <v>Error?</v>
      </c>
    </row>
    <row r="1389" spans="1:4" x14ac:dyDescent="0.2">
      <c r="A1389" s="5">
        <v>1328</v>
      </c>
      <c r="B1389" s="138">
        <f>'Expenditures 15-22'!K211</f>
        <v>39421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30195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1186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85</v>
      </c>
      <c r="D1416" s="2" t="str">
        <f t="shared" si="21"/>
        <v>Error?</v>
      </c>
    </row>
    <row r="1417" spans="1:4" x14ac:dyDescent="0.2">
      <c r="A1417" s="5">
        <v>1356</v>
      </c>
      <c r="B1417" s="138">
        <f>'Expenditures 15-22'!D238</f>
        <v>1271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498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1897</v>
      </c>
      <c r="D1423" s="2" t="str">
        <f t="shared" si="21"/>
        <v>Error?</v>
      </c>
    </row>
    <row r="1424" spans="1:4" x14ac:dyDescent="0.2">
      <c r="A1424" s="5">
        <v>1363</v>
      </c>
      <c r="B1424" s="138">
        <f>'Expenditures 15-22'!D257</f>
        <v>18878</v>
      </c>
      <c r="C1424" s="2" t="s">
        <v>573</v>
      </c>
      <c r="D1424" s="2" t="str">
        <f t="shared" si="21"/>
        <v>Error?</v>
      </c>
    </row>
    <row r="1425" spans="1:4" x14ac:dyDescent="0.2">
      <c r="A1425" s="5">
        <v>1364</v>
      </c>
      <c r="B1425" s="138">
        <f>'Expenditures 15-22'!D259</f>
        <v>1405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1405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4194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7594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6311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18099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40151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70346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837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30195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1186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85</v>
      </c>
      <c r="C1480" s="2" t="s">
        <v>573</v>
      </c>
      <c r="D1480" s="2" t="str">
        <f t="shared" si="22"/>
        <v>Error?</v>
      </c>
    </row>
    <row r="1481" spans="1:4" x14ac:dyDescent="0.2">
      <c r="A1481" s="5">
        <v>1420</v>
      </c>
      <c r="B1481" s="138">
        <f>'Expenditures 15-22'!K238</f>
        <v>1271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498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498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1897</v>
      </c>
      <c r="C1487" s="2" t="s">
        <v>573</v>
      </c>
      <c r="D1487" s="2" t="str">
        <f t="shared" si="22"/>
        <v>Error?</v>
      </c>
    </row>
    <row r="1488" spans="1:4" x14ac:dyDescent="0.2">
      <c r="A1488" s="5">
        <v>1427</v>
      </c>
      <c r="B1488" s="138">
        <f>'Expenditures 15-22'!K257</f>
        <v>18878</v>
      </c>
      <c r="C1488" s="2" t="s">
        <v>573</v>
      </c>
      <c r="D1488" s="2" t="str">
        <f t="shared" si="22"/>
        <v>Error?</v>
      </c>
    </row>
    <row r="1489" spans="1:4" x14ac:dyDescent="0.2">
      <c r="A1489" s="5">
        <v>1428</v>
      </c>
      <c r="B1489" s="138">
        <f>'Expenditures 15-22'!K259</f>
        <v>1405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1405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4194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7594</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6311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18099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40151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70346</v>
      </c>
      <c r="C1517" s="2" t="s">
        <v>573</v>
      </c>
      <c r="D1517" s="2" t="str">
        <f t="shared" si="22"/>
        <v>Error?</v>
      </c>
    </row>
    <row r="1518" spans="1:4" x14ac:dyDescent="0.2">
      <c r="A1518" s="5">
        <v>1457</v>
      </c>
      <c r="B1518" s="138">
        <f>'Expenditures 15-22'!K296</f>
        <v>-42401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731904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835400</v>
      </c>
      <c r="C1630" s="2" t="s">
        <v>573</v>
      </c>
      <c r="D1630" s="2" t="str">
        <f t="shared" si="24"/>
        <v>Error?</v>
      </c>
    </row>
    <row r="1631" spans="1:4" x14ac:dyDescent="0.2">
      <c r="A1631" s="5">
        <v>1570</v>
      </c>
      <c r="B1631" s="138">
        <f>'Acct Summary 7-8'!D79</f>
        <v>152673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171848</v>
      </c>
      <c r="C1644" s="2" t="s">
        <v>573</v>
      </c>
      <c r="D1644" s="2" t="str">
        <f t="shared" si="24"/>
        <v>Error?</v>
      </c>
    </row>
    <row r="1645" spans="1:4" x14ac:dyDescent="0.2">
      <c r="A1645" s="5">
        <v>1584</v>
      </c>
      <c r="B1645" s="138">
        <f>'Acct Summary 7-8'!E79</f>
        <v>21855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21973</v>
      </c>
      <c r="C1658" s="2" t="s">
        <v>573</v>
      </c>
      <c r="D1658" s="2" t="str">
        <f t="shared" si="24"/>
        <v>Error?</v>
      </c>
    </row>
    <row r="1659" spans="1:4" x14ac:dyDescent="0.2">
      <c r="A1659" s="5">
        <v>1598</v>
      </c>
      <c r="B1659" s="138">
        <f>'Acct Summary 7-8'!F79</f>
        <v>63872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103293</v>
      </c>
      <c r="C1672" s="2" t="s">
        <v>573</v>
      </c>
      <c r="D1672" s="2" t="str">
        <f t="shared" si="25"/>
        <v>Error?</v>
      </c>
    </row>
    <row r="1673" spans="1:4" x14ac:dyDescent="0.2">
      <c r="A1673" s="5">
        <v>1612</v>
      </c>
      <c r="B1673" s="138">
        <f>'Acct Summary 7-8'!G79</f>
        <v>152741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110340</v>
      </c>
      <c r="C1686" s="2" t="s">
        <v>573</v>
      </c>
      <c r="D1686" s="2" t="str">
        <f t="shared" si="25"/>
        <v>Error?</v>
      </c>
    </row>
    <row r="1687" spans="1:4" x14ac:dyDescent="0.2">
      <c r="A1687" s="5">
        <v>1626</v>
      </c>
      <c r="B1687" s="138">
        <f>'Acct Summary 7-8'!H79</f>
        <v>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502365</v>
      </c>
      <c r="C1744" s="2" t="s">
        <v>573</v>
      </c>
      <c r="D1744" s="2" t="str">
        <f t="shared" si="26"/>
        <v>Error?</v>
      </c>
    </row>
    <row r="1745" spans="1:5" x14ac:dyDescent="0.2">
      <c r="A1745" s="5">
        <v>1684</v>
      </c>
      <c r="B1745" s="138">
        <f>'Tax Sched 23'!B5</f>
        <v>136513</v>
      </c>
      <c r="C1745" s="2" t="s">
        <v>573</v>
      </c>
      <c r="D1745" s="2" t="str">
        <f t="shared" si="26"/>
        <v>Error?</v>
      </c>
    </row>
    <row r="1746" spans="1:5" x14ac:dyDescent="0.2">
      <c r="A1746" s="5">
        <v>1685</v>
      </c>
      <c r="B1746" s="138">
        <f>'Tax Sched 23'!B6</f>
        <v>241574</v>
      </c>
      <c r="C1746" s="2" t="s">
        <v>573</v>
      </c>
      <c r="D1746" s="2" t="str">
        <f t="shared" si="26"/>
        <v>Error?</v>
      </c>
    </row>
    <row r="1747" spans="1:5" x14ac:dyDescent="0.2">
      <c r="A1747" s="5">
        <v>1686</v>
      </c>
      <c r="B1747" s="138">
        <f>'Tax Sched 23'!B7</f>
        <v>65526</v>
      </c>
      <c r="C1747" s="2" t="s">
        <v>573</v>
      </c>
      <c r="D1747" s="2" t="str">
        <f t="shared" si="26"/>
        <v>Error?</v>
      </c>
    </row>
    <row r="1748" spans="1:5" x14ac:dyDescent="0.2">
      <c r="A1748" s="5">
        <v>1687</v>
      </c>
      <c r="B1748" s="138">
        <f>'Tax Sched 23'!B8</f>
        <v>9996</v>
      </c>
      <c r="C1748" s="2" t="s">
        <v>573</v>
      </c>
      <c r="D1748" s="2" t="str">
        <f t="shared" si="26"/>
        <v>Error?</v>
      </c>
    </row>
    <row r="1749" spans="1:5" x14ac:dyDescent="0.2">
      <c r="A1749" s="5">
        <v>1688</v>
      </c>
      <c r="B1749" s="138">
        <f>'Tax Sched 23'!B10</f>
        <v>27303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239843</v>
      </c>
      <c r="C1752" s="2" t="s">
        <v>573</v>
      </c>
      <c r="D1752" s="2" t="str">
        <f t="shared" si="26"/>
        <v>Error?</v>
      </c>
    </row>
    <row r="1753" spans="1:5" x14ac:dyDescent="0.2">
      <c r="A1753" s="5">
        <v>1692</v>
      </c>
      <c r="B1753" s="138">
        <f>'Tax Sched 23'!B12</f>
        <v>3022</v>
      </c>
      <c r="C1753" s="2" t="s">
        <v>573</v>
      </c>
      <c r="D1753" s="2" t="str">
        <f t="shared" si="26"/>
        <v>Error?</v>
      </c>
    </row>
    <row r="1754" spans="1:5" x14ac:dyDescent="0.2">
      <c r="A1754" s="5">
        <v>1693</v>
      </c>
      <c r="B1754" s="138">
        <f>'Tax Sched 23'!B14</f>
        <v>10921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1279361</v>
      </c>
      <c r="C1759" s="2" t="s">
        <v>573</v>
      </c>
      <c r="D1759" s="2" t="str">
        <f t="shared" si="26"/>
        <v>Error?</v>
      </c>
    </row>
    <row r="1760" spans="1:5" x14ac:dyDescent="0.2">
      <c r="A1760" s="5">
        <v>1699</v>
      </c>
      <c r="B1760" s="138">
        <f>'Tax Sched 23'!D4</f>
        <v>502157</v>
      </c>
      <c r="C1760" s="2" t="s">
        <v>573</v>
      </c>
      <c r="D1760" s="2" t="str">
        <f t="shared" si="26"/>
        <v>Error?</v>
      </c>
    </row>
    <row r="1761" spans="1:5" x14ac:dyDescent="0.2">
      <c r="A1761" s="5">
        <v>1700</v>
      </c>
      <c r="B1761" s="138">
        <f>'Tax Sched 23'!D5</f>
        <v>136457</v>
      </c>
      <c r="C1761" s="2" t="s">
        <v>573</v>
      </c>
      <c r="D1761" s="2" t="str">
        <f t="shared" si="26"/>
        <v>Error?</v>
      </c>
    </row>
    <row r="1762" spans="1:5" s="8" customFormat="1" x14ac:dyDescent="0.2">
      <c r="A1762" s="5">
        <v>1701</v>
      </c>
      <c r="B1762" s="138">
        <f>'Tax Sched 23'!D6</f>
        <v>241474</v>
      </c>
      <c r="C1762" s="2" t="s">
        <v>573</v>
      </c>
      <c r="D1762" s="2" t="str">
        <f t="shared" si="26"/>
        <v>Error?</v>
      </c>
      <c r="E1762" s="9"/>
    </row>
    <row r="1763" spans="1:5" x14ac:dyDescent="0.2">
      <c r="A1763" s="5">
        <v>1702</v>
      </c>
      <c r="B1763" s="138">
        <f>'Tax Sched 23'!D7</f>
        <v>65499</v>
      </c>
      <c r="C1763" s="2" t="s">
        <v>573</v>
      </c>
      <c r="D1763" s="2" t="str">
        <f t="shared" si="26"/>
        <v>Error?</v>
      </c>
    </row>
    <row r="1764" spans="1:5" x14ac:dyDescent="0.2">
      <c r="A1764" s="5">
        <v>1703</v>
      </c>
      <c r="B1764" s="138">
        <f>'Tax Sched 23'!D8</f>
        <v>9989</v>
      </c>
      <c r="C1764" s="2" t="s">
        <v>573</v>
      </c>
      <c r="D1764" s="2" t="str">
        <f t="shared" si="26"/>
        <v>Error?</v>
      </c>
    </row>
    <row r="1765" spans="1:5" x14ac:dyDescent="0.2">
      <c r="A1765" s="5">
        <v>1704</v>
      </c>
      <c r="B1765" s="138">
        <f>'Tax Sched 23'!D10</f>
        <v>27292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239744</v>
      </c>
      <c r="C1768" s="2" t="s">
        <v>573</v>
      </c>
      <c r="D1768" s="2" t="str">
        <f t="shared" si="26"/>
        <v>Error?</v>
      </c>
    </row>
    <row r="1769" spans="1:5" x14ac:dyDescent="0.2">
      <c r="A1769" s="5">
        <v>1708</v>
      </c>
      <c r="B1769" s="138">
        <f>'Tax Sched 23'!D12</f>
        <v>3021</v>
      </c>
      <c r="C1769" s="2" t="s">
        <v>573</v>
      </c>
      <c r="D1769" s="2" t="str">
        <f t="shared" si="26"/>
        <v>Error?</v>
      </c>
    </row>
    <row r="1770" spans="1:5" x14ac:dyDescent="0.2">
      <c r="A1770" s="5">
        <v>1709</v>
      </c>
      <c r="B1770" s="138">
        <f>'Tax Sched 23'!D14</f>
        <v>10916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1278828</v>
      </c>
      <c r="C1775" s="2" t="s">
        <v>573</v>
      </c>
      <c r="D1775" s="2" t="str">
        <f t="shared" si="26"/>
        <v>Error?</v>
      </c>
    </row>
    <row r="1776" spans="1:5" x14ac:dyDescent="0.2">
      <c r="A1776" s="5">
        <v>1715</v>
      </c>
      <c r="B1776" s="138">
        <f>'Tax Sched 23'!C4</f>
        <v>208</v>
      </c>
      <c r="D1776" s="2" t="str">
        <f t="shared" si="26"/>
        <v>Error?</v>
      </c>
    </row>
    <row r="1777" spans="1:4" x14ac:dyDescent="0.2">
      <c r="A1777" s="5">
        <v>1716</v>
      </c>
      <c r="B1777" s="138">
        <f>'Tax Sched 23'!C5</f>
        <v>56</v>
      </c>
      <c r="D1777" s="2" t="str">
        <f t="shared" si="26"/>
        <v>Error?</v>
      </c>
    </row>
    <row r="1778" spans="1:4" x14ac:dyDescent="0.2">
      <c r="A1778" s="5">
        <v>1717</v>
      </c>
      <c r="B1778" s="138">
        <f>'Tax Sched 23'!C6</f>
        <v>100</v>
      </c>
      <c r="D1778" s="2" t="str">
        <f t="shared" si="26"/>
        <v>Error?</v>
      </c>
    </row>
    <row r="1779" spans="1:4" x14ac:dyDescent="0.2">
      <c r="A1779" s="5">
        <v>1718</v>
      </c>
      <c r="B1779" s="138">
        <f>'Tax Sched 23'!C7</f>
        <v>27</v>
      </c>
      <c r="D1779" s="2" t="str">
        <f t="shared" si="26"/>
        <v>Error?</v>
      </c>
    </row>
    <row r="1780" spans="1:4" x14ac:dyDescent="0.2">
      <c r="A1780" s="5">
        <v>1719</v>
      </c>
      <c r="B1780" s="138">
        <f>'Tax Sched 23'!C8</f>
        <v>7</v>
      </c>
      <c r="D1780" s="2" t="str">
        <f t="shared" si="26"/>
        <v>Error?</v>
      </c>
    </row>
    <row r="1781" spans="1:4" x14ac:dyDescent="0.2">
      <c r="A1781" s="5">
        <v>1720</v>
      </c>
      <c r="B1781" s="138">
        <f>'Tax Sched 23'!C10</f>
        <v>11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99</v>
      </c>
      <c r="D1784" s="2" t="str">
        <f t="shared" si="26"/>
        <v>Error?</v>
      </c>
    </row>
    <row r="1785" spans="1:4" x14ac:dyDescent="0.2">
      <c r="A1785" s="5">
        <v>1724</v>
      </c>
      <c r="B1785" s="138">
        <f>'Tax Sched 23'!C12</f>
        <v>1</v>
      </c>
      <c r="D1785" s="2" t="str">
        <f t="shared" si="26"/>
        <v>Error?</v>
      </c>
    </row>
    <row r="1786" spans="1:4" x14ac:dyDescent="0.2">
      <c r="A1786" s="5">
        <v>1725</v>
      </c>
      <c r="B1786" s="138">
        <f>'Tax Sched 23'!C14</f>
        <v>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533</v>
      </c>
      <c r="C1791" s="2" t="s">
        <v>573</v>
      </c>
      <c r="D1791" s="2" t="str">
        <f t="shared" ref="D1791:D1854" si="27">IF(ISBLANK(B1791),"OK",IF(A1791-B1791=0,"OK","Error?"))</f>
        <v>Error?</v>
      </c>
    </row>
    <row r="1792" spans="1:4" x14ac:dyDescent="0.2">
      <c r="A1792" s="5">
        <v>1731</v>
      </c>
      <c r="B1792" s="138">
        <f>'Tax Sched 23'!F4</f>
        <v>528538</v>
      </c>
      <c r="C1792" s="2" t="s">
        <v>573</v>
      </c>
      <c r="D1792" s="2" t="str">
        <f t="shared" si="27"/>
        <v>Error?</v>
      </c>
    </row>
    <row r="1793" spans="1:4" x14ac:dyDescent="0.2">
      <c r="A1793" s="5">
        <v>1732</v>
      </c>
      <c r="B1793" s="138">
        <f>'Tax Sched 23'!F5</f>
        <v>143625</v>
      </c>
      <c r="C1793" s="2" t="s">
        <v>573</v>
      </c>
      <c r="D1793" s="2" t="str">
        <f t="shared" si="27"/>
        <v>Error?</v>
      </c>
    </row>
    <row r="1794" spans="1:4" x14ac:dyDescent="0.2">
      <c r="A1794" s="5">
        <v>1733</v>
      </c>
      <c r="B1794" s="138">
        <f>'Tax Sched 23'!F6</f>
        <v>242005</v>
      </c>
      <c r="C1794" s="2" t="s">
        <v>573</v>
      </c>
      <c r="D1794" s="2" t="str">
        <f t="shared" si="27"/>
        <v>Error?</v>
      </c>
    </row>
    <row r="1795" spans="1:4" x14ac:dyDescent="0.2">
      <c r="A1795" s="5">
        <v>1734</v>
      </c>
      <c r="B1795" s="138">
        <f>'Tax Sched 23'!F7</f>
        <v>68940</v>
      </c>
      <c r="C1795" s="2" t="s">
        <v>573</v>
      </c>
      <c r="D1795" s="2" t="str">
        <f t="shared" si="27"/>
        <v>Error?</v>
      </c>
    </row>
    <row r="1796" spans="1:4" x14ac:dyDescent="0.2">
      <c r="A1796" s="5">
        <v>1735</v>
      </c>
      <c r="B1796" s="138">
        <f>'Tax Sched 23'!F8</f>
        <v>17011</v>
      </c>
      <c r="C1796" s="2" t="s">
        <v>573</v>
      </c>
      <c r="D1796" s="2" t="str">
        <f t="shared" si="27"/>
        <v>Error?</v>
      </c>
    </row>
    <row r="1797" spans="1:4" x14ac:dyDescent="0.2">
      <c r="A1797" s="5">
        <v>1736</v>
      </c>
      <c r="B1797" s="138">
        <f>'Tax Sched 23'!F10</f>
        <v>28725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240154</v>
      </c>
      <c r="C1800" s="2" t="s">
        <v>573</v>
      </c>
      <c r="D1800" s="2" t="str">
        <f t="shared" si="27"/>
        <v>Error?</v>
      </c>
    </row>
    <row r="1801" spans="1:4" x14ac:dyDescent="0.2">
      <c r="A1801" s="5">
        <v>1740</v>
      </c>
      <c r="B1801" s="138">
        <f>'Tax Sched 23'!F12</f>
        <v>3001</v>
      </c>
      <c r="C1801" s="2" t="s">
        <v>573</v>
      </c>
      <c r="D1801" s="2" t="str">
        <f t="shared" si="27"/>
        <v>Error?</v>
      </c>
    </row>
    <row r="1802" spans="1:4" x14ac:dyDescent="0.2">
      <c r="A1802" s="5">
        <v>1741</v>
      </c>
      <c r="B1802" s="138">
        <f>'Tax Sched 23'!F14</f>
        <v>11490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1332226</v>
      </c>
      <c r="C1807" s="2" t="s">
        <v>573</v>
      </c>
      <c r="D1807" s="2" t="str">
        <f t="shared" si="27"/>
        <v>Error?</v>
      </c>
    </row>
    <row r="1808" spans="1:4" x14ac:dyDescent="0.2">
      <c r="A1808" s="5">
        <v>1747</v>
      </c>
      <c r="B1808" s="138">
        <f>'Tax Sched 23'!E4</f>
        <v>528746</v>
      </c>
      <c r="D1808" s="2" t="str">
        <f t="shared" si="27"/>
        <v>Error?</v>
      </c>
    </row>
    <row r="1809" spans="1:4" x14ac:dyDescent="0.2">
      <c r="A1809" s="5">
        <v>1748</v>
      </c>
      <c r="B1809" s="138">
        <f>'Tax Sched 23'!E5</f>
        <v>143681</v>
      </c>
      <c r="D1809" s="2" t="str">
        <f t="shared" si="27"/>
        <v>Error?</v>
      </c>
    </row>
    <row r="1810" spans="1:4" x14ac:dyDescent="0.2">
      <c r="A1810" s="5">
        <v>1749</v>
      </c>
      <c r="B1810" s="138">
        <f>'Tax Sched 23'!E6</f>
        <v>242105</v>
      </c>
      <c r="D1810" s="2" t="str">
        <f t="shared" si="27"/>
        <v>Error?</v>
      </c>
    </row>
    <row r="1811" spans="1:4" x14ac:dyDescent="0.2">
      <c r="A1811" s="5">
        <v>1750</v>
      </c>
      <c r="B1811" s="138">
        <f>'Tax Sched 23'!E7</f>
        <v>68967</v>
      </c>
      <c r="D1811" s="2" t="str">
        <f t="shared" si="27"/>
        <v>Error?</v>
      </c>
    </row>
    <row r="1812" spans="1:4" x14ac:dyDescent="0.2">
      <c r="A1812" s="5">
        <v>1751</v>
      </c>
      <c r="B1812" s="138">
        <f>'Tax Sched 23'!E8</f>
        <v>17018</v>
      </c>
      <c r="D1812" s="2" t="str">
        <f t="shared" si="27"/>
        <v>Error?</v>
      </c>
    </row>
    <row r="1813" spans="1:4" x14ac:dyDescent="0.2">
      <c r="A1813" s="5">
        <v>1752</v>
      </c>
      <c r="B1813" s="138">
        <f>'Tax Sched 23'!E10</f>
        <v>28736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240253</v>
      </c>
      <c r="D1816" s="2" t="str">
        <f t="shared" si="27"/>
        <v>Error?</v>
      </c>
    </row>
    <row r="1817" spans="1:4" x14ac:dyDescent="0.2">
      <c r="A1817" s="5">
        <v>1756</v>
      </c>
      <c r="B1817" s="138">
        <f>'Tax Sched 23'!E12</f>
        <v>3002</v>
      </c>
      <c r="D1817" s="2" t="str">
        <f t="shared" si="27"/>
        <v>Error?</v>
      </c>
    </row>
    <row r="1818" spans="1:4" x14ac:dyDescent="0.2">
      <c r="A1818" s="5">
        <v>1757</v>
      </c>
      <c r="B1818" s="138">
        <f>'Tax Sched 23'!E14</f>
        <v>11495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1332759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1735800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10921</v>
      </c>
      <c r="D1973" s="2" t="str">
        <f t="shared" si="29"/>
        <v>Error?</v>
      </c>
    </row>
    <row r="1974" spans="1:5" x14ac:dyDescent="0.2">
      <c r="A1974" s="5">
        <v>1913</v>
      </c>
      <c r="B1974" s="138">
        <f>'Rest Tax Levies-Tort Im 25'!H10</f>
        <v>2</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10923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10923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6316894</v>
      </c>
      <c r="D2009" s="2" t="str">
        <f t="shared" si="30"/>
        <v>Error?</v>
      </c>
    </row>
    <row r="2010" spans="1:4" x14ac:dyDescent="0.2">
      <c r="A2010" s="5">
        <v>1949</v>
      </c>
      <c r="B2010" s="138">
        <f>'Cap Outlay Deprec 26'!C10</f>
        <v>254103</v>
      </c>
      <c r="D2010" s="2" t="str">
        <f t="shared" si="30"/>
        <v>Error?</v>
      </c>
    </row>
    <row r="2011" spans="1:4" x14ac:dyDescent="0.2">
      <c r="A2011" s="5">
        <v>1950</v>
      </c>
      <c r="B2011" s="138">
        <f>'Cap Outlay Deprec 26'!C12</f>
        <v>878552</v>
      </c>
      <c r="D2011" s="2" t="str">
        <f t="shared" si="30"/>
        <v>Error?</v>
      </c>
    </row>
    <row r="2012" spans="1:4" x14ac:dyDescent="0.2">
      <c r="A2012" s="5">
        <v>1951</v>
      </c>
      <c r="B2012" s="138">
        <f>'Cap Outlay Deprec 26'!C13</f>
        <v>25306</v>
      </c>
      <c r="D2012" s="2" t="str">
        <f t="shared" si="30"/>
        <v>Error?</v>
      </c>
    </row>
    <row r="2013" spans="1:4" x14ac:dyDescent="0.2">
      <c r="A2013" s="5">
        <v>1952</v>
      </c>
      <c r="B2013" s="138">
        <f>'Cap Outlay Deprec 26'!C16</f>
        <v>7474855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57094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14908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72002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10000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10000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6373988</v>
      </c>
      <c r="C2027" s="2" t="s">
        <v>573</v>
      </c>
      <c r="D2027" s="2" t="str">
        <f t="shared" si="30"/>
        <v>Error?</v>
      </c>
    </row>
    <row r="2028" spans="1:4" x14ac:dyDescent="0.2">
      <c r="A2028" s="5">
        <v>1967</v>
      </c>
      <c r="B2028" s="138">
        <f>'Cap Outlay Deprec 26'!F10</f>
        <v>254103</v>
      </c>
      <c r="C2028" s="2" t="s">
        <v>573</v>
      </c>
      <c r="D2028" s="2" t="str">
        <f t="shared" si="30"/>
        <v>Error?</v>
      </c>
    </row>
    <row r="2029" spans="1:4" x14ac:dyDescent="0.2">
      <c r="A2029" s="5">
        <v>1968</v>
      </c>
      <c r="B2029" s="138">
        <f>'Cap Outlay Deprec 26'!F12</f>
        <v>883460</v>
      </c>
      <c r="C2029" s="2" t="s">
        <v>573</v>
      </c>
      <c r="D2029" s="2" t="str">
        <f t="shared" si="30"/>
        <v>Error?</v>
      </c>
    </row>
    <row r="2030" spans="1:4" x14ac:dyDescent="0.2">
      <c r="A2030" s="5">
        <v>1969</v>
      </c>
      <c r="B2030" s="138">
        <f>'Cap Outlay Deprec 26'!F13</f>
        <v>25306</v>
      </c>
      <c r="C2030" s="2" t="s">
        <v>573</v>
      </c>
      <c r="D2030" s="2" t="str">
        <f t="shared" si="30"/>
        <v>Error?</v>
      </c>
    </row>
    <row r="2031" spans="1:4" x14ac:dyDescent="0.2">
      <c r="A2031" s="5">
        <v>1970</v>
      </c>
      <c r="B2031" s="138">
        <f>'Cap Outlay Deprec 26'!F16</f>
        <v>7536857</v>
      </c>
      <c r="C2031" s="2" t="s">
        <v>573</v>
      </c>
      <c r="D2031" s="2" t="str">
        <f t="shared" si="30"/>
        <v>Error?</v>
      </c>
    </row>
    <row r="2032" spans="1:4" x14ac:dyDescent="0.2">
      <c r="A2032" s="10">
        <v>1971</v>
      </c>
      <c r="D2032" s="2" t="str">
        <f t="shared" si="30"/>
        <v>OK</v>
      </c>
    </row>
    <row r="2033" spans="1:4" x14ac:dyDescent="0.2">
      <c r="A2033" s="5">
        <v>1972</v>
      </c>
      <c r="B2033" s="138">
        <f>'Cap Outlay Deprec 26'!H8</f>
        <v>1853367</v>
      </c>
      <c r="D2033" s="2" t="str">
        <f t="shared" si="30"/>
        <v>Error?</v>
      </c>
    </row>
    <row r="2034" spans="1:4" x14ac:dyDescent="0.2">
      <c r="A2034" s="5">
        <v>1973</v>
      </c>
      <c r="B2034" s="138">
        <f>'Cap Outlay Deprec 26'!H10</f>
        <v>100105</v>
      </c>
      <c r="D2034" s="2" t="str">
        <f t="shared" si="30"/>
        <v>Error?</v>
      </c>
    </row>
    <row r="2035" spans="1:4" x14ac:dyDescent="0.2">
      <c r="A2035" s="5">
        <v>1974</v>
      </c>
      <c r="B2035" s="138">
        <f>'Cap Outlay Deprec 26'!H12</f>
        <v>757259</v>
      </c>
      <c r="D2035" s="2" t="str">
        <f t="shared" si="30"/>
        <v>Error?</v>
      </c>
    </row>
    <row r="2036" spans="1:4" x14ac:dyDescent="0.2">
      <c r="A2036" s="5">
        <v>1975</v>
      </c>
      <c r="B2036" s="138">
        <f>'Cap Outlay Deprec 26'!H13</f>
        <v>25306</v>
      </c>
      <c r="D2036" s="2" t="str">
        <f t="shared" si="30"/>
        <v>Error?</v>
      </c>
    </row>
    <row r="2037" spans="1:4" x14ac:dyDescent="0.2">
      <c r="A2037" s="5">
        <v>1976</v>
      </c>
      <c r="B2037" s="138">
        <f>'Cap Outlay Deprec 26'!H16</f>
        <v>2736037</v>
      </c>
      <c r="C2037" s="2" t="s">
        <v>573</v>
      </c>
      <c r="D2037" s="2" t="str">
        <f t="shared" si="30"/>
        <v>Error?</v>
      </c>
    </row>
    <row r="2038" spans="1:4" x14ac:dyDescent="0.2">
      <c r="A2038" s="10">
        <v>1977</v>
      </c>
      <c r="D2038" s="2" t="str">
        <f t="shared" si="30"/>
        <v>OK</v>
      </c>
    </row>
    <row r="2039" spans="1:4" x14ac:dyDescent="0.2">
      <c r="A2039" s="5">
        <v>1978</v>
      </c>
      <c r="B2039" s="138">
        <f>'Cap Outlay Deprec 26'!I8</f>
        <v>127479</v>
      </c>
      <c r="D2039" s="2" t="str">
        <f t="shared" si="30"/>
        <v>Error?</v>
      </c>
    </row>
    <row r="2040" spans="1:4" x14ac:dyDescent="0.2">
      <c r="A2040" s="5">
        <v>1979</v>
      </c>
      <c r="B2040" s="138">
        <f>'Cap Outlay Deprec 26'!I10</f>
        <v>10282</v>
      </c>
      <c r="D2040" s="2" t="str">
        <f t="shared" si="30"/>
        <v>Error?</v>
      </c>
    </row>
    <row r="2041" spans="1:4" x14ac:dyDescent="0.2">
      <c r="A2041" s="5">
        <v>1980</v>
      </c>
      <c r="B2041" s="138">
        <f>'Cap Outlay Deprec 26'!I12</f>
        <v>20796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158557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10000</v>
      </c>
      <c r="C2049" s="2" t="s">
        <v>573</v>
      </c>
      <c r="D2049" s="2" t="str">
        <f t="shared" si="31"/>
        <v>Error?</v>
      </c>
    </row>
    <row r="2050" spans="1:4" x14ac:dyDescent="0.2">
      <c r="A2050" s="10">
        <v>1989</v>
      </c>
      <c r="D2050" s="2" t="str">
        <f t="shared" si="31"/>
        <v>OK</v>
      </c>
    </row>
    <row r="2051" spans="1:4" x14ac:dyDescent="0.2">
      <c r="A2051" s="5">
        <v>1990</v>
      </c>
      <c r="B2051" s="138">
        <f>'Cap Outlay Deprec 26'!K8</f>
        <v>1980846</v>
      </c>
      <c r="C2051" s="2" t="s">
        <v>573</v>
      </c>
      <c r="D2051" s="2" t="str">
        <f t="shared" si="31"/>
        <v>Error?</v>
      </c>
    </row>
    <row r="2052" spans="1:4" x14ac:dyDescent="0.2">
      <c r="A2052" s="5">
        <v>1991</v>
      </c>
      <c r="B2052" s="138">
        <f>'Cap Outlay Deprec 26'!K10</f>
        <v>110387</v>
      </c>
      <c r="C2052" s="2" t="s">
        <v>573</v>
      </c>
      <c r="D2052" s="2" t="str">
        <f t="shared" si="31"/>
        <v>Error?</v>
      </c>
    </row>
    <row r="2053" spans="1:4" x14ac:dyDescent="0.2">
      <c r="A2053" s="5">
        <v>1992</v>
      </c>
      <c r="B2053" s="138">
        <f>'Cap Outlay Deprec 26'!K12</f>
        <v>768055</v>
      </c>
      <c r="C2053" s="2" t="s">
        <v>573</v>
      </c>
      <c r="D2053" s="2" t="str">
        <f t="shared" si="31"/>
        <v>Error?</v>
      </c>
    </row>
    <row r="2054" spans="1:4" x14ac:dyDescent="0.2">
      <c r="A2054" s="5">
        <v>1993</v>
      </c>
      <c r="B2054" s="138">
        <f>'Cap Outlay Deprec 26'!K13</f>
        <v>25306</v>
      </c>
      <c r="C2054" s="2" t="s">
        <v>573</v>
      </c>
      <c r="D2054" s="2" t="str">
        <f t="shared" si="31"/>
        <v>Error?</v>
      </c>
    </row>
    <row r="2055" spans="1:4" x14ac:dyDescent="0.2">
      <c r="A2055" s="5">
        <v>1994</v>
      </c>
      <c r="B2055" s="138">
        <f>'Cap Outlay Deprec 26'!K16</f>
        <v>2884594</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4393142</v>
      </c>
      <c r="C2057" s="2" t="s">
        <v>573</v>
      </c>
      <c r="D2057" s="2" t="str">
        <f t="shared" si="31"/>
        <v>Error?</v>
      </c>
    </row>
    <row r="2058" spans="1:4" x14ac:dyDescent="0.2">
      <c r="A2058" s="5">
        <v>1997</v>
      </c>
      <c r="B2058" s="138">
        <f>'Cap Outlay Deprec 26'!L10</f>
        <v>143716</v>
      </c>
      <c r="C2058" s="2" t="s">
        <v>573</v>
      </c>
      <c r="D2058" s="2" t="str">
        <f t="shared" si="31"/>
        <v>Error?</v>
      </c>
    </row>
    <row r="2059" spans="1:4" x14ac:dyDescent="0.2">
      <c r="A2059" s="5">
        <v>1998</v>
      </c>
      <c r="B2059" s="138">
        <f>'Cap Outlay Deprec 26'!L12</f>
        <v>115405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4652263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56871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58746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778739</v>
      </c>
      <c r="C2551" s="2" t="s">
        <v>573</v>
      </c>
      <c r="D2551" s="2" t="str">
        <f t="shared" si="38"/>
        <v>Error?</v>
      </c>
    </row>
    <row r="2552" spans="1:4" x14ac:dyDescent="0.2">
      <c r="A2552" s="10">
        <v>2491</v>
      </c>
      <c r="D2552" s="2" t="str">
        <f t="shared" si="38"/>
        <v>OK</v>
      </c>
    </row>
    <row r="2553" spans="1:4" x14ac:dyDescent="0.2">
      <c r="A2553" s="5">
        <v>2492</v>
      </c>
      <c r="B2553" s="138">
        <f>'Acct Summary 7-8'!C6</f>
        <v>1145507</v>
      </c>
      <c r="C2553" s="2" t="s">
        <v>573</v>
      </c>
      <c r="D2553" s="2" t="str">
        <f t="shared" si="38"/>
        <v>Error?</v>
      </c>
    </row>
    <row r="2554" spans="1:4" x14ac:dyDescent="0.2">
      <c r="A2554" s="5">
        <v>2493</v>
      </c>
      <c r="B2554" s="138">
        <f>'Acct Summary 7-8'!C7</f>
        <v>92000</v>
      </c>
      <c r="C2554" s="2" t="s">
        <v>573</v>
      </c>
      <c r="D2554" s="2" t="str">
        <f t="shared" si="38"/>
        <v>Error?</v>
      </c>
    </row>
    <row r="2555" spans="1:4" x14ac:dyDescent="0.2">
      <c r="A2555" s="5">
        <v>2494</v>
      </c>
      <c r="B2555" s="138">
        <f>'Acct Summary 7-8'!C8</f>
        <v>2016246</v>
      </c>
      <c r="C2555" s="2" t="s">
        <v>573</v>
      </c>
      <c r="D2555" s="2" t="str">
        <f t="shared" si="38"/>
        <v>Error?</v>
      </c>
    </row>
    <row r="2556" spans="1:4" x14ac:dyDescent="0.2">
      <c r="A2556" s="5">
        <v>2495</v>
      </c>
      <c r="B2556" s="138">
        <f>'Acct Summary 7-8'!C12</f>
        <v>1526560</v>
      </c>
      <c r="C2556" s="2" t="s">
        <v>573</v>
      </c>
      <c r="D2556" s="2" t="str">
        <f t="shared" si="38"/>
        <v>Error?</v>
      </c>
    </row>
    <row r="2557" spans="1:4" x14ac:dyDescent="0.2">
      <c r="A2557" s="5">
        <v>2496</v>
      </c>
      <c r="B2557" s="138">
        <f>'Acct Summary 7-8'!C13</f>
        <v>352947</v>
      </c>
      <c r="C2557" s="2" t="s">
        <v>573</v>
      </c>
      <c r="D2557" s="2" t="str">
        <f t="shared" si="38"/>
        <v>Error?</v>
      </c>
    </row>
    <row r="2558" spans="1:4" x14ac:dyDescent="0.2">
      <c r="A2558" s="5">
        <v>2497</v>
      </c>
      <c r="B2558" s="138">
        <f>'Acct Summary 7-8'!C14</f>
        <v>50</v>
      </c>
      <c r="C2558" s="2" t="s">
        <v>573</v>
      </c>
      <c r="D2558" s="2" t="str">
        <f t="shared" si="38"/>
        <v>Error?</v>
      </c>
    </row>
    <row r="2559" spans="1:4" x14ac:dyDescent="0.2">
      <c r="A2559" s="5">
        <v>2498</v>
      </c>
      <c r="B2559" s="138">
        <f>'Acct Summary 7-8'!C15</f>
        <v>58746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1938303</v>
      </c>
      <c r="C2561" s="2" t="s">
        <v>573</v>
      </c>
      <c r="D2561" s="2" t="str">
        <f t="shared" si="39"/>
        <v>Error?</v>
      </c>
    </row>
    <row r="2562" spans="1:4" x14ac:dyDescent="0.2">
      <c r="A2562" s="5">
        <v>2501</v>
      </c>
      <c r="B2562" s="138">
        <f>'Acct Summary 7-8'!C20</f>
        <v>77943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139909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139909</v>
      </c>
      <c r="C2568" s="2" t="s">
        <v>573</v>
      </c>
      <c r="D2568" s="2" t="str">
        <f t="shared" si="39"/>
        <v>Error?</v>
      </c>
    </row>
    <row r="2569" spans="1:4" x14ac:dyDescent="0.2">
      <c r="A2569" s="5">
        <v>2508</v>
      </c>
      <c r="B2569" s="138">
        <f>'Acct Summary 7-8'!D13</f>
        <v>120734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120734</v>
      </c>
      <c r="C2573" s="2" t="s">
        <v>573</v>
      </c>
      <c r="D2573" s="2" t="str">
        <f t="shared" si="39"/>
        <v>Error?</v>
      </c>
    </row>
    <row r="2574" spans="1:4" x14ac:dyDescent="0.2">
      <c r="A2574" s="5">
        <v>2513</v>
      </c>
      <c r="B2574" s="138">
        <f>'Acct Summary 7-8'!D20</f>
        <v>19175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127490</v>
      </c>
      <c r="C2591" s="2" t="s">
        <v>573</v>
      </c>
      <c r="D2591" s="2" t="str">
        <f t="shared" si="39"/>
        <v>Error?</v>
      </c>
    </row>
    <row r="2592" spans="1:4" x14ac:dyDescent="0.2">
      <c r="A2592" s="10">
        <v>2531</v>
      </c>
      <c r="D2592" s="2" t="str">
        <f t="shared" si="39"/>
        <v>OK</v>
      </c>
    </row>
    <row r="2593" spans="1:4" x14ac:dyDescent="0.2">
      <c r="A2593" s="5">
        <v>2532</v>
      </c>
      <c r="B2593" s="138">
        <f>'Acct Summary 7-8'!F6</f>
        <v>87355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214845</v>
      </c>
      <c r="C2595" s="2" t="s">
        <v>573</v>
      </c>
      <c r="D2595" s="2" t="str">
        <f t="shared" si="39"/>
        <v>Error?</v>
      </c>
    </row>
    <row r="2596" spans="1:4" x14ac:dyDescent="0.2">
      <c r="A2596" s="5">
        <v>2535</v>
      </c>
      <c r="B2596" s="138">
        <f>'Acct Summary 7-8'!F13</f>
        <v>175424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175424</v>
      </c>
      <c r="C2600" s="2" t="s">
        <v>573</v>
      </c>
      <c r="D2600" s="2" t="str">
        <f t="shared" si="39"/>
        <v>Error?</v>
      </c>
    </row>
    <row r="2601" spans="1:4" x14ac:dyDescent="0.2">
      <c r="A2601" s="5">
        <v>2540</v>
      </c>
      <c r="B2601" s="138">
        <f>'Acct Summary 7-8'!F20</f>
        <v>39421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27945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27945</v>
      </c>
      <c r="C2606" s="2" t="s">
        <v>573</v>
      </c>
      <c r="D2606" s="2" t="str">
        <f t="shared" si="39"/>
        <v>Error?</v>
      </c>
    </row>
    <row r="2607" spans="1:4" x14ac:dyDescent="0.2">
      <c r="A2607" s="5">
        <v>2546</v>
      </c>
      <c r="B2607" s="138">
        <f>'Acct Summary 7-8'!G12</f>
        <v>30195</v>
      </c>
      <c r="C2607" s="2" t="s">
        <v>573</v>
      </c>
      <c r="D2607" s="2" t="str">
        <f t="shared" si="39"/>
        <v>Error?</v>
      </c>
    </row>
    <row r="2608" spans="1:4" x14ac:dyDescent="0.2">
      <c r="A2608" s="5">
        <v>2547</v>
      </c>
      <c r="B2608" s="138">
        <f>'Acct Summary 7-8'!G13</f>
        <v>40151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70346</v>
      </c>
      <c r="C2612" s="2" t="s">
        <v>573</v>
      </c>
      <c r="D2612" s="2" t="str">
        <f t="shared" si="39"/>
        <v>Error?</v>
      </c>
    </row>
    <row r="2613" spans="1:4" x14ac:dyDescent="0.2">
      <c r="A2613" s="5">
        <v>2552</v>
      </c>
      <c r="B2613" s="138">
        <f>'Acct Summary 7-8'!G20</f>
        <v>-42401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242352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242352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242234</v>
      </c>
      <c r="C2634" s="2" t="s">
        <v>573</v>
      </c>
      <c r="D2634" s="2" t="str">
        <f t="shared" si="40"/>
        <v>Error?</v>
      </c>
    </row>
    <row r="2635" spans="1:4" x14ac:dyDescent="0.2">
      <c r="A2635" s="5">
        <v>2574</v>
      </c>
      <c r="B2635" s="138">
        <f>'Acct Summary 7-8'!E17</f>
        <v>242234</v>
      </c>
      <c r="C2635" s="2" t="s">
        <v>573</v>
      </c>
      <c r="D2635" s="2" t="str">
        <f t="shared" si="40"/>
        <v>Error?</v>
      </c>
    </row>
    <row r="2636" spans="1:4" x14ac:dyDescent="0.2">
      <c r="A2636" s="5">
        <v>2575</v>
      </c>
      <c r="B2636" s="138">
        <f>'Acct Summary 7-8'!E20</f>
        <v>118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1875</v>
      </c>
      <c r="C2789" s="2" t="s">
        <v>573</v>
      </c>
      <c r="D2789" s="2" t="str">
        <f t="shared" si="42"/>
        <v>Error?</v>
      </c>
    </row>
    <row r="2790" spans="1:4" x14ac:dyDescent="0.2">
      <c r="A2790" s="5">
        <v>2729</v>
      </c>
      <c r="B2790" s="138">
        <f>'Expenditures 15-22'!E102</f>
        <v>1875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2</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189409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30367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189409</v>
      </c>
      <c r="D2912" s="2" t="str">
        <f t="shared" si="44"/>
        <v>Error?</v>
      </c>
    </row>
    <row r="2913" spans="1:4" x14ac:dyDescent="0.2">
      <c r="A2913" s="5">
        <v>2852</v>
      </c>
      <c r="B2913" s="138">
        <f>'Assets-Liab 5-6'!I41</f>
        <v>189409</v>
      </c>
      <c r="C2913" s="2" t="s">
        <v>573</v>
      </c>
      <c r="D2913" s="2" t="str">
        <f t="shared" si="44"/>
        <v>Error?</v>
      </c>
    </row>
    <row r="2914" spans="1:4" x14ac:dyDescent="0.2">
      <c r="A2914" s="5">
        <v>2853</v>
      </c>
      <c r="B2914" s="138">
        <f>'Assets-Liab 5-6'!L33</f>
        <v>30367</v>
      </c>
      <c r="D2914" s="2" t="str">
        <f t="shared" si="44"/>
        <v>Error?</v>
      </c>
    </row>
    <row r="2915" spans="1:4" x14ac:dyDescent="0.2">
      <c r="A2915" s="10">
        <v>2854</v>
      </c>
      <c r="D2915" s="2" t="str">
        <f t="shared" si="44"/>
        <v>OK</v>
      </c>
    </row>
    <row r="2916" spans="1:4" x14ac:dyDescent="0.2">
      <c r="A2916" s="5">
        <v>2855</v>
      </c>
      <c r="B2916" s="138">
        <f>'Assets-Liab 5-6'!L34</f>
        <v>30367</v>
      </c>
      <c r="C2916" s="2" t="s">
        <v>573</v>
      </c>
      <c r="D2916" s="2" t="str">
        <f t="shared" si="44"/>
        <v>Error?</v>
      </c>
    </row>
    <row r="2917" spans="1:4" x14ac:dyDescent="0.2">
      <c r="A2917" s="5">
        <v>2856</v>
      </c>
      <c r="B2917" s="138">
        <f>'Assets-Liab 5-6'!L41</f>
        <v>30367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1875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56871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56871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1875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12249</v>
      </c>
      <c r="D3055" s="2" t="str">
        <f t="shared" si="46"/>
        <v>Error?</v>
      </c>
    </row>
    <row r="3056" spans="1:4" x14ac:dyDescent="0.2">
      <c r="A3056" s="5">
        <v>2995</v>
      </c>
      <c r="B3056" s="138">
        <f>'Expenditures 15-22'!D10</f>
        <v>1355</v>
      </c>
      <c r="D3056" s="2" t="str">
        <f t="shared" si="46"/>
        <v>Error?</v>
      </c>
    </row>
    <row r="3057" spans="1:4" x14ac:dyDescent="0.2">
      <c r="A3057" s="5">
        <v>2996</v>
      </c>
      <c r="B3057" s="138">
        <f>'Expenditures 15-22'!E10</f>
        <v>20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13624</v>
      </c>
      <c r="C3062" s="2" t="s">
        <v>573</v>
      </c>
      <c r="D3062" s="2" t="str">
        <f t="shared" si="46"/>
        <v>Error?</v>
      </c>
    </row>
    <row r="3063" spans="1:4" x14ac:dyDescent="0.2">
      <c r="A3063" s="10">
        <v>3002</v>
      </c>
      <c r="D3063" s="2" t="str">
        <f t="shared" si="46"/>
        <v>OK</v>
      </c>
    </row>
    <row r="3064" spans="1:4" x14ac:dyDescent="0.2">
      <c r="A3064" s="5">
        <v>3003</v>
      </c>
      <c r="B3064" s="138">
        <f>'Expenditures 15-22'!D219</f>
        <v>130</v>
      </c>
      <c r="D3064" s="2" t="str">
        <f t="shared" si="46"/>
        <v>Error?</v>
      </c>
    </row>
    <row r="3065" spans="1:4" x14ac:dyDescent="0.2">
      <c r="A3065" s="5">
        <v>3004</v>
      </c>
      <c r="B3065" s="138">
        <f>'Expenditures 15-22'!K219</f>
        <v>130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30767</v>
      </c>
      <c r="C3225" s="2" t="s">
        <v>573</v>
      </c>
      <c r="D3225" s="2" t="str">
        <f t="shared" si="49"/>
        <v>Error?</v>
      </c>
    </row>
    <row r="3226" spans="1:4" x14ac:dyDescent="0.2">
      <c r="A3226" s="5">
        <v>3165</v>
      </c>
      <c r="B3226" s="138">
        <f>'Acct Summary 7-8'!I8</f>
        <v>30767</v>
      </c>
      <c r="C3226" s="2" t="s">
        <v>573</v>
      </c>
      <c r="D3226" s="2" t="str">
        <f t="shared" si="49"/>
        <v>Error?</v>
      </c>
    </row>
    <row r="3227" spans="1:4" x14ac:dyDescent="0.2">
      <c r="A3227" s="5">
        <v>3166</v>
      </c>
      <c r="B3227" s="138">
        <f>'Acct Summary 7-8'!I20</f>
        <v>30767</v>
      </c>
      <c r="C3227" s="2" t="s">
        <v>573</v>
      </c>
      <c r="D3227" s="2" t="str">
        <f t="shared" si="49"/>
        <v>Error?</v>
      </c>
    </row>
    <row r="3228" spans="1:4" x14ac:dyDescent="0.2">
      <c r="A3228" s="5">
        <v>3167</v>
      </c>
      <c r="B3228" s="138">
        <f>'Acct Summary 7-8'!C43</f>
        <v>22351</v>
      </c>
      <c r="D3228" s="2" t="str">
        <f t="shared" si="49"/>
        <v>Error?</v>
      </c>
    </row>
    <row r="3229" spans="1:4" x14ac:dyDescent="0.2">
      <c r="A3229" s="5">
        <v>3168</v>
      </c>
      <c r="B3229" s="138">
        <f>'Acct Summary 7-8'!C44</f>
        <v>25553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25553</v>
      </c>
      <c r="C3232" s="2" t="s">
        <v>573</v>
      </c>
      <c r="D3232" s="2" t="str">
        <f t="shared" si="49"/>
        <v>Error?</v>
      </c>
    </row>
    <row r="3233" spans="1:4" x14ac:dyDescent="0.2">
      <c r="A3233" s="5">
        <v>3172</v>
      </c>
      <c r="B3233" s="138">
        <f>'Acct Summary 7-8'!C78</f>
        <v>103496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19175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39421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-42401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118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2</v>
      </c>
      <c r="C3298" s="2" t="s">
        <v>573</v>
      </c>
      <c r="D3298" s="2" t="str">
        <f t="shared" si="50"/>
        <v>Error?</v>
      </c>
    </row>
    <row r="3299" spans="1:4" x14ac:dyDescent="0.2">
      <c r="A3299" s="5">
        <v>3238</v>
      </c>
      <c r="B3299" s="138">
        <f>'Acct Summary 7-8'!H77</f>
        <v>-2</v>
      </c>
      <c r="C3299" s="2" t="s">
        <v>573</v>
      </c>
      <c r="D3299" s="2" t="str">
        <f t="shared" si="50"/>
        <v>Error?</v>
      </c>
    </row>
    <row r="3300" spans="1:4" x14ac:dyDescent="0.2">
      <c r="A3300" s="5">
        <v>3239</v>
      </c>
      <c r="B3300" s="138">
        <f>'Acct Summary 7-8'!H78</f>
        <v>-2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22351</v>
      </c>
      <c r="C3318" s="2" t="s">
        <v>573</v>
      </c>
      <c r="D3318" s="2" t="str">
        <f t="shared" si="50"/>
        <v>Error?</v>
      </c>
    </row>
    <row r="3319" spans="1:4" x14ac:dyDescent="0.2">
      <c r="A3319" s="5">
        <v>3258</v>
      </c>
      <c r="B3319" s="138">
        <f>'Acct Summary 7-8'!I77</f>
        <v>-22351</v>
      </c>
      <c r="C3319" s="2" t="s">
        <v>573</v>
      </c>
      <c r="D3319" s="2" t="str">
        <f t="shared" si="50"/>
        <v>Error?</v>
      </c>
    </row>
    <row r="3320" spans="1:4" x14ac:dyDescent="0.2">
      <c r="A3320" s="5">
        <v>3259</v>
      </c>
      <c r="B3320" s="138">
        <f>'Acct Summary 7-8'!I78</f>
        <v>8416</v>
      </c>
      <c r="C3320" s="2" t="s">
        <v>573</v>
      </c>
      <c r="D3320" s="2" t="str">
        <f t="shared" si="50"/>
        <v>Error?</v>
      </c>
    </row>
    <row r="3321" spans="1:4" x14ac:dyDescent="0.2">
      <c r="A3321" s="5">
        <v>3260</v>
      </c>
      <c r="B3321" s="138">
        <f>'Acct Summary 7-8'!I79</f>
        <v>180993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189409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91868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15222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110685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21606</v>
      </c>
      <c r="D3387" s="2" t="str">
        <f t="shared" si="51"/>
        <v>Error?</v>
      </c>
    </row>
    <row r="3388" spans="1:4" x14ac:dyDescent="0.2">
      <c r="A3388" s="5">
        <v>3327</v>
      </c>
      <c r="B3388" s="138">
        <f>'Expenditures 15-22'!D217</f>
        <v>5221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21606</v>
      </c>
      <c r="C3390" s="2" t="s">
        <v>573</v>
      </c>
      <c r="D3390" s="2" t="str">
        <f t="shared" si="51"/>
        <v>Error?</v>
      </c>
    </row>
    <row r="3391" spans="1:4" x14ac:dyDescent="0.2">
      <c r="A3391" s="5">
        <v>3330</v>
      </c>
      <c r="B3391" s="138">
        <f>'Expenditures 15-22'!K217</f>
        <v>5221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835400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171848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21973</v>
      </c>
      <c r="D3417" s="2" t="str">
        <f t="shared" si="52"/>
        <v>Error?</v>
      </c>
    </row>
    <row r="3418" spans="1:4" x14ac:dyDescent="0.2">
      <c r="A3418" s="10">
        <v>3357</v>
      </c>
      <c r="D3418" s="2" t="str">
        <f t="shared" si="52"/>
        <v>OK</v>
      </c>
    </row>
    <row r="3419" spans="1:4" x14ac:dyDescent="0.2">
      <c r="A3419" s="5">
        <v>3358</v>
      </c>
      <c r="B3419" s="138">
        <f>'Assets-Liab 5-6'!F4</f>
        <v>103293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110340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189409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30367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14995</v>
      </c>
      <c r="C3446" s="2" t="s">
        <v>573</v>
      </c>
      <c r="D3446" s="2" t="str">
        <f t="shared" si="52"/>
        <v>Error?</v>
      </c>
    </row>
    <row r="3447" spans="1:4" x14ac:dyDescent="0.2">
      <c r="A3447" s="5">
        <v>3386</v>
      </c>
      <c r="B3447" s="138">
        <f>'Tax Sched 23'!D16</f>
        <v>14987</v>
      </c>
      <c r="C3447" s="2" t="s">
        <v>573</v>
      </c>
      <c r="D3447" s="2" t="str">
        <f t="shared" si="52"/>
        <v>Error?</v>
      </c>
    </row>
    <row r="3448" spans="1:4" x14ac:dyDescent="0.2">
      <c r="A3448" s="5">
        <v>3387</v>
      </c>
      <c r="B3448" s="138">
        <f>'Tax Sched 23'!C16</f>
        <v>8</v>
      </c>
      <c r="D3448" s="2" t="str">
        <f t="shared" si="52"/>
        <v>Error?</v>
      </c>
    </row>
    <row r="3449" spans="1:4" x14ac:dyDescent="0.2">
      <c r="A3449" s="5">
        <v>3388</v>
      </c>
      <c r="B3449" s="138">
        <f>'Tax Sched 23'!F16</f>
        <v>20012</v>
      </c>
      <c r="C3449" s="2" t="s">
        <v>573</v>
      </c>
      <c r="D3449" s="2" t="str">
        <f t="shared" si="52"/>
        <v>Error?</v>
      </c>
    </row>
    <row r="3450" spans="1:4" x14ac:dyDescent="0.2">
      <c r="A3450" s="5">
        <v>3389</v>
      </c>
      <c r="B3450" s="138">
        <f>'Tax Sched 23'!E16</f>
        <v>20020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3200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402736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402736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402736</v>
      </c>
      <c r="D3567" s="2" t="str">
        <f t="shared" si="54"/>
        <v>Error?</v>
      </c>
    </row>
    <row r="3568" spans="1:4" x14ac:dyDescent="0.2">
      <c r="A3568" s="5">
        <v>3507</v>
      </c>
      <c r="B3568" s="138">
        <f>'Assets-Liab 5-6'!K41</f>
        <v>402736</v>
      </c>
      <c r="C3568" s="2" t="s">
        <v>573</v>
      </c>
      <c r="D3568" s="2" t="str">
        <f t="shared" si="54"/>
        <v>Error?</v>
      </c>
    </row>
    <row r="3569" spans="1:4" x14ac:dyDescent="0.2">
      <c r="A3569" s="5">
        <v>3508</v>
      </c>
      <c r="B3569" s="138">
        <f>'Acct Summary 7-8'!K4</f>
        <v>11680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11680</v>
      </c>
      <c r="C3571" s="2" t="s">
        <v>573</v>
      </c>
      <c r="D3571" s="2" t="str">
        <f t="shared" si="54"/>
        <v>Error?</v>
      </c>
    </row>
    <row r="3572" spans="1:4" x14ac:dyDescent="0.2">
      <c r="A3572" s="5">
        <v>3511</v>
      </c>
      <c r="B3572" s="138">
        <f>'Acct Summary 7-8'!K13</f>
        <v>57094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57094</v>
      </c>
      <c r="C3575" s="2" t="s">
        <v>573</v>
      </c>
      <c r="D3575" s="2" t="str">
        <f t="shared" si="54"/>
        <v>Error?</v>
      </c>
    </row>
    <row r="3576" spans="1:4" x14ac:dyDescent="0.2">
      <c r="A3576" s="5">
        <v>3515</v>
      </c>
      <c r="B3576" s="138">
        <f>'Acct Summary 7-8'!K20</f>
        <v>-45414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-45414</v>
      </c>
      <c r="C3588" s="2" t="s">
        <v>573</v>
      </c>
      <c r="D3588" s="2" t="str">
        <f t="shared" si="55"/>
        <v>Error?</v>
      </c>
    </row>
    <row r="3589" spans="1:4" x14ac:dyDescent="0.2">
      <c r="A3589" s="5">
        <v>3528</v>
      </c>
      <c r="B3589" s="138">
        <f>'Acct Summary 7-8'!K79</f>
        <v>448150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402736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57094</v>
      </c>
      <c r="D3646" s="2" t="str">
        <f t="shared" si="55"/>
        <v>Error?</v>
      </c>
    </row>
    <row r="3647" spans="1:4" x14ac:dyDescent="0.2">
      <c r="A3647" s="5">
        <v>3586</v>
      </c>
      <c r="B3647" s="138">
        <f>'Expenditures 15-22'!G350</f>
        <v>57094</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57094</v>
      </c>
      <c r="C3649" s="2" t="s">
        <v>573</v>
      </c>
      <c r="D3649" s="2" t="str">
        <f t="shared" si="56"/>
        <v>Error?</v>
      </c>
    </row>
    <row r="3650" spans="1:4" x14ac:dyDescent="0.2">
      <c r="A3650" s="5">
        <v>3589</v>
      </c>
      <c r="B3650" s="138">
        <f>'Expenditures 15-22'!G367</f>
        <v>57094</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57094</v>
      </c>
      <c r="C3669" s="2" t="s">
        <v>573</v>
      </c>
      <c r="D3669" s="2" t="str">
        <f t="shared" si="56"/>
        <v>Error?</v>
      </c>
    </row>
    <row r="3670" spans="1:4" x14ac:dyDescent="0.2">
      <c r="A3670" s="5">
        <v>3609</v>
      </c>
      <c r="B3670" s="138">
        <f>'Expenditures 15-22'!K350</f>
        <v>57094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57094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57094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-45414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27303</v>
      </c>
      <c r="C3725" s="2" t="s">
        <v>573</v>
      </c>
      <c r="D3725" s="2" t="str">
        <f t="shared" si="57"/>
        <v>Error?</v>
      </c>
    </row>
    <row r="3726" spans="1:4" x14ac:dyDescent="0.2">
      <c r="A3726" s="5">
        <v>3665</v>
      </c>
      <c r="B3726" s="138">
        <f>'Tax Sched 23'!D13</f>
        <v>27292</v>
      </c>
      <c r="C3726" s="2" t="s">
        <v>573</v>
      </c>
      <c r="D3726" s="2" t="str">
        <f t="shared" si="57"/>
        <v>Error?</v>
      </c>
    </row>
    <row r="3727" spans="1:4" x14ac:dyDescent="0.2">
      <c r="A3727" s="5">
        <v>3666</v>
      </c>
      <c r="B3727" s="138">
        <f>'Tax Sched 23'!C13</f>
        <v>11</v>
      </c>
      <c r="D3727" s="2" t="str">
        <f t="shared" si="57"/>
        <v>Error?</v>
      </c>
    </row>
    <row r="3728" spans="1:4" x14ac:dyDescent="0.2">
      <c r="A3728" s="5">
        <v>3667</v>
      </c>
      <c r="B3728" s="138">
        <f>'Tax Sched 23'!F13</f>
        <v>28725</v>
      </c>
      <c r="C3728" s="2" t="s">
        <v>573</v>
      </c>
      <c r="D3728" s="2" t="str">
        <f t="shared" si="57"/>
        <v>Error?</v>
      </c>
    </row>
    <row r="3729" spans="1:4" x14ac:dyDescent="0.2">
      <c r="A3729" s="5">
        <v>3668</v>
      </c>
      <c r="B3729" s="138">
        <f>'Tax Sched 23'!E13</f>
        <v>28736</v>
      </c>
      <c r="D3729" s="2" t="str">
        <f t="shared" si="57"/>
        <v>Error?</v>
      </c>
    </row>
    <row r="3730" spans="1:4" x14ac:dyDescent="0.2">
      <c r="A3730" s="5">
        <v>3669</v>
      </c>
      <c r="B3730" s="138">
        <f>'ICR Computation 30'!E10</f>
        <v>65372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5877</v>
      </c>
      <c r="D4081" s="2" t="str">
        <f t="shared" si="62"/>
        <v>Error?</v>
      </c>
    </row>
    <row r="4082" spans="1:4" x14ac:dyDescent="0.2">
      <c r="A4082" s="5">
        <v>4021</v>
      </c>
      <c r="B4082" s="138">
        <f>'Expenditures 15-22'!D180</f>
        <v>725</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6602</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921731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2937977</v>
      </c>
      <c r="C4122" s="2" t="s">
        <v>573</v>
      </c>
      <c r="D4122" s="2" t="str">
        <f t="shared" si="63"/>
        <v>Error?</v>
      </c>
    </row>
    <row r="4123" spans="1:4" x14ac:dyDescent="0.2">
      <c r="A4123" s="5">
        <v>4062</v>
      </c>
      <c r="B4123" s="138">
        <f>'Acct Summary 7-8'!D10</f>
        <v>139909</v>
      </c>
      <c r="C4123" s="2" t="s">
        <v>573</v>
      </c>
      <c r="D4123" s="2" t="str">
        <f t="shared" si="63"/>
        <v>Error?</v>
      </c>
    </row>
    <row r="4124" spans="1:4" x14ac:dyDescent="0.2">
      <c r="A4124" s="5">
        <v>4063</v>
      </c>
      <c r="B4124" s="138">
        <f>'Acct Summary 7-8'!E10</f>
        <v>242352</v>
      </c>
      <c r="C4124" s="2" t="s">
        <v>573</v>
      </c>
      <c r="D4124" s="2" t="str">
        <f t="shared" si="63"/>
        <v>Error?</v>
      </c>
    </row>
    <row r="4125" spans="1:4" x14ac:dyDescent="0.2">
      <c r="A4125" s="5">
        <v>4064</v>
      </c>
      <c r="B4125" s="138">
        <f>'Acct Summary 7-8'!F10</f>
        <v>214845</v>
      </c>
      <c r="C4125" s="2" t="s">
        <v>573</v>
      </c>
      <c r="D4125" s="2" t="str">
        <f t="shared" si="63"/>
        <v>Error?</v>
      </c>
    </row>
    <row r="4126" spans="1:4" x14ac:dyDescent="0.2">
      <c r="A4126" s="5">
        <v>4065</v>
      </c>
      <c r="B4126" s="138">
        <f>'Acct Summary 7-8'!G10</f>
        <v>27945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30767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11680</v>
      </c>
      <c r="C4130" s="2" t="s">
        <v>573</v>
      </c>
      <c r="D4130" s="2" t="str">
        <f t="shared" si="63"/>
        <v>Error?</v>
      </c>
    </row>
    <row r="4131" spans="1:4" x14ac:dyDescent="0.2">
      <c r="A4131" s="5">
        <v>4070</v>
      </c>
      <c r="B4131" s="138">
        <f>'Acct Summary 7-8'!C18</f>
        <v>921731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2860034</v>
      </c>
      <c r="C4136" s="2" t="s">
        <v>573</v>
      </c>
      <c r="D4136" s="2" t="str">
        <f t="shared" si="63"/>
        <v>Error?</v>
      </c>
    </row>
    <row r="4137" spans="1:4" x14ac:dyDescent="0.2">
      <c r="A4137" s="5">
        <v>4076</v>
      </c>
      <c r="B4137" s="138">
        <f>'Acct Summary 7-8'!D19</f>
        <v>120734</v>
      </c>
      <c r="C4137" s="2" t="s">
        <v>573</v>
      </c>
      <c r="D4137" s="2" t="str">
        <f t="shared" si="63"/>
        <v>Error?</v>
      </c>
    </row>
    <row r="4138" spans="1:4" x14ac:dyDescent="0.2">
      <c r="A4138" s="5">
        <v>4077</v>
      </c>
      <c r="B4138" s="138">
        <f>'Acct Summary 7-8'!E19</f>
        <v>242234</v>
      </c>
      <c r="C4138" s="2" t="s">
        <v>573</v>
      </c>
      <c r="D4138" s="2" t="str">
        <f t="shared" si="63"/>
        <v>Error?</v>
      </c>
    </row>
    <row r="4139" spans="1:4" x14ac:dyDescent="0.2">
      <c r="A4139" s="5">
        <v>4078</v>
      </c>
      <c r="B4139" s="138">
        <f>'Acct Summary 7-8'!F19</f>
        <v>175424</v>
      </c>
      <c r="C4139" s="2" t="s">
        <v>573</v>
      </c>
      <c r="D4139" s="2" t="str">
        <f t="shared" si="63"/>
        <v>Error?</v>
      </c>
    </row>
    <row r="4140" spans="1:4" x14ac:dyDescent="0.2">
      <c r="A4140" s="5">
        <v>4079</v>
      </c>
      <c r="B4140" s="138">
        <f>'Acct Summary 7-8'!G19</f>
        <v>70346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57094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1535200</v>
      </c>
      <c r="C4171" s="2" t="s">
        <v>573</v>
      </c>
      <c r="D4171" s="2" t="str">
        <f t="shared" si="64"/>
        <v>Error?</v>
      </c>
    </row>
    <row r="4172" spans="1:4" x14ac:dyDescent="0.2">
      <c r="A4172" s="5">
        <v>4111</v>
      </c>
      <c r="B4172" s="138">
        <f>'Short-Term Long-Term Debt 24'!J49</f>
        <v>1513227</v>
      </c>
      <c r="C4172" s="2" t="s">
        <v>573</v>
      </c>
      <c r="D4172" s="2" t="str">
        <f t="shared" si="64"/>
        <v>Error?</v>
      </c>
    </row>
    <row r="4173" spans="1:4" x14ac:dyDescent="0.2">
      <c r="A4173" s="5">
        <v>4112</v>
      </c>
      <c r="B4173" s="138">
        <f>'Short-Term Long-Term Debt 24'!H49</f>
        <v>200600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1290</v>
      </c>
      <c r="C4268" s="2" t="s">
        <v>573</v>
      </c>
      <c r="D4268" s="2" t="str">
        <f t="shared" si="65"/>
        <v>Error?</v>
      </c>
    </row>
    <row r="4269" spans="1:5" x14ac:dyDescent="0.2">
      <c r="A4269" s="12">
        <v>4208</v>
      </c>
      <c r="B4269" s="138">
        <f>'FP Info 3'!J16</f>
        <v>1299950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265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7184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38333</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57472414</v>
      </c>
      <c r="D4995" s="2" t="str">
        <f t="shared" si="77"/>
        <v>Error?</v>
      </c>
    </row>
    <row r="4996" spans="1:4" x14ac:dyDescent="0.2">
      <c r="A4996" s="12">
        <v>4935</v>
      </c>
      <c r="B4996" s="138">
        <f>'FP Info 3'!H31</f>
        <v>3965596.5660000001</v>
      </c>
      <c r="D4996" s="2" t="str">
        <f t="shared" si="77"/>
        <v>Error?</v>
      </c>
    </row>
    <row r="4997" spans="1:4" x14ac:dyDescent="0.2">
      <c r="A4997" s="12">
        <v>4936</v>
      </c>
      <c r="B4997" s="138">
        <f>'FP Info 3'!H37</f>
        <v>1535200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27303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502365</v>
      </c>
      <c r="D5061" s="2" t="str">
        <f t="shared" si="78"/>
        <v>Error?</v>
      </c>
    </row>
    <row r="5062" spans="1:4" x14ac:dyDescent="0.2">
      <c r="A5062" s="10">
        <v>5001</v>
      </c>
      <c r="D5062" s="2" t="str">
        <f t="shared" si="78"/>
        <v>OK</v>
      </c>
    </row>
    <row r="5063" spans="1:4" x14ac:dyDescent="0.2">
      <c r="A5063" s="5">
        <v>5002</v>
      </c>
      <c r="B5063" s="138">
        <f>'Revenues 9-14'!C7</f>
        <v>10921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540589</v>
      </c>
      <c r="C5066" s="2" t="s">
        <v>573</v>
      </c>
      <c r="D5066" s="2" t="str">
        <f t="shared" si="78"/>
        <v>Error?</v>
      </c>
    </row>
    <row r="5067" spans="1:4" x14ac:dyDescent="0.2">
      <c r="A5067" s="5">
        <v>5006</v>
      </c>
      <c r="B5067" s="138">
        <f>'Revenues 9-14'!C14</f>
        <v>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89</v>
      </c>
      <c r="C5071" s="2" t="s">
        <v>573</v>
      </c>
      <c r="D5071" s="2" t="str">
        <f t="shared" si="78"/>
        <v>Error?</v>
      </c>
    </row>
    <row r="5072" spans="1:4" x14ac:dyDescent="0.2">
      <c r="A5072" s="5">
        <v>5011</v>
      </c>
      <c r="B5072" s="138">
        <f>'Revenues 9-14'!C20</f>
        <v>67065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67065</v>
      </c>
      <c r="C5087" s="2" t="s">
        <v>573</v>
      </c>
      <c r="D5087" s="2" t="str">
        <f t="shared" si="78"/>
        <v>Error?</v>
      </c>
    </row>
    <row r="5088" spans="1:4" x14ac:dyDescent="0.2">
      <c r="A5088" s="5">
        <v>5027</v>
      </c>
      <c r="B5088" s="138">
        <f>'Revenues 9-14'!C65</f>
        <v>15088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15088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2356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83280</v>
      </c>
      <c r="C5096" s="2" t="s">
        <v>573</v>
      </c>
      <c r="D5096" s="2" t="str">
        <f t="shared" si="78"/>
        <v>Error?</v>
      </c>
    </row>
    <row r="5097" spans="1:4" x14ac:dyDescent="0.2">
      <c r="A5097" s="5">
        <v>5036</v>
      </c>
      <c r="B5097" s="138">
        <f>'Revenues 9-14'!C77</f>
        <v>10989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6815</v>
      </c>
      <c r="D5101" s="2" t="str">
        <f t="shared" si="78"/>
        <v>Error?</v>
      </c>
    </row>
    <row r="5102" spans="1:4" x14ac:dyDescent="0.2">
      <c r="A5102" s="5">
        <v>5041</v>
      </c>
      <c r="B5102" s="138">
        <f>'Revenues 9-14'!C82</f>
        <v>17804</v>
      </c>
      <c r="C5102" s="2" t="s">
        <v>573</v>
      </c>
      <c r="D5102" s="2" t="str">
        <f t="shared" si="78"/>
        <v>Error?</v>
      </c>
    </row>
    <row r="5103" spans="1:4" x14ac:dyDescent="0.2">
      <c r="A5103" s="5">
        <v>5042</v>
      </c>
      <c r="B5103" s="138">
        <f>'Revenues 9-14'!C84</f>
        <v>47100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47100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3098</v>
      </c>
      <c r="D5119" s="2" t="str">
        <f t="shared" ref="D5119:D5182" si="79">IF(ISBLANK(B5119),"OK",IF(A5119-B5119=0,"OK","Error?"))</f>
        <v>Error?</v>
      </c>
    </row>
    <row r="5120" spans="1:4" x14ac:dyDescent="0.2">
      <c r="A5120" s="5">
        <v>5059</v>
      </c>
      <c r="B5120" s="138">
        <f>'Revenues 9-14'!C108</f>
        <v>7724</v>
      </c>
      <c r="C5120" s="2" t="s">
        <v>573</v>
      </c>
      <c r="D5120" s="2" t="str">
        <f t="shared" si="79"/>
        <v>Error?</v>
      </c>
    </row>
    <row r="5121" spans="1:4" x14ac:dyDescent="0.2">
      <c r="A5121" s="5">
        <v>5060</v>
      </c>
      <c r="B5121" s="138">
        <f>'Revenues 9-14'!C109</f>
        <v>778739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1135976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1135976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9314</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9314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217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9531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1145507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38333</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22416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22416</v>
      </c>
      <c r="C5246" s="2" t="s">
        <v>573</v>
      </c>
      <c r="D5246" s="2" t="str">
        <f t="shared" si="80"/>
        <v>Error?</v>
      </c>
    </row>
    <row r="5247" spans="1:4" x14ac:dyDescent="0.2">
      <c r="A5247" s="5">
        <v>5186</v>
      </c>
      <c r="B5247" s="138">
        <f>'Revenues 9-14'!C200</f>
        <v>12719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7184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12719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5727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5727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53667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92000</v>
      </c>
      <c r="C5326" s="2" t="s">
        <v>573</v>
      </c>
      <c r="D5326" s="2" t="str">
        <f t="shared" si="82"/>
        <v>Error?</v>
      </c>
    </row>
    <row r="5327" spans="1:5" x14ac:dyDescent="0.2">
      <c r="A5327" s="5">
        <v>5266</v>
      </c>
      <c r="B5327" s="138">
        <f>'Revenues 9-14'!C268</f>
        <v>2016246</v>
      </c>
      <c r="C5327" s="2" t="s">
        <v>573</v>
      </c>
      <c r="D5327" s="2" t="str">
        <f t="shared" si="82"/>
        <v>Error?</v>
      </c>
    </row>
    <row r="5328" spans="1:5" x14ac:dyDescent="0.2">
      <c r="A5328" s="5">
        <v>5267</v>
      </c>
      <c r="B5328" s="138">
        <f>'Revenues 9-14'!D5</f>
        <v>136513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136513</v>
      </c>
      <c r="C5334" s="2" t="s">
        <v>573</v>
      </c>
      <c r="D5334" s="2" t="str">
        <f t="shared" si="82"/>
        <v>Error?</v>
      </c>
    </row>
    <row r="5335" spans="1:4" x14ac:dyDescent="0.2">
      <c r="A5335" s="5">
        <v>5274</v>
      </c>
      <c r="B5335" s="138">
        <f>'Revenues 9-14'!D14</f>
        <v>22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22</v>
      </c>
      <c r="C5339" s="2" t="s">
        <v>573</v>
      </c>
      <c r="D5339" s="2" t="str">
        <f t="shared" si="82"/>
        <v>Error?</v>
      </c>
    </row>
    <row r="5340" spans="1:4" x14ac:dyDescent="0.2">
      <c r="A5340" s="5">
        <v>5279</v>
      </c>
      <c r="B5340" s="138">
        <f>'Revenues 9-14'!D65</f>
        <v>3374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3374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139909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139909</v>
      </c>
      <c r="C5508" s="2" t="s">
        <v>573</v>
      </c>
      <c r="D5508" s="2" t="str">
        <f t="shared" si="85"/>
        <v>Error?</v>
      </c>
    </row>
    <row r="5509" spans="1:4" x14ac:dyDescent="0.2">
      <c r="A5509" s="5">
        <v>5448</v>
      </c>
      <c r="B5509" s="138">
        <f>'Revenues 9-14'!E5</f>
        <v>241574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241574</v>
      </c>
      <c r="C5513" s="2" t="s">
        <v>573</v>
      </c>
      <c r="D5513" s="2" t="str">
        <f t="shared" si="85"/>
        <v>Error?</v>
      </c>
    </row>
    <row r="5514" spans="1:4" x14ac:dyDescent="0.2">
      <c r="A5514" s="5">
        <v>5453</v>
      </c>
      <c r="B5514" s="138">
        <f>'Revenues 9-14'!E14</f>
        <v>42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v>
      </c>
      <c r="C5518" s="2" t="s">
        <v>573</v>
      </c>
      <c r="D5518" s="2" t="str">
        <f t="shared" si="85"/>
        <v>Error?</v>
      </c>
    </row>
    <row r="5519" spans="1:4" x14ac:dyDescent="0.2">
      <c r="A5519" s="5">
        <v>5458</v>
      </c>
      <c r="B5519" s="138">
        <f>'Revenues 9-14'!E65</f>
        <v>736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736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242352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242352</v>
      </c>
      <c r="C5552" s="2" t="s">
        <v>573</v>
      </c>
      <c r="D5552" s="2" t="str">
        <f t="shared" si="85"/>
        <v>Error?</v>
      </c>
    </row>
    <row r="5553" spans="1:4" x14ac:dyDescent="0.2">
      <c r="A5553" s="5">
        <v>5492</v>
      </c>
      <c r="B5553" s="138">
        <f>'Revenues 9-14'!F5</f>
        <v>65526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65526</v>
      </c>
      <c r="C5557" s="2" t="s">
        <v>573</v>
      </c>
      <c r="D5557" s="2" t="str">
        <f t="shared" si="85"/>
        <v>Error?</v>
      </c>
    </row>
    <row r="5558" spans="1:4" x14ac:dyDescent="0.2">
      <c r="A5558" s="5">
        <v>5497</v>
      </c>
      <c r="B5558" s="138">
        <f>'Revenues 9-14'!F14</f>
        <v>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15166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15177</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37113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8625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45738</v>
      </c>
      <c r="C5579" s="2" t="s">
        <v>573</v>
      </c>
      <c r="D5579" s="2" t="str">
        <f t="shared" si="86"/>
        <v>Error?</v>
      </c>
    </row>
    <row r="5580" spans="1:4" x14ac:dyDescent="0.2">
      <c r="A5580" s="5">
        <v>5519</v>
      </c>
      <c r="B5580" s="138">
        <f>'Revenues 9-14'!F65</f>
        <v>675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374</v>
      </c>
      <c r="D5586" s="2" t="str">
        <f t="shared" si="86"/>
        <v>Error?</v>
      </c>
    </row>
    <row r="5587" spans="1:4" x14ac:dyDescent="0.2">
      <c r="A5587" s="5">
        <v>5526</v>
      </c>
      <c r="B5587" s="138">
        <f>'Revenues 9-14'!F108</f>
        <v>374</v>
      </c>
      <c r="C5587" s="2" t="s">
        <v>573</v>
      </c>
      <c r="D5587" s="2" t="str">
        <f t="shared" si="86"/>
        <v>Error?</v>
      </c>
    </row>
    <row r="5588" spans="1:4" x14ac:dyDescent="0.2">
      <c r="A5588" s="5">
        <v>5527</v>
      </c>
      <c r="B5588" s="138">
        <f>'Revenues 9-14'!F109</f>
        <v>127490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83639</v>
      </c>
      <c r="D5615" s="2" t="str">
        <f t="shared" si="86"/>
        <v>Error?</v>
      </c>
    </row>
    <row r="5616" spans="1:4" x14ac:dyDescent="0.2">
      <c r="A5616" s="10">
        <v>5555</v>
      </c>
      <c r="D5616" s="2" t="str">
        <f t="shared" si="86"/>
        <v>OK</v>
      </c>
    </row>
    <row r="5617" spans="1:5" x14ac:dyDescent="0.2">
      <c r="A5617" s="5">
        <v>5556</v>
      </c>
      <c r="B5617" s="138">
        <f>'Revenues 9-14'!F153</f>
        <v>3716</v>
      </c>
      <c r="D5617" s="2" t="str">
        <f t="shared" si="86"/>
        <v>Error?</v>
      </c>
    </row>
    <row r="5618" spans="1:5" x14ac:dyDescent="0.2">
      <c r="A5618" s="5">
        <v>5557</v>
      </c>
      <c r="B5618" s="138">
        <f>'Revenues 9-14'!F155</f>
        <v>87355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87355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87355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214845</v>
      </c>
      <c r="C5720" s="2" t="s">
        <v>573</v>
      </c>
      <c r="D5720" s="2" t="str">
        <f t="shared" si="88"/>
        <v>Error?</v>
      </c>
    </row>
    <row r="5721" spans="1:4" x14ac:dyDescent="0.2">
      <c r="A5721" s="5">
        <v>5660</v>
      </c>
      <c r="B5721" s="138">
        <f>'Revenues 9-14'!G5</f>
        <v>9996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24991</v>
      </c>
      <c r="C5725" s="2" t="s">
        <v>573</v>
      </c>
      <c r="D5725" s="2" t="str">
        <f t="shared" si="88"/>
        <v>Error?</v>
      </c>
    </row>
    <row r="5726" spans="1:4" x14ac:dyDescent="0.2">
      <c r="A5726" s="5">
        <v>5665</v>
      </c>
      <c r="B5726" s="138">
        <f>'Revenues 9-14'!G14</f>
        <v>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1322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1333</v>
      </c>
      <c r="C5730" s="2" t="s">
        <v>573</v>
      </c>
      <c r="D5730" s="2" t="str">
        <f t="shared" si="88"/>
        <v>Error?</v>
      </c>
    </row>
    <row r="5731" spans="1:4" x14ac:dyDescent="0.2">
      <c r="A5731" s="5">
        <v>5670</v>
      </c>
      <c r="B5731" s="138">
        <f>'Revenues 9-14'!G65</f>
        <v>1621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1621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27945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27303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27303</v>
      </c>
      <c r="C5918" s="2" t="s">
        <v>573</v>
      </c>
      <c r="D5918" s="2" t="str">
        <f t="shared" si="91"/>
        <v>Error?</v>
      </c>
    </row>
    <row r="5919" spans="1:4" x14ac:dyDescent="0.2">
      <c r="A5919" s="5">
        <v>5858</v>
      </c>
      <c r="B5919" s="138">
        <f>'Revenues 9-14'!I14</f>
        <v>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v>
      </c>
      <c r="C5923" s="2" t="s">
        <v>573</v>
      </c>
      <c r="D5923" s="2" t="str">
        <f t="shared" si="91"/>
        <v>Error?</v>
      </c>
    </row>
    <row r="5924" spans="1:4" x14ac:dyDescent="0.2">
      <c r="A5924" s="5">
        <v>5863</v>
      </c>
      <c r="B5924" s="138">
        <f>'Revenues 9-14'!I65</f>
        <v>3460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3460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30767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3022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3022</v>
      </c>
      <c r="C5987" s="2" t="s">
        <v>573</v>
      </c>
      <c r="D5987" s="2" t="str">
        <f t="shared" si="92"/>
        <v>Error?</v>
      </c>
    </row>
    <row r="5988" spans="1:4" x14ac:dyDescent="0.2">
      <c r="A5988" s="5">
        <v>5927</v>
      </c>
      <c r="B5988" s="138">
        <f>'Revenues 9-14'!K14</f>
        <v>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v>
      </c>
      <c r="C5992" s="2" t="s">
        <v>573</v>
      </c>
      <c r="D5992" s="2" t="str">
        <f t="shared" si="92"/>
        <v>Error?</v>
      </c>
    </row>
    <row r="5993" spans="1:4" x14ac:dyDescent="0.2">
      <c r="A5993" s="5">
        <v>5932</v>
      </c>
      <c r="B5993" s="138">
        <f>'Revenues 9-14'!K65</f>
        <v>8653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8653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11680</v>
      </c>
      <c r="C6023" s="2" t="s">
        <v>573</v>
      </c>
      <c r="D6023" s="2" t="str">
        <f t="shared" si="93"/>
        <v>Error?</v>
      </c>
    </row>
    <row r="6024" spans="1:5" x14ac:dyDescent="0.2">
      <c r="A6024" s="5">
        <v>5963</v>
      </c>
      <c r="B6024" s="138">
        <f>'Revenues 9-14'!G109</f>
        <v>27945</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30767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11680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80924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323.89999999999998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90749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90749</v>
      </c>
      <c r="D6215" s="2" t="str">
        <f t="shared" si="96"/>
        <v>Error?</v>
      </c>
      <c r="E6215" s="2" t="s">
        <v>190</v>
      </c>
    </row>
    <row r="6216" spans="1:5" x14ac:dyDescent="0.2">
      <c r="A6216">
        <v>6155</v>
      </c>
      <c r="B6216" s="138">
        <f>'Assets-Liab 5-6'!J41</f>
        <v>90749</v>
      </c>
      <c r="D6216" s="2" t="str">
        <f t="shared" si="96"/>
        <v>Error?</v>
      </c>
      <c r="E6216" s="2" t="s">
        <v>190</v>
      </c>
    </row>
    <row r="6217" spans="1:5" x14ac:dyDescent="0.2">
      <c r="A6217">
        <v>6156</v>
      </c>
      <c r="B6217" s="138">
        <f>'Assets-Liab 5-6'!J4</f>
        <v>90749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241045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241045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241045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244909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244909</v>
      </c>
      <c r="D6229" s="2" t="str">
        <f t="shared" si="96"/>
        <v>Error?</v>
      </c>
      <c r="E6229" s="2" t="s">
        <v>190</v>
      </c>
    </row>
    <row r="6230" spans="1:5" x14ac:dyDescent="0.2">
      <c r="A6230">
        <v>6169</v>
      </c>
      <c r="B6230" s="138">
        <f>'Acct Summary 7-8'!J20</f>
        <v>-3864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22351</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-3864</v>
      </c>
      <c r="D6263" s="2" t="str">
        <f t="shared" si="96"/>
        <v>Error?</v>
      </c>
      <c r="E6263" s="2" t="s">
        <v>190</v>
      </c>
    </row>
    <row r="6264" spans="1:5" x14ac:dyDescent="0.2">
      <c r="A6264">
        <v>6203</v>
      </c>
      <c r="B6264" s="138">
        <f>'Acct Summary 7-8'!J79</f>
        <v>94613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90749</v>
      </c>
      <c r="D6266" s="2" t="str">
        <f t="shared" si="96"/>
        <v>Error?</v>
      </c>
      <c r="E6266" s="2" t="s">
        <v>190</v>
      </c>
    </row>
    <row r="6267" spans="1:5" x14ac:dyDescent="0.2">
      <c r="A6267">
        <v>6206</v>
      </c>
      <c r="B6267" s="138">
        <f>'Acct Summary 7-8'!C82</f>
        <v>103496</v>
      </c>
      <c r="D6267" s="2" t="str">
        <f t="shared" si="96"/>
        <v>Error?</v>
      </c>
      <c r="E6267" s="2" t="s">
        <v>190</v>
      </c>
    </row>
    <row r="6268" spans="1:5" x14ac:dyDescent="0.2">
      <c r="A6268">
        <v>6207</v>
      </c>
      <c r="B6268" s="138">
        <f>'Acct Summary 7-8'!D82</f>
        <v>19175</v>
      </c>
      <c r="D6268" s="2" t="str">
        <f t="shared" si="96"/>
        <v>Error?</v>
      </c>
      <c r="E6268" s="2" t="s">
        <v>190</v>
      </c>
    </row>
    <row r="6269" spans="1:5" x14ac:dyDescent="0.2">
      <c r="A6269">
        <v>6208</v>
      </c>
      <c r="B6269" s="138">
        <f>'Acct Summary 7-8'!E82</f>
        <v>118</v>
      </c>
      <c r="D6269" s="2" t="str">
        <f t="shared" si="96"/>
        <v>Error?</v>
      </c>
      <c r="E6269" s="2" t="s">
        <v>190</v>
      </c>
    </row>
    <row r="6270" spans="1:5" x14ac:dyDescent="0.2">
      <c r="A6270">
        <v>6209</v>
      </c>
      <c r="B6270" s="138">
        <f>'Acct Summary 7-8'!F82</f>
        <v>39421</v>
      </c>
      <c r="D6270" s="2" t="str">
        <f t="shared" si="96"/>
        <v>Error?</v>
      </c>
      <c r="E6270" s="2" t="s">
        <v>190</v>
      </c>
    </row>
    <row r="6271" spans="1:5" x14ac:dyDescent="0.2">
      <c r="A6271">
        <v>6210</v>
      </c>
      <c r="B6271" s="138">
        <f>'Acct Summary 7-8'!G82</f>
        <v>-42401</v>
      </c>
      <c r="D6271" s="2" t="str">
        <f t="shared" ref="D6271:D6334" si="97">IF(ISBLANK(B6271),"OK",IF(A6271-B6271=0,"OK","Error?"))</f>
        <v>Error?</v>
      </c>
      <c r="E6271" s="2" t="s">
        <v>190</v>
      </c>
    </row>
    <row r="6272" spans="1:5" x14ac:dyDescent="0.2">
      <c r="A6272">
        <v>6211</v>
      </c>
      <c r="B6272" s="138">
        <f>'Acct Summary 7-8'!H82</f>
        <v>-2</v>
      </c>
      <c r="D6272" s="2" t="str">
        <f t="shared" si="97"/>
        <v>Error?</v>
      </c>
      <c r="E6272" s="2" t="s">
        <v>190</v>
      </c>
    </row>
    <row r="6273" spans="1:5" x14ac:dyDescent="0.2">
      <c r="A6273">
        <v>6212</v>
      </c>
      <c r="B6273" s="138">
        <f>'Acct Summary 7-8'!I82</f>
        <v>8416</v>
      </c>
      <c r="D6273" s="2" t="str">
        <f t="shared" si="97"/>
        <v>Error?</v>
      </c>
      <c r="E6273" s="2" t="s">
        <v>190</v>
      </c>
    </row>
    <row r="6274" spans="1:5" x14ac:dyDescent="0.2">
      <c r="A6274">
        <v>6213</v>
      </c>
      <c r="B6274" s="138">
        <f>'Acct Summary 7-8'!J82</f>
        <v>-3864</v>
      </c>
      <c r="D6274" s="2" t="str">
        <f t="shared" si="97"/>
        <v>Error?</v>
      </c>
      <c r="E6274" s="2" t="s">
        <v>190</v>
      </c>
    </row>
    <row r="6275" spans="1:5" x14ac:dyDescent="0.2">
      <c r="A6275">
        <v>6214</v>
      </c>
      <c r="B6275" s="138">
        <f>'Acct Summary 7-8'!K82</f>
        <v>-45414</v>
      </c>
      <c r="D6275" s="2" t="str">
        <f t="shared" si="97"/>
        <v>Error?</v>
      </c>
      <c r="E6275" s="2" t="s">
        <v>190</v>
      </c>
    </row>
    <row r="6276" spans="1:5" x14ac:dyDescent="0.2">
      <c r="A6276">
        <v>6215</v>
      </c>
      <c r="B6276" s="138">
        <f>'Acct Summary 7-8'!C83</f>
        <v>0.12388795786449605</v>
      </c>
      <c r="D6276" s="2" t="str">
        <f t="shared" si="97"/>
        <v>Error?</v>
      </c>
      <c r="E6276" s="2" t="s">
        <v>190</v>
      </c>
    </row>
    <row r="6277" spans="1:5" x14ac:dyDescent="0.2">
      <c r="A6277">
        <v>6216</v>
      </c>
      <c r="B6277" s="138">
        <f>'Acct Summary 7-8'!D83</f>
        <v>0.1115811647502444</v>
      </c>
      <c r="D6277" s="2" t="str">
        <f t="shared" si="97"/>
        <v>Error?</v>
      </c>
      <c r="E6277" s="2" t="s">
        <v>190</v>
      </c>
    </row>
    <row r="6278" spans="1:5" x14ac:dyDescent="0.2">
      <c r="A6278">
        <v>6217</v>
      </c>
      <c r="B6278" s="138">
        <f>'Acct Summary 7-8'!E83</f>
        <v>5.3702270968916397E-3</v>
      </c>
      <c r="D6278" s="2" t="str">
        <f t="shared" si="97"/>
        <v>Error?</v>
      </c>
      <c r="E6278" s="2" t="s">
        <v>190</v>
      </c>
    </row>
    <row r="6279" spans="1:5" x14ac:dyDescent="0.2">
      <c r="A6279">
        <v>6218</v>
      </c>
      <c r="B6279" s="138">
        <f>'Acct Summary 7-8'!F83</f>
        <v>0.38164251207729466</v>
      </c>
      <c r="D6279" s="2" t="str">
        <f t="shared" si="97"/>
        <v>Error?</v>
      </c>
      <c r="E6279" s="2" t="s">
        <v>190</v>
      </c>
    </row>
    <row r="6280" spans="1:5" x14ac:dyDescent="0.2">
      <c r="A6280">
        <v>6219</v>
      </c>
      <c r="B6280" s="138">
        <f>'Acct Summary 7-8'!G83</f>
        <v>-0.3842758745695124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4.4432946692079048E-2</v>
      </c>
      <c r="D6282" s="2" t="str">
        <f t="shared" si="97"/>
        <v>Error?</v>
      </c>
      <c r="E6282" s="2" t="s">
        <v>190</v>
      </c>
    </row>
    <row r="6283" spans="1:5" x14ac:dyDescent="0.2">
      <c r="A6283">
        <v>6222</v>
      </c>
      <c r="B6283" s="138">
        <f>'Acct Summary 7-8'!J83</f>
        <v>-4.2578981586573958E-2</v>
      </c>
      <c r="D6283" s="2" t="str">
        <f t="shared" si="97"/>
        <v>Error?</v>
      </c>
      <c r="E6283" s="2" t="s">
        <v>190</v>
      </c>
    </row>
    <row r="6284" spans="1:5" x14ac:dyDescent="0.2">
      <c r="A6284">
        <v>6223</v>
      </c>
      <c r="B6284" s="138">
        <f>'Acct Summary 7-8'!K83</f>
        <v>-0.11276369631719042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239843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239843</v>
      </c>
      <c r="D6301" s="2" t="str">
        <f t="shared" si="97"/>
        <v>Error?</v>
      </c>
      <c r="E6301" s="2" t="s">
        <v>190</v>
      </c>
    </row>
    <row r="6302" spans="1:5" x14ac:dyDescent="0.2">
      <c r="A6302">
        <v>6241</v>
      </c>
      <c r="B6302" s="138">
        <f>'Revenues 9-14'!J14</f>
        <v>20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241045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48455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52845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244909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241045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2401</v>
      </c>
      <c r="D7073" s="2" t="str">
        <f t="shared" si="109"/>
        <v>Error?</v>
      </c>
    </row>
    <row r="7074" spans="1:4" x14ac:dyDescent="0.2">
      <c r="A7074">
        <v>7013</v>
      </c>
      <c r="B7074" s="138">
        <f>'Expenditures 15-22'!K216</f>
        <v>2401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16981</v>
      </c>
      <c r="D7093" s="2" t="str">
        <f t="shared" si="109"/>
        <v>Error?</v>
      </c>
    </row>
    <row r="7094" spans="1:4" x14ac:dyDescent="0.2">
      <c r="A7094">
        <v>7033</v>
      </c>
      <c r="B7094" s="138">
        <f>'Expenditures 15-22'!K254</f>
        <v>16981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21958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21958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22490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22490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199622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199622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839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839</v>
      </c>
      <c r="D7198" s="2" t="str">
        <f t="shared" si="111"/>
        <v>Error?</v>
      </c>
    </row>
    <row r="7199" spans="1:4" x14ac:dyDescent="0.2">
      <c r="A7199">
        <v>7138</v>
      </c>
      <c r="B7199" s="138">
        <f>'Expenditures 15-22'!C330</f>
        <v>199622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45287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244909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199622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45287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244909</v>
      </c>
      <c r="D7224" s="2" t="str">
        <f t="shared" si="111"/>
        <v>Error?</v>
      </c>
    </row>
    <row r="7225" spans="1:4" x14ac:dyDescent="0.2">
      <c r="A7225">
        <v>7164</v>
      </c>
      <c r="B7225" s="138">
        <f>'Expenditures 15-22'!K343</f>
        <v>-3864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4286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158557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10923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180470.31</v>
      </c>
      <c r="D7797" s="2" t="str">
        <f t="shared" si="127"/>
        <v>Error?</v>
      </c>
      <c r="E7797" s="4" t="s">
        <v>1904</v>
      </c>
    </row>
    <row r="7798" spans="1:5" x14ac:dyDescent="0.2">
      <c r="A7798">
        <v>7737</v>
      </c>
      <c r="B7798" s="138">
        <f>'Contracts Paid in CY 29'!F141</f>
        <v>40049</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9" t="s">
        <v>1191</v>
      </c>
      <c r="B2" s="2409"/>
      <c r="C2" s="2409"/>
      <c r="D2" s="2409"/>
      <c r="E2" s="2409"/>
      <c r="F2" s="2409"/>
      <c r="G2" s="2409"/>
      <c r="H2" s="2409"/>
      <c r="I2" s="2409"/>
      <c r="J2" s="2409"/>
      <c r="K2" s="2409"/>
      <c r="L2" s="2409"/>
    </row>
    <row r="3" spans="1:29" ht="13.5" customHeight="1" x14ac:dyDescent="0.2">
      <c r="A3" s="2395" t="s">
        <v>1190</v>
      </c>
      <c r="B3" s="2395"/>
      <c r="C3" s="2395"/>
      <c r="D3" s="2395"/>
      <c r="E3" s="2395"/>
      <c r="F3" s="2395"/>
      <c r="G3" s="2395"/>
      <c r="H3" s="2395"/>
      <c r="I3" s="2395"/>
      <c r="J3" s="2395"/>
      <c r="K3" s="2395"/>
      <c r="L3" s="2395"/>
    </row>
    <row r="4" spans="1:29" ht="13.5" customHeight="1" x14ac:dyDescent="0.2">
      <c r="A4" s="2409" t="s">
        <v>1989</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9" t="str">
        <f>COVER!A17</f>
        <v>Aviston SD 21</v>
      </c>
      <c r="B7" s="2390"/>
      <c r="C7" s="2390"/>
      <c r="D7" s="2427"/>
      <c r="E7" s="2428">
        <f>COVER!A13</f>
        <v>13014021002</v>
      </c>
      <c r="F7" s="2429"/>
      <c r="G7" s="2396" t="str">
        <f>COVER!T23</f>
        <v>060-0019547</v>
      </c>
      <c r="H7" s="2397"/>
      <c r="I7" s="2397"/>
      <c r="J7" s="2397"/>
      <c r="K7" s="2397"/>
      <c r="L7" s="239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9"/>
      <c r="B9" s="2400"/>
      <c r="C9" s="2400"/>
      <c r="D9" s="2400"/>
      <c r="E9" s="2400"/>
      <c r="F9" s="2401"/>
      <c r="G9" s="2402" t="str">
        <f>COVER!T13</f>
        <v>Greg M. McCalley &amp; Ass., P.C.</v>
      </c>
      <c r="H9" s="2403"/>
      <c r="I9" s="2403"/>
      <c r="J9" s="2403"/>
      <c r="K9" s="2403"/>
      <c r="L9" s="2404"/>
    </row>
    <row r="10" spans="1:29" ht="13.5" customHeight="1" x14ac:dyDescent="0.2">
      <c r="A10" s="2386" t="str">
        <f>COVER!A38</f>
        <v>Phillip Hamil</v>
      </c>
      <c r="B10" s="2387"/>
      <c r="C10" s="2387"/>
      <c r="D10" s="2387"/>
      <c r="E10" s="2387"/>
      <c r="F10" s="2388"/>
      <c r="G10" s="2402" t="str">
        <f>COVER!T17</f>
        <v>855 East Ferguson</v>
      </c>
      <c r="H10" s="2415"/>
      <c r="I10" s="2415"/>
      <c r="J10" s="2415"/>
      <c r="K10" s="2415"/>
      <c r="L10" s="2416"/>
    </row>
    <row r="11" spans="1:29" ht="13.5" customHeight="1" x14ac:dyDescent="0.2">
      <c r="A11" s="1184" t="s">
        <v>1519</v>
      </c>
      <c r="B11" s="1185"/>
      <c r="C11" s="1186"/>
      <c r="D11" s="1191"/>
      <c r="E11" s="1186"/>
      <c r="F11" s="1190"/>
      <c r="G11" s="2402" t="str">
        <f>COVER!T19</f>
        <v>Wood River</v>
      </c>
      <c r="H11" s="2415"/>
      <c r="I11" s="2415"/>
      <c r="J11" s="2415"/>
      <c r="K11" s="2415"/>
      <c r="L11" s="2416"/>
    </row>
    <row r="12" spans="1:29" ht="13.5" customHeight="1" x14ac:dyDescent="0.2">
      <c r="A12" s="2420" t="s">
        <v>1518</v>
      </c>
      <c r="B12" s="2421"/>
      <c r="C12" s="2421"/>
      <c r="D12" s="2421"/>
      <c r="E12" s="2421"/>
      <c r="F12" s="2422"/>
      <c r="G12" s="2417"/>
      <c r="H12" s="2418"/>
      <c r="I12" s="2418"/>
      <c r="J12" s="2418"/>
      <c r="K12" s="2418"/>
      <c r="L12" s="2419"/>
    </row>
    <row r="13" spans="1:29" ht="13.5" customHeight="1" x14ac:dyDescent="0.2">
      <c r="A13" s="2402"/>
      <c r="B13" s="2415"/>
      <c r="C13" s="2415"/>
      <c r="D13" s="2415"/>
      <c r="E13" s="2415"/>
      <c r="F13" s="2416"/>
      <c r="G13" s="2410" t="s">
        <v>1520</v>
      </c>
      <c r="H13" s="2411"/>
      <c r="I13" s="2423" t="str">
        <f>COVER!T25</f>
        <v>Greg@dmacpa.com</v>
      </c>
      <c r="J13" s="2424"/>
      <c r="K13" s="2424"/>
      <c r="L13" s="2425"/>
    </row>
    <row r="14" spans="1:29" ht="13.5" customHeight="1" x14ac:dyDescent="0.2">
      <c r="A14" s="2402" t="str">
        <f>COVER!A19</f>
        <v>350 Hull</v>
      </c>
      <c r="B14" s="2415"/>
      <c r="C14" s="2415"/>
      <c r="D14" s="2415"/>
      <c r="E14" s="2415"/>
      <c r="F14" s="2416"/>
      <c r="G14" s="1195" t="s">
        <v>1185</v>
      </c>
      <c r="H14" s="1193"/>
      <c r="I14" s="1193"/>
      <c r="J14" s="1193"/>
      <c r="K14" s="1193"/>
      <c r="L14" s="1194"/>
    </row>
    <row r="15" spans="1:29" ht="13.5" customHeight="1" x14ac:dyDescent="0.2">
      <c r="A15" s="2402" t="str">
        <f>COVER!A21</f>
        <v xml:space="preserve">Aviston  </v>
      </c>
      <c r="B15" s="2415"/>
      <c r="C15" s="2415"/>
      <c r="D15" s="2415"/>
      <c r="E15" s="2415"/>
      <c r="F15" s="2416"/>
      <c r="G15" s="2412" t="str">
        <f>COVER!T15</f>
        <v xml:space="preserve">Greg M McCalley </v>
      </c>
      <c r="H15" s="2413"/>
      <c r="I15" s="2413"/>
      <c r="J15" s="2413"/>
      <c r="K15" s="2413"/>
      <c r="L15" s="2414"/>
    </row>
    <row r="16" spans="1:29" ht="12.2" customHeight="1" x14ac:dyDescent="0.2">
      <c r="A16" s="2392" t="str">
        <f>COVER!A25</f>
        <v>62216-3407</v>
      </c>
      <c r="B16" s="2393"/>
      <c r="C16" s="2393"/>
      <c r="D16" s="2393"/>
      <c r="E16" s="2393"/>
      <c r="F16" s="2394"/>
      <c r="G16" s="2405"/>
      <c r="H16" s="2406"/>
      <c r="I16" s="2406"/>
      <c r="J16" s="2406"/>
      <c r="K16" s="2406"/>
      <c r="L16" s="2407"/>
    </row>
    <row r="17" spans="1:13" ht="12.2" customHeight="1" x14ac:dyDescent="0.2">
      <c r="A17" s="2408"/>
      <c r="B17" s="2393"/>
      <c r="C17" s="2393"/>
      <c r="D17" s="2393"/>
      <c r="E17" s="2393"/>
      <c r="F17" s="2394"/>
      <c r="G17" s="1195" t="s">
        <v>1184</v>
      </c>
      <c r="H17" s="1193"/>
      <c r="I17" s="1193"/>
      <c r="J17" s="1193"/>
      <c r="K17" s="1197" t="s">
        <v>1183</v>
      </c>
      <c r="L17" s="1190"/>
      <c r="M17" s="1183"/>
    </row>
    <row r="18" spans="1:13" ht="12.2" customHeight="1" x14ac:dyDescent="0.2">
      <c r="A18" s="2386"/>
      <c r="B18" s="2387"/>
      <c r="C18" s="2387"/>
      <c r="D18" s="2387"/>
      <c r="E18" s="2387"/>
      <c r="F18" s="2388"/>
      <c r="G18" s="2389" t="str">
        <f>COVER!T21</f>
        <v>(618)254-8188</v>
      </c>
      <c r="H18" s="2390"/>
      <c r="I18" s="2390"/>
      <c r="J18" s="2390"/>
      <c r="K18" s="2389" t="str">
        <f>COVER!X21</f>
        <v>(618)254-8680</v>
      </c>
      <c r="L18" s="239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Aviston SD 21</v>
      </c>
      <c r="B1" s="2426"/>
      <c r="C1" s="2426"/>
      <c r="D1" s="2426"/>
    </row>
    <row r="2" spans="1:11" s="1212" customFormat="1" ht="12.75" x14ac:dyDescent="0.2">
      <c r="A2" s="2431">
        <f>'Single Audit Cover'!E7</f>
        <v>13014021002</v>
      </c>
      <c r="B2" s="2432"/>
      <c r="C2" s="2432"/>
      <c r="D2" s="2432"/>
    </row>
    <row r="3" spans="1:11" s="1212" customFormat="1" ht="12.75" x14ac:dyDescent="0.2">
      <c r="A3" s="2430" t="s">
        <v>1513</v>
      </c>
      <c r="B3" s="2426"/>
      <c r="C3" s="2426"/>
      <c r="D3" s="2426"/>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Aviston SD 21</v>
      </c>
      <c r="B1" s="2434"/>
      <c r="C1" s="2434"/>
      <c r="D1" s="2434"/>
      <c r="E1" s="2434"/>
    </row>
    <row r="2" spans="1:5" x14ac:dyDescent="0.2">
      <c r="A2" s="2435">
        <f>'Single Audit Cover'!E7</f>
        <v>13014021002</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92000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-265</v>
      </c>
    </row>
    <row r="19" spans="1:4" ht="13.5" thickBot="1" x14ac:dyDescent="0.25">
      <c r="A19" s="1262" t="s">
        <v>1235</v>
      </c>
      <c r="D19" s="1263">
        <f>SUM(D10:D17)</f>
        <v>91735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91735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91735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5" t="str">
        <f>'Single Audit Cover'!A7</f>
        <v>Aviston SD 21</v>
      </c>
      <c r="C1" s="2438"/>
      <c r="D1" s="2438"/>
      <c r="E1" s="2438"/>
      <c r="F1" s="2438"/>
      <c r="G1" s="2438"/>
      <c r="H1" s="2438"/>
      <c r="I1" s="2438"/>
      <c r="J1" s="2438"/>
      <c r="K1" s="2438"/>
      <c r="L1" s="2438"/>
      <c r="M1" s="2438"/>
    </row>
    <row r="2" spans="2:14" ht="15" x14ac:dyDescent="0.2">
      <c r="B2" s="2439">
        <f>'Single Audit Cover'!E7</f>
        <v>13014021002</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Aviston SD 21</v>
      </c>
      <c r="B1" s="2443"/>
      <c r="C1" s="2443"/>
      <c r="D1" s="2443"/>
      <c r="E1" s="2443"/>
      <c r="F1" s="2443"/>
    </row>
    <row r="2" spans="1:7" ht="13.5" customHeight="1" x14ac:dyDescent="0.2">
      <c r="A2" s="2439">
        <f>'Single Audit Cover'!E7</f>
        <v>13014021002</v>
      </c>
      <c r="B2" s="2439"/>
      <c r="C2" s="2439"/>
      <c r="D2" s="2439"/>
      <c r="E2" s="2439"/>
      <c r="F2" s="2439"/>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7" t="s">
        <v>1269</v>
      </c>
      <c r="E15" s="2447"/>
      <c r="F15" s="2447"/>
    </row>
    <row r="16" spans="1:7" ht="13.5" customHeight="1" x14ac:dyDescent="0.2">
      <c r="A16" s="1279"/>
      <c r="B16" s="1273" t="s">
        <v>1268</v>
      </c>
      <c r="C16" s="1846" t="s">
        <v>1267</v>
      </c>
      <c r="D16" s="2448" t="s">
        <v>1588</v>
      </c>
      <c r="E16" s="2448"/>
      <c r="F16" s="2448"/>
    </row>
    <row r="17" spans="1:6" ht="20.45" customHeight="1" x14ac:dyDescent="0.2">
      <c r="A17" s="1280"/>
      <c r="B17" s="1281"/>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0" t="s">
        <v>1732</v>
      </c>
      <c r="B32" s="2450"/>
      <c r="C32" s="2450"/>
      <c r="D32" s="2450"/>
      <c r="E32" s="2450"/>
      <c r="F32" s="245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1">
        <f>+C33+C34</f>
        <v>0</v>
      </c>
      <c r="F34" s="245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3" t="s">
        <v>1590</v>
      </c>
      <c r="C49" s="2453"/>
      <c r="D49" s="2453"/>
      <c r="E49" s="1396"/>
    </row>
    <row r="50" spans="1:5" s="1297" customFormat="1" ht="3.75" customHeight="1" x14ac:dyDescent="0.2">
      <c r="A50" s="1296"/>
      <c r="B50" s="1845"/>
      <c r="C50" s="1845"/>
      <c r="D50" s="1845"/>
      <c r="E50" s="1396"/>
    </row>
    <row r="51" spans="1:5" s="1297" customFormat="1" ht="20.25" customHeight="1" x14ac:dyDescent="0.2">
      <c r="A51" s="1298">
        <v>6</v>
      </c>
      <c r="B51" s="2449" t="s">
        <v>1551</v>
      </c>
      <c r="C51" s="2449"/>
      <c r="D51" s="2449"/>
    </row>
    <row r="52" spans="1:5" ht="14.25" customHeight="1" x14ac:dyDescent="0.2">
      <c r="A52" s="1298"/>
      <c r="B52" s="2449"/>
      <c r="C52" s="2449"/>
      <c r="D52" s="244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J103" sqref="J10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2082</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Aviston SD 21</v>
      </c>
      <c r="C1" s="2459"/>
      <c r="D1" s="2459"/>
      <c r="E1" s="2459"/>
      <c r="F1" s="2459"/>
      <c r="G1" s="2459"/>
      <c r="H1" s="2459"/>
      <c r="I1" s="2459"/>
      <c r="J1" s="1406"/>
    </row>
    <row r="2" spans="2:10" s="317" customFormat="1" ht="12.75" customHeight="1" x14ac:dyDescent="0.2">
      <c r="B2" s="2460">
        <f>'Single Audit Cover'!E7</f>
        <v>13014021002</v>
      </c>
      <c r="C2" s="2461"/>
      <c r="D2" s="2461"/>
      <c r="E2" s="2461"/>
      <c r="F2" s="2461"/>
      <c r="G2" s="2461"/>
      <c r="H2" s="2461"/>
      <c r="I2" s="2461"/>
      <c r="J2" s="1406"/>
    </row>
    <row r="3" spans="2:10" s="317" customFormat="1" ht="12.75" customHeight="1" x14ac:dyDescent="0.2">
      <c r="B3" s="2462" t="s">
        <v>1285</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1284</v>
      </c>
      <c r="C7" s="2463"/>
      <c r="D7" s="2463"/>
      <c r="E7" s="2463"/>
      <c r="F7" s="2463"/>
      <c r="G7" s="2463"/>
      <c r="H7" s="2463"/>
      <c r="I7" s="246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4"/>
      <c r="D11" s="246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5"/>
      <c r="E29" s="2465"/>
      <c r="F29" s="2465"/>
      <c r="G29" s="2465"/>
      <c r="H29" s="2465"/>
      <c r="I29" s="2465"/>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6" t="s">
        <v>1751</v>
      </c>
      <c r="D37" s="2467"/>
      <c r="E37" s="2467"/>
      <c r="F37" s="2468"/>
      <c r="G37" s="2466" t="s">
        <v>1592</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72" t="s">
        <v>1593</v>
      </c>
      <c r="D43" s="2473"/>
      <c r="E43" s="2473"/>
      <c r="F43" s="2474"/>
      <c r="G43" s="2475">
        <f>SUM(G38:I42)</f>
        <v>0</v>
      </c>
      <c r="H43" s="2475"/>
      <c r="I43" s="2475"/>
    </row>
    <row r="44" spans="2:9" ht="12.75" customHeight="1" x14ac:dyDescent="0.2"/>
    <row r="45" spans="2:9" ht="12.75" customHeight="1" x14ac:dyDescent="0.2">
      <c r="B45" s="1419" t="s">
        <v>1841</v>
      </c>
      <c r="D45" s="2476">
        <v>0</v>
      </c>
      <c r="E45" s="247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8"/>
      <c r="F49" s="2478"/>
      <c r="G49" s="247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Aviston SD 21</v>
      </c>
      <c r="C1" s="2458"/>
      <c r="D1" s="2458"/>
      <c r="E1" s="2458"/>
      <c r="F1" s="2458"/>
      <c r="G1" s="2458"/>
      <c r="H1" s="2458"/>
      <c r="I1" s="2458"/>
      <c r="J1" s="2458"/>
      <c r="K1" s="2458"/>
      <c r="L1" s="1371"/>
      <c r="M1" s="1371"/>
    </row>
    <row r="2" spans="1:13" ht="12" customHeight="1" x14ac:dyDescent="0.2">
      <c r="B2" s="2460">
        <f>'Single Audit Cover'!E7</f>
        <v>13014021002</v>
      </c>
      <c r="C2" s="2460"/>
      <c r="D2" s="2460"/>
      <c r="E2" s="2460"/>
      <c r="F2" s="2460"/>
      <c r="G2" s="2460"/>
      <c r="H2" s="2460"/>
      <c r="I2" s="2460"/>
      <c r="J2" s="2460"/>
      <c r="K2" s="2460"/>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Aviston SD 21</v>
      </c>
      <c r="C1" s="2485"/>
      <c r="D1" s="2485"/>
      <c r="E1" s="2485"/>
      <c r="F1" s="2485"/>
      <c r="G1" s="2485"/>
      <c r="H1" s="2485"/>
      <c r="I1" s="2485"/>
      <c r="J1" s="2485"/>
      <c r="K1" s="2485"/>
      <c r="L1" s="1449"/>
    </row>
    <row r="2" spans="1:12" ht="12.75" customHeight="1" x14ac:dyDescent="0.2">
      <c r="B2" s="2486">
        <f>'Single Audit Cover'!E7</f>
        <v>13014021002</v>
      </c>
      <c r="C2" s="2486"/>
      <c r="D2" s="2486"/>
      <c r="E2" s="2486"/>
      <c r="F2" s="2486"/>
      <c r="G2" s="2486"/>
      <c r="H2" s="2486"/>
      <c r="I2" s="2486"/>
      <c r="J2" s="2486"/>
      <c r="K2" s="2486"/>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8"/>
      <c r="E14" s="2488"/>
      <c r="F14" s="2488"/>
      <c r="H14" s="1459" t="s">
        <v>1303</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9"/>
      <c r="E16" s="2489"/>
      <c r="F16" s="2489"/>
      <c r="G16" s="2489"/>
      <c r="H16" s="2489"/>
      <c r="I16" s="2489"/>
      <c r="J16" s="2489"/>
      <c r="K16" s="2489"/>
      <c r="L16" s="322"/>
    </row>
    <row r="17" spans="2:12" ht="13.5" customHeight="1" x14ac:dyDescent="0.2">
      <c r="B17" s="1384" t="s">
        <v>1301</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Aviston SD 21</v>
      </c>
      <c r="C1" s="2458"/>
      <c r="D1" s="2458"/>
      <c r="E1" s="1469"/>
    </row>
    <row r="2" spans="2:5" s="1279" customFormat="1" ht="12.75" customHeight="1" x14ac:dyDescent="0.2">
      <c r="B2" s="2460">
        <f>'Single Audit Cover'!E7</f>
        <v>13014021002</v>
      </c>
      <c r="C2" s="2460"/>
      <c r="D2" s="2460"/>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57472414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1.1999999999999999E-3</v>
      </c>
      <c r="I10" s="356" t="s">
        <v>1006</v>
      </c>
      <c r="J10" s="1732">
        <f>ROUND(D10+F10+H10,5)</f>
        <v>1.29E-2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2401767</v>
      </c>
      <c r="E16" s="356"/>
      <c r="F16" s="1733">
        <f>SUM('Acct Summary 7-8'!C17,'Acct Summary 7-8'!D17,'Acct Summary 7-8'!F17)</f>
        <v>2234461</v>
      </c>
      <c r="G16" s="356"/>
      <c r="H16" s="1733">
        <f>SUM(D16-F16)</f>
        <v>167306</v>
      </c>
      <c r="I16" s="222"/>
      <c r="J16" s="1733">
        <f>SUM('Acct Summary 7-8'!C81,'Acct Summary 7-8'!D81,'Acct Summary 7-8'!F81,'Acct Summary 7-8'!I81)</f>
        <v>1299950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3965596.5660000001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1535200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Aviston SD 21</v>
      </c>
      <c r="E7" s="391"/>
      <c r="G7" s="252"/>
      <c r="H7" s="387"/>
      <c r="I7" s="387"/>
      <c r="J7" s="387"/>
      <c r="K7" s="387"/>
      <c r="L7" s="329"/>
      <c r="M7" s="329"/>
      <c r="N7" s="329"/>
      <c r="O7" s="329"/>
      <c r="P7" s="329"/>
    </row>
    <row r="8" spans="1:18" ht="12.75" x14ac:dyDescent="0.2">
      <c r="A8" s="329"/>
      <c r="B8" s="329"/>
      <c r="C8" s="389" t="s">
        <v>1125</v>
      </c>
      <c r="D8" s="392">
        <f>COVER!A13</f>
        <v>13014021002</v>
      </c>
      <c r="E8" s="393"/>
      <c r="G8" s="329"/>
      <c r="H8" s="329"/>
      <c r="I8" s="329"/>
      <c r="J8" s="329"/>
      <c r="K8" s="329"/>
      <c r="L8" s="329"/>
      <c r="M8" s="329"/>
      <c r="N8" s="329"/>
      <c r="O8" s="329"/>
      <c r="P8" s="329"/>
    </row>
    <row r="9" spans="1:18" ht="12.75" x14ac:dyDescent="0.2">
      <c r="A9" s="329"/>
      <c r="B9" s="329"/>
      <c r="C9" s="389" t="s">
        <v>713</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1299950</v>
      </c>
      <c r="I12" s="404"/>
      <c r="J12" s="404"/>
      <c r="K12" s="405">
        <f>TRUNC((H12/H13*100000),5)/100000</f>
        <v>0.54124733989999996</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2401767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2234461</v>
      </c>
      <c r="I17" s="404"/>
      <c r="J17" s="416"/>
      <c r="K17" s="405">
        <f>TRUNC((H17/H18*100000),5)/100000</f>
        <v>0.93034045350000005</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2401767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1299950</v>
      </c>
      <c r="I24" s="422"/>
      <c r="J24" s="422"/>
      <c r="K24" s="423">
        <f>TRUNC(((H24/H25*100000)/100000),2)</f>
        <v>209.43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6206.8361100000002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630185.01951000001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1535200</v>
      </c>
      <c r="I32" s="420"/>
      <c r="J32" s="420"/>
      <c r="K32" s="423">
        <f>TRUNC(100-((((H32/H33*100))*100)/100),2)</f>
        <v>61.28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3965596.5660000001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8"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835400</v>
      </c>
      <c r="D4" s="466">
        <v>171848</v>
      </c>
      <c r="E4" s="466">
        <v>21973</v>
      </c>
      <c r="F4" s="466">
        <v>103293</v>
      </c>
      <c r="G4" s="466">
        <v>110340</v>
      </c>
      <c r="H4" s="466"/>
      <c r="I4" s="466">
        <v>189409</v>
      </c>
      <c r="J4" s="467">
        <v>90749</v>
      </c>
      <c r="K4" s="466">
        <v>402736</v>
      </c>
      <c r="L4" s="466">
        <v>30367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835400</v>
      </c>
      <c r="D13" s="1737">
        <f t="shared" ref="D13:L13" si="0">SUM(D4:D12)</f>
        <v>171848</v>
      </c>
      <c r="E13" s="1737">
        <f t="shared" si="0"/>
        <v>21973</v>
      </c>
      <c r="F13" s="1737">
        <f t="shared" si="0"/>
        <v>103293</v>
      </c>
      <c r="G13" s="1737">
        <f t="shared" si="0"/>
        <v>110340</v>
      </c>
      <c r="H13" s="1737">
        <f t="shared" si="0"/>
        <v>0</v>
      </c>
      <c r="I13" s="1737">
        <f t="shared" si="0"/>
        <v>189409</v>
      </c>
      <c r="J13" s="1737">
        <f t="shared" si="0"/>
        <v>90749</v>
      </c>
      <c r="K13" s="1737">
        <f t="shared" si="0"/>
        <v>402736</v>
      </c>
      <c r="L13" s="1737">
        <f t="shared" si="0"/>
        <v>30367</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6628091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908766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21973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1513227</v>
      </c>
    </row>
    <row r="23" spans="1:14" ht="13.5" customHeight="1" thickBot="1" x14ac:dyDescent="0.25">
      <c r="A23" s="1736" t="s">
        <v>643</v>
      </c>
      <c r="B23" s="1741"/>
      <c r="C23" s="468"/>
      <c r="D23" s="468"/>
      <c r="E23" s="468"/>
      <c r="F23" s="468"/>
      <c r="G23" s="468"/>
      <c r="H23" s="468"/>
      <c r="I23" s="468"/>
      <c r="J23" s="468"/>
      <c r="K23" s="468"/>
      <c r="L23" s="468"/>
      <c r="M23" s="1688">
        <f>SUM(M15:M22)</f>
        <v>7536857</v>
      </c>
      <c r="N23" s="1688">
        <f>SUM(N21:N22)</f>
        <v>1535200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30367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30367</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1535200</v>
      </c>
    </row>
    <row r="37" spans="1:14" ht="13.5" thickBot="1" x14ac:dyDescent="0.25">
      <c r="A37" s="1736" t="s">
        <v>653</v>
      </c>
      <c r="B37" s="1741"/>
      <c r="C37" s="477"/>
      <c r="D37" s="477"/>
      <c r="E37" s="477"/>
      <c r="F37" s="477"/>
      <c r="G37" s="477"/>
      <c r="H37" s="477"/>
      <c r="I37" s="477"/>
      <c r="J37" s="477"/>
      <c r="K37" s="477"/>
      <c r="L37" s="480"/>
      <c r="M37" s="468"/>
      <c r="N37" s="1688">
        <f>SUM(N36:N36)</f>
        <v>1535200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835400</v>
      </c>
      <c r="D39" s="466">
        <v>171848</v>
      </c>
      <c r="E39" s="466">
        <v>21973</v>
      </c>
      <c r="F39" s="466">
        <v>103293</v>
      </c>
      <c r="G39" s="466">
        <v>110340</v>
      </c>
      <c r="H39" s="466"/>
      <c r="I39" s="466">
        <v>189409</v>
      </c>
      <c r="J39" s="467">
        <v>90749</v>
      </c>
      <c r="K39" s="466">
        <v>402736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7536857</v>
      </c>
      <c r="N40" s="497"/>
    </row>
    <row r="41" spans="1:14" ht="13.5" customHeight="1" thickBot="1" x14ac:dyDescent="0.25">
      <c r="A41" s="1736" t="s">
        <v>655</v>
      </c>
      <c r="B41" s="1706"/>
      <c r="C41" s="1688">
        <f>(SUM(C34,C37,C38,C39))</f>
        <v>835400</v>
      </c>
      <c r="D41" s="1688">
        <f t="shared" ref="D41:L41" si="2">SUM(D34,D37,D38:D39)</f>
        <v>171848</v>
      </c>
      <c r="E41" s="1688">
        <f t="shared" si="2"/>
        <v>21973</v>
      </c>
      <c r="F41" s="1688">
        <f t="shared" si="2"/>
        <v>103293</v>
      </c>
      <c r="G41" s="1688">
        <f t="shared" si="2"/>
        <v>110340</v>
      </c>
      <c r="H41" s="1688">
        <f t="shared" si="2"/>
        <v>0</v>
      </c>
      <c r="I41" s="1688">
        <f t="shared" si="2"/>
        <v>189409</v>
      </c>
      <c r="J41" s="1688">
        <f t="shared" si="2"/>
        <v>90749</v>
      </c>
      <c r="K41" s="1688">
        <f t="shared" si="2"/>
        <v>402736</v>
      </c>
      <c r="L41" s="1688">
        <f t="shared" si="2"/>
        <v>30367</v>
      </c>
      <c r="M41" s="1688">
        <f>SUM(M40)</f>
        <v>7536857</v>
      </c>
      <c r="N41" s="1688">
        <f>SUM(N37)</f>
        <v>1535200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H79" sqref="H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778739</v>
      </c>
      <c r="D4" s="1742">
        <f>'Revenues 9-14'!D109</f>
        <v>139909</v>
      </c>
      <c r="E4" s="1742">
        <f>'Revenues 9-14'!E109</f>
        <v>242352</v>
      </c>
      <c r="F4" s="1742">
        <f>'Revenues 9-14'!F109</f>
        <v>127490</v>
      </c>
      <c r="G4" s="1742">
        <f>'Revenues 9-14'!G109</f>
        <v>27945</v>
      </c>
      <c r="H4" s="1742">
        <f>'Revenues 9-14'!H109</f>
        <v>0</v>
      </c>
      <c r="I4" s="1742">
        <f>'Revenues 9-14'!I109</f>
        <v>30767</v>
      </c>
      <c r="J4" s="1742">
        <f>'Revenues 9-14'!J109</f>
        <v>241045</v>
      </c>
      <c r="K4" s="1742">
        <f>'Revenues 9-14'!K109</f>
        <v>11680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1145507</v>
      </c>
      <c r="D6" s="1743">
        <f>'Revenues 9-14'!D170</f>
        <v>0</v>
      </c>
      <c r="E6" s="1743">
        <f>'Revenues 9-14'!E170</f>
        <v>0</v>
      </c>
      <c r="F6" s="1743">
        <f>'Revenues 9-14'!F170</f>
        <v>87355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92000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2016246</v>
      </c>
      <c r="D8" s="1688">
        <f t="shared" ref="D8:K8" si="0">SUM(D4:D7)</f>
        <v>139909</v>
      </c>
      <c r="E8" s="1688">
        <f t="shared" si="0"/>
        <v>242352</v>
      </c>
      <c r="F8" s="1688">
        <f t="shared" si="0"/>
        <v>214845</v>
      </c>
      <c r="G8" s="1688">
        <f t="shared" si="0"/>
        <v>27945</v>
      </c>
      <c r="H8" s="1688">
        <f t="shared" si="0"/>
        <v>0</v>
      </c>
      <c r="I8" s="1688">
        <f t="shared" si="0"/>
        <v>30767</v>
      </c>
      <c r="J8" s="1688">
        <f t="shared" si="0"/>
        <v>241045</v>
      </c>
      <c r="K8" s="1688">
        <f t="shared" si="0"/>
        <v>11680</v>
      </c>
      <c r="L8" s="347"/>
    </row>
    <row r="9" spans="1:13" ht="15.75" thickTop="1" x14ac:dyDescent="0.2">
      <c r="A9" s="514" t="s">
        <v>1653</v>
      </c>
      <c r="B9" s="515">
        <v>3998</v>
      </c>
      <c r="C9" s="481">
        <v>921731</v>
      </c>
      <c r="D9" s="516"/>
      <c r="E9" s="481"/>
      <c r="F9" s="481"/>
      <c r="G9" s="517"/>
      <c r="H9" s="481"/>
      <c r="I9" s="509" t="s">
        <v>1169</v>
      </c>
      <c r="J9" s="478"/>
      <c r="K9" s="481"/>
      <c r="L9" s="347"/>
    </row>
    <row r="10" spans="1:13" s="519" customFormat="1" ht="13.5" thickBot="1" x14ac:dyDescent="0.25">
      <c r="A10" s="1736" t="s">
        <v>1173</v>
      </c>
      <c r="B10" s="1709"/>
      <c r="C10" s="1688">
        <f>SUM(C8:C9)</f>
        <v>2937977</v>
      </c>
      <c r="D10" s="1688">
        <f t="shared" ref="D10:K10" si="1">SUM(D8:D9)</f>
        <v>139909</v>
      </c>
      <c r="E10" s="1688">
        <f t="shared" si="1"/>
        <v>242352</v>
      </c>
      <c r="F10" s="1688">
        <f t="shared" si="1"/>
        <v>214845</v>
      </c>
      <c r="G10" s="1688">
        <f t="shared" si="1"/>
        <v>27945</v>
      </c>
      <c r="H10" s="1688">
        <f t="shared" si="1"/>
        <v>0</v>
      </c>
      <c r="I10" s="1688">
        <f t="shared" si="1"/>
        <v>30767</v>
      </c>
      <c r="J10" s="1688">
        <f t="shared" si="1"/>
        <v>241045</v>
      </c>
      <c r="K10" s="1688">
        <f t="shared" si="1"/>
        <v>11680</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1526560</v>
      </c>
      <c r="D12" s="520" t="s">
        <v>1169</v>
      </c>
      <c r="E12" s="468" t="s">
        <v>1169</v>
      </c>
      <c r="F12" s="468" t="s">
        <v>1169</v>
      </c>
      <c r="G12" s="1742">
        <f>'Expenditures 15-22'!K229</f>
        <v>30195</v>
      </c>
      <c r="H12" s="521"/>
      <c r="I12" s="468" t="s">
        <v>1169</v>
      </c>
      <c r="J12" s="468" t="s">
        <v>1169</v>
      </c>
      <c r="K12" s="521" t="s">
        <v>1169</v>
      </c>
      <c r="L12" s="347"/>
    </row>
    <row r="13" spans="1:13" ht="15.75" customHeight="1" x14ac:dyDescent="0.2">
      <c r="A13" s="1576" t="s">
        <v>457</v>
      </c>
      <c r="B13" s="1578">
        <v>2000</v>
      </c>
      <c r="C13" s="1743">
        <f>'Expenditures 15-22'!K74</f>
        <v>352947</v>
      </c>
      <c r="D13" s="1743">
        <f>'Expenditures 15-22'!K129</f>
        <v>120734</v>
      </c>
      <c r="E13" s="469" t="s">
        <v>1169</v>
      </c>
      <c r="F13" s="1743">
        <f>'Expenditures 15-22'!K184</f>
        <v>175424</v>
      </c>
      <c r="G13" s="1743">
        <f>'Expenditures 15-22'!K279</f>
        <v>40151</v>
      </c>
      <c r="H13" s="1743">
        <f>'Expenditures 15-22'!K303</f>
        <v>0</v>
      </c>
      <c r="I13" s="468" t="s">
        <v>1169</v>
      </c>
      <c r="J13" s="1743">
        <f>'Expenditures 15-22'!K330</f>
        <v>244909</v>
      </c>
      <c r="K13" s="1747">
        <f>'Expenditures 15-22'!K352</f>
        <v>57094</v>
      </c>
      <c r="L13" s="347"/>
    </row>
    <row r="14" spans="1:13" ht="15.75" customHeight="1" x14ac:dyDescent="0.2">
      <c r="A14" s="1576" t="s">
        <v>449</v>
      </c>
      <c r="B14" s="1578">
        <v>3000</v>
      </c>
      <c r="C14" s="1743">
        <f>'Expenditures 15-22'!K75</f>
        <v>50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58746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242234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1938303</v>
      </c>
      <c r="D17" s="1688">
        <f t="shared" si="2"/>
        <v>120734</v>
      </c>
      <c r="E17" s="1688">
        <f t="shared" si="2"/>
        <v>242234</v>
      </c>
      <c r="F17" s="1688">
        <f t="shared" si="2"/>
        <v>175424</v>
      </c>
      <c r="G17" s="1688">
        <f t="shared" si="2"/>
        <v>70346</v>
      </c>
      <c r="H17" s="1688">
        <f t="shared" si="2"/>
        <v>0</v>
      </c>
      <c r="I17" s="468"/>
      <c r="J17" s="1688">
        <f>SUM(J12:J16)</f>
        <v>244909</v>
      </c>
      <c r="K17" s="1688">
        <f>SUM(K12:K16)</f>
        <v>57094</v>
      </c>
      <c r="L17" s="347"/>
    </row>
    <row r="18" spans="1:12" ht="15" customHeight="1" thickTop="1" x14ac:dyDescent="0.2">
      <c r="A18" s="1744" t="s">
        <v>1654</v>
      </c>
      <c r="B18" s="1745">
        <v>4180</v>
      </c>
      <c r="C18" s="1742">
        <f t="shared" ref="C18:H18" si="3">C9</f>
        <v>921731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2860034</v>
      </c>
      <c r="D19" s="1688">
        <f t="shared" si="4"/>
        <v>120734</v>
      </c>
      <c r="E19" s="1688">
        <f t="shared" si="4"/>
        <v>242234</v>
      </c>
      <c r="F19" s="1688">
        <f t="shared" si="4"/>
        <v>175424</v>
      </c>
      <c r="G19" s="1688">
        <f t="shared" si="4"/>
        <v>70346</v>
      </c>
      <c r="H19" s="1688">
        <f t="shared" si="4"/>
        <v>0</v>
      </c>
      <c r="I19" s="468"/>
      <c r="J19" s="1688">
        <f>SUM(J17:J18)</f>
        <v>244909</v>
      </c>
      <c r="K19" s="1688">
        <f>SUM(K17:K18)</f>
        <v>57094</v>
      </c>
      <c r="L19" s="347"/>
    </row>
    <row r="20" spans="1:12" ht="16.5" thickTop="1" thickBot="1" x14ac:dyDescent="0.25">
      <c r="A20" s="2131" t="s">
        <v>1655</v>
      </c>
      <c r="B20" s="2132"/>
      <c r="C20" s="1746">
        <f>C8-C17</f>
        <v>77943</v>
      </c>
      <c r="D20" s="1746">
        <f t="shared" ref="D20:K20" si="5">D8-D17</f>
        <v>19175</v>
      </c>
      <c r="E20" s="1746">
        <f t="shared" si="5"/>
        <v>118</v>
      </c>
      <c r="F20" s="1746">
        <f t="shared" si="5"/>
        <v>39421</v>
      </c>
      <c r="G20" s="1746">
        <f t="shared" si="5"/>
        <v>-42401</v>
      </c>
      <c r="H20" s="1746">
        <f t="shared" si="5"/>
        <v>0</v>
      </c>
      <c r="I20" s="1746">
        <f t="shared" si="5"/>
        <v>30767</v>
      </c>
      <c r="J20" s="1746">
        <f t="shared" si="5"/>
        <v>-3864</v>
      </c>
      <c r="K20" s="1746">
        <f t="shared" si="5"/>
        <v>-45414</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v>2</v>
      </c>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3200</v>
      </c>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22351</v>
      </c>
      <c r="D43" s="467"/>
      <c r="E43" s="467"/>
      <c r="F43" s="467"/>
      <c r="G43" s="467"/>
      <c r="H43" s="467"/>
      <c r="I43" s="467"/>
      <c r="J43" s="467"/>
      <c r="K43" s="467"/>
      <c r="L43" s="524"/>
    </row>
    <row r="44" spans="1:12" s="485" customFormat="1" ht="13.5" customHeight="1" thickBot="1" x14ac:dyDescent="0.25">
      <c r="A44" s="2145" t="s">
        <v>374</v>
      </c>
      <c r="B44" s="2146"/>
      <c r="C44" s="1703">
        <f>SUM(C24:C43)</f>
        <v>25553</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v>2</v>
      </c>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22351</v>
      </c>
      <c r="J75" s="530"/>
      <c r="K75" s="532"/>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2</v>
      </c>
      <c r="I76" s="1703">
        <f t="shared" si="7"/>
        <v>22351</v>
      </c>
      <c r="J76" s="1703">
        <f t="shared" si="7"/>
        <v>0</v>
      </c>
      <c r="K76" s="1703">
        <f t="shared" si="7"/>
        <v>0</v>
      </c>
      <c r="L76" s="524"/>
    </row>
    <row r="77" spans="1:12" ht="14.25" thickTop="1" thickBot="1" x14ac:dyDescent="0.25">
      <c r="A77" s="2123" t="s">
        <v>1177</v>
      </c>
      <c r="B77" s="2124"/>
      <c r="C77" s="1703">
        <f t="shared" ref="C77:K77" si="8">C44-C76</f>
        <v>25553</v>
      </c>
      <c r="D77" s="1703">
        <f t="shared" si="8"/>
        <v>0</v>
      </c>
      <c r="E77" s="1703">
        <f t="shared" si="8"/>
        <v>0</v>
      </c>
      <c r="F77" s="1703">
        <f t="shared" si="8"/>
        <v>0</v>
      </c>
      <c r="G77" s="1703">
        <f t="shared" si="8"/>
        <v>0</v>
      </c>
      <c r="H77" s="1703">
        <f t="shared" si="8"/>
        <v>-2</v>
      </c>
      <c r="I77" s="1703">
        <f t="shared" si="8"/>
        <v>-22351</v>
      </c>
      <c r="J77" s="1703">
        <f t="shared" si="8"/>
        <v>0</v>
      </c>
      <c r="K77" s="1703">
        <f t="shared" si="8"/>
        <v>0</v>
      </c>
      <c r="L77" s="347"/>
    </row>
    <row r="78" spans="1:12" ht="21.75" customHeight="1" thickTop="1" thickBot="1" x14ac:dyDescent="0.25">
      <c r="A78" s="2127" t="s">
        <v>597</v>
      </c>
      <c r="B78" s="2128"/>
      <c r="C78" s="1702">
        <f t="shared" ref="C78:K78" si="9">C20+C77</f>
        <v>103496</v>
      </c>
      <c r="D78" s="1702">
        <f t="shared" si="9"/>
        <v>19175</v>
      </c>
      <c r="E78" s="1702">
        <f t="shared" si="9"/>
        <v>118</v>
      </c>
      <c r="F78" s="1702">
        <f t="shared" si="9"/>
        <v>39421</v>
      </c>
      <c r="G78" s="1702">
        <f t="shared" si="9"/>
        <v>-42401</v>
      </c>
      <c r="H78" s="1702">
        <f t="shared" si="9"/>
        <v>-2</v>
      </c>
      <c r="I78" s="1702">
        <f t="shared" si="9"/>
        <v>8416</v>
      </c>
      <c r="J78" s="1702">
        <f t="shared" si="9"/>
        <v>-3864</v>
      </c>
      <c r="K78" s="1702">
        <f t="shared" si="9"/>
        <v>-45414</v>
      </c>
      <c r="L78" s="533"/>
    </row>
    <row r="79" spans="1:12" ht="13.5" thickTop="1" x14ac:dyDescent="0.2">
      <c r="A79" s="1494" t="s">
        <v>1949</v>
      </c>
      <c r="B79" s="534"/>
      <c r="C79" s="478">
        <v>731904</v>
      </c>
      <c r="D79" s="535">
        <v>152673</v>
      </c>
      <c r="E79" s="535">
        <v>21855</v>
      </c>
      <c r="F79" s="535">
        <v>63872</v>
      </c>
      <c r="G79" s="535">
        <v>152741</v>
      </c>
      <c r="H79" s="535">
        <v>2</v>
      </c>
      <c r="I79" s="535">
        <v>180993</v>
      </c>
      <c r="J79" s="535">
        <v>94613</v>
      </c>
      <c r="K79" s="535">
        <v>448150</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1950</v>
      </c>
      <c r="B81" s="2126"/>
      <c r="C81" s="1688">
        <f>(SUM(C78:C80))</f>
        <v>835400</v>
      </c>
      <c r="D81" s="1688">
        <f>SUM(D78:D80)</f>
        <v>171848</v>
      </c>
      <c r="E81" s="1688">
        <f t="shared" ref="E81:K81" si="10">SUM(E78:E80)</f>
        <v>21973</v>
      </c>
      <c r="F81" s="1688">
        <f t="shared" si="10"/>
        <v>103293</v>
      </c>
      <c r="G81" s="1688">
        <f t="shared" si="10"/>
        <v>110340</v>
      </c>
      <c r="H81" s="1688">
        <f t="shared" si="10"/>
        <v>0</v>
      </c>
      <c r="I81" s="1688">
        <f t="shared" si="10"/>
        <v>189409</v>
      </c>
      <c r="J81" s="1688">
        <f t="shared" si="10"/>
        <v>90749</v>
      </c>
      <c r="K81" s="1688">
        <f t="shared" si="10"/>
        <v>402736</v>
      </c>
      <c r="L81" s="347"/>
    </row>
    <row r="82" spans="1:12" ht="0.75" customHeight="1" thickTop="1" thickBot="1" x14ac:dyDescent="0.25">
      <c r="A82" s="536" t="s">
        <v>343</v>
      </c>
      <c r="B82" s="537"/>
      <c r="C82" s="538">
        <f>(C81-C79)</f>
        <v>103496</v>
      </c>
      <c r="D82" s="538">
        <f t="shared" ref="D82:K82" si="11">(D81-D79)</f>
        <v>19175</v>
      </c>
      <c r="E82" s="538">
        <f t="shared" si="11"/>
        <v>118</v>
      </c>
      <c r="F82" s="538">
        <f t="shared" si="11"/>
        <v>39421</v>
      </c>
      <c r="G82" s="538">
        <f t="shared" si="11"/>
        <v>-42401</v>
      </c>
      <c r="H82" s="538">
        <f t="shared" si="11"/>
        <v>-2</v>
      </c>
      <c r="I82" s="538">
        <f t="shared" si="11"/>
        <v>8416</v>
      </c>
      <c r="J82" s="538">
        <f t="shared" si="11"/>
        <v>-3864</v>
      </c>
      <c r="K82" s="538">
        <f t="shared" si="11"/>
        <v>-45414</v>
      </c>
    </row>
    <row r="83" spans="1:12" ht="14.25" hidden="1" thickTop="1" thickBot="1" x14ac:dyDescent="0.25">
      <c r="A83" s="539" t="s">
        <v>344</v>
      </c>
      <c r="B83" s="464"/>
      <c r="C83" s="540">
        <f>C82/C81</f>
        <v>0.12388795786449605</v>
      </c>
      <c r="D83" s="540">
        <f t="shared" ref="D83:K83" si="12">D82/D81</f>
        <v>0.1115811647502444</v>
      </c>
      <c r="E83" s="540">
        <f t="shared" si="12"/>
        <v>5.3702270968916397E-3</v>
      </c>
      <c r="F83" s="540">
        <f t="shared" si="12"/>
        <v>0.38164251207729466</v>
      </c>
      <c r="G83" s="540">
        <f t="shared" si="12"/>
        <v>-0.3842758745695124</v>
      </c>
      <c r="H83" s="540" t="e">
        <f t="shared" si="12"/>
        <v>#DIV/0!</v>
      </c>
      <c r="I83" s="540">
        <f t="shared" si="12"/>
        <v>4.4432946692079048E-2</v>
      </c>
      <c r="J83" s="540">
        <f t="shared" si="12"/>
        <v>-4.2578981586573958E-2</v>
      </c>
      <c r="K83" s="540">
        <f t="shared" si="12"/>
        <v>-0.11276369631719042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5"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502365</v>
      </c>
      <c r="D5" s="481">
        <v>136513</v>
      </c>
      <c r="E5" s="466">
        <v>241574</v>
      </c>
      <c r="F5" s="548">
        <v>65526</v>
      </c>
      <c r="G5" s="466">
        <v>9996</v>
      </c>
      <c r="H5" s="466"/>
      <c r="I5" s="466">
        <v>27303</v>
      </c>
      <c r="J5" s="467">
        <v>239843</v>
      </c>
      <c r="K5" s="466">
        <v>3022</v>
      </c>
    </row>
    <row r="6" spans="1:12" ht="15" x14ac:dyDescent="0.2">
      <c r="A6" s="463" t="s">
        <v>1662</v>
      </c>
      <c r="B6" s="470">
        <v>1130</v>
      </c>
      <c r="C6" s="466">
        <v>27303</v>
      </c>
      <c r="D6" s="466"/>
      <c r="E6" s="475"/>
      <c r="F6" s="475"/>
      <c r="G6" s="468"/>
      <c r="H6" s="468"/>
      <c r="I6" s="468"/>
      <c r="J6" s="468"/>
      <c r="K6" s="468"/>
    </row>
    <row r="7" spans="1:12" x14ac:dyDescent="0.2">
      <c r="A7" s="463" t="s">
        <v>110</v>
      </c>
      <c r="B7" s="549">
        <v>1140</v>
      </c>
      <c r="C7" s="466">
        <v>10921</v>
      </c>
      <c r="D7" s="466"/>
      <c r="E7" s="468"/>
      <c r="F7" s="467"/>
      <c r="G7" s="467"/>
      <c r="H7" s="467"/>
      <c r="I7" s="468"/>
      <c r="J7" s="468"/>
      <c r="K7" s="468"/>
    </row>
    <row r="8" spans="1:12" x14ac:dyDescent="0.2">
      <c r="A8" s="463" t="s">
        <v>413</v>
      </c>
      <c r="B8" s="470">
        <v>1150</v>
      </c>
      <c r="C8" s="475"/>
      <c r="D8" s="475"/>
      <c r="E8" s="477"/>
      <c r="F8" s="477"/>
      <c r="G8" s="481">
        <v>14995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540589</v>
      </c>
      <c r="D12" s="1707">
        <f t="shared" si="0"/>
        <v>136513</v>
      </c>
      <c r="E12" s="1707">
        <f t="shared" si="0"/>
        <v>241574</v>
      </c>
      <c r="F12" s="1707">
        <f t="shared" si="0"/>
        <v>65526</v>
      </c>
      <c r="G12" s="1707">
        <f t="shared" si="0"/>
        <v>24991</v>
      </c>
      <c r="H12" s="1707">
        <f t="shared" si="0"/>
        <v>0</v>
      </c>
      <c r="I12" s="1707">
        <f t="shared" si="0"/>
        <v>27303</v>
      </c>
      <c r="J12" s="1707">
        <f t="shared" si="0"/>
        <v>239843</v>
      </c>
      <c r="K12" s="1688">
        <f t="shared" si="0"/>
        <v>3022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89</v>
      </c>
      <c r="D14" s="466">
        <v>22</v>
      </c>
      <c r="E14" s="466">
        <v>42</v>
      </c>
      <c r="F14" s="466">
        <v>11</v>
      </c>
      <c r="G14" s="466">
        <v>11</v>
      </c>
      <c r="H14" s="466"/>
      <c r="I14" s="466">
        <v>4</v>
      </c>
      <c r="J14" s="467">
        <v>20</v>
      </c>
      <c r="K14" s="466">
        <v>5</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v>15166</v>
      </c>
      <c r="G16" s="466">
        <v>1322</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89</v>
      </c>
      <c r="D18" s="1710">
        <f t="shared" ref="D18:K18" si="1">SUM(D14:D17)</f>
        <v>22</v>
      </c>
      <c r="E18" s="1710">
        <f t="shared" si="1"/>
        <v>42</v>
      </c>
      <c r="F18" s="1710">
        <f t="shared" si="1"/>
        <v>15177</v>
      </c>
      <c r="G18" s="1710">
        <f t="shared" si="1"/>
        <v>1333</v>
      </c>
      <c r="H18" s="1710">
        <f t="shared" si="1"/>
        <v>0</v>
      </c>
      <c r="I18" s="1710">
        <f t="shared" si="1"/>
        <v>4</v>
      </c>
      <c r="J18" s="1710">
        <f t="shared" si="1"/>
        <v>20</v>
      </c>
      <c r="K18" s="1711">
        <f t="shared" si="1"/>
        <v>5</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67065</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67065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37113</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8625</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45738</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15088</v>
      </c>
      <c r="D65" s="466">
        <v>3374</v>
      </c>
      <c r="E65" s="466">
        <v>736</v>
      </c>
      <c r="F65" s="467">
        <v>675</v>
      </c>
      <c r="G65" s="466">
        <v>1621</v>
      </c>
      <c r="H65" s="466"/>
      <c r="I65" s="466">
        <v>3460</v>
      </c>
      <c r="J65" s="467">
        <v>1182</v>
      </c>
      <c r="K65" s="466">
        <v>8653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15088</v>
      </c>
      <c r="D67" s="1688">
        <f t="shared" ref="D67:K67" si="2">SUM(D65:D66)</f>
        <v>3374</v>
      </c>
      <c r="E67" s="1688">
        <f t="shared" si="2"/>
        <v>736</v>
      </c>
      <c r="F67" s="1688">
        <f t="shared" si="2"/>
        <v>675</v>
      </c>
      <c r="G67" s="1688">
        <f t="shared" si="2"/>
        <v>1621</v>
      </c>
      <c r="H67" s="1688">
        <f t="shared" si="2"/>
        <v>0</v>
      </c>
      <c r="I67" s="1688">
        <f t="shared" si="2"/>
        <v>3460</v>
      </c>
      <c r="J67" s="1688">
        <f t="shared" si="2"/>
        <v>1182</v>
      </c>
      <c r="K67" s="1688">
        <f t="shared" si="2"/>
        <v>8653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80924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2356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83280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10989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6815</v>
      </c>
      <c r="D81" s="466"/>
      <c r="E81" s="468"/>
      <c r="F81" s="468"/>
      <c r="G81" s="468"/>
      <c r="H81" s="468"/>
      <c r="I81" s="468"/>
      <c r="J81" s="468"/>
      <c r="K81" s="468"/>
    </row>
    <row r="82" spans="1:11" ht="12.75" customHeight="1" thickBot="1" x14ac:dyDescent="0.25">
      <c r="A82" s="1708" t="s">
        <v>241</v>
      </c>
      <c r="B82" s="1709"/>
      <c r="C82" s="1707">
        <f>SUM(C77:C81)</f>
        <v>17804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47100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47100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3610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1016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3098</v>
      </c>
      <c r="D107" s="466"/>
      <c r="E107" s="466"/>
      <c r="F107" s="466">
        <v>374</v>
      </c>
      <c r="G107" s="466"/>
      <c r="H107" s="466"/>
      <c r="I107" s="466"/>
      <c r="J107" s="467"/>
      <c r="K107" s="466"/>
    </row>
    <row r="108" spans="1:12" ht="12.75" customHeight="1" thickBot="1" x14ac:dyDescent="0.25">
      <c r="A108" s="1708" t="s">
        <v>487</v>
      </c>
      <c r="B108" s="1712"/>
      <c r="C108" s="1707">
        <f>SUM(C95:C107)</f>
        <v>7724</v>
      </c>
      <c r="D108" s="1707">
        <f t="shared" ref="D108:K108" si="3">SUM(D95:D107)</f>
        <v>0</v>
      </c>
      <c r="E108" s="1707">
        <f t="shared" si="3"/>
        <v>0</v>
      </c>
      <c r="F108" s="1707">
        <f t="shared" si="3"/>
        <v>374</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778739</v>
      </c>
      <c r="D109" s="1715">
        <f t="shared" si="4"/>
        <v>139909</v>
      </c>
      <c r="E109" s="1715">
        <f t="shared" si="4"/>
        <v>242352</v>
      </c>
      <c r="F109" s="1715">
        <f t="shared" si="4"/>
        <v>127490</v>
      </c>
      <c r="G109" s="1715">
        <f t="shared" si="4"/>
        <v>27945</v>
      </c>
      <c r="H109" s="1715">
        <f t="shared" si="4"/>
        <v>0</v>
      </c>
      <c r="I109" s="1715">
        <f t="shared" si="4"/>
        <v>30767</v>
      </c>
      <c r="J109" s="1715">
        <f t="shared" si="4"/>
        <v>241045</v>
      </c>
      <c r="K109" s="1702">
        <f t="shared" si="4"/>
        <v>11680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1135976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1135976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9314</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9314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217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83639</v>
      </c>
      <c r="G152" s="467"/>
      <c r="H152" s="468"/>
      <c r="I152" s="468"/>
      <c r="J152" s="468"/>
      <c r="K152" s="468"/>
    </row>
    <row r="153" spans="1:11" ht="12.75" customHeight="1" x14ac:dyDescent="0.2">
      <c r="A153" s="463" t="s">
        <v>1057</v>
      </c>
      <c r="B153" s="562">
        <v>3510</v>
      </c>
      <c r="C153" s="551"/>
      <c r="D153" s="466"/>
      <c r="E153" s="561"/>
      <c r="F153" s="466">
        <v>3716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87355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9531</v>
      </c>
      <c r="D169" s="1722">
        <f t="shared" si="6"/>
        <v>0</v>
      </c>
      <c r="E169" s="1722">
        <f t="shared" si="6"/>
        <v>0</v>
      </c>
      <c r="F169" s="1722">
        <f t="shared" si="6"/>
        <v>87355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1145507</v>
      </c>
      <c r="D170" s="1715">
        <f t="shared" si="7"/>
        <v>0</v>
      </c>
      <c r="E170" s="1715">
        <f t="shared" si="7"/>
        <v>0</v>
      </c>
      <c r="F170" s="1715">
        <f t="shared" si="7"/>
        <v>87355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38333</v>
      </c>
      <c r="D174" s="466"/>
      <c r="E174" s="467"/>
      <c r="F174" s="466"/>
      <c r="G174" s="466"/>
      <c r="H174" s="467"/>
      <c r="I174" s="467"/>
      <c r="J174" s="467"/>
      <c r="K174" s="467"/>
    </row>
    <row r="175" spans="1:11" ht="13.5" thickBot="1" x14ac:dyDescent="0.25">
      <c r="A175" s="2155" t="s">
        <v>1665</v>
      </c>
      <c r="B175" s="2156"/>
      <c r="C175" s="1707">
        <f>SUM(C173:C174)</f>
        <v>38333</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22416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22416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12719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12719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7184</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7184</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5727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5727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3771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1585</v>
      </c>
      <c r="D263" s="576"/>
      <c r="E263" s="468"/>
      <c r="F263" s="576"/>
      <c r="G263" s="576"/>
      <c r="H263" s="468"/>
      <c r="I263" s="468"/>
      <c r="J263" s="468"/>
      <c r="K263" s="468"/>
    </row>
    <row r="264" spans="1:11" ht="12.75" customHeight="1" thickTop="1" thickBot="1" x14ac:dyDescent="0.25">
      <c r="A264" s="463" t="s">
        <v>377</v>
      </c>
      <c r="B264" s="470">
        <v>4992</v>
      </c>
      <c r="C264" s="575">
        <v>265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53667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92000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2016246</v>
      </c>
      <c r="D268" s="1715">
        <f t="shared" si="12"/>
        <v>139909</v>
      </c>
      <c r="E268" s="1715">
        <f t="shared" si="12"/>
        <v>242352</v>
      </c>
      <c r="F268" s="1715">
        <f t="shared" si="12"/>
        <v>214845</v>
      </c>
      <c r="G268" s="1715">
        <f t="shared" si="12"/>
        <v>27945</v>
      </c>
      <c r="H268" s="1715">
        <f t="shared" si="12"/>
        <v>0</v>
      </c>
      <c r="I268" s="1715">
        <f t="shared" si="12"/>
        <v>30767</v>
      </c>
      <c r="J268" s="1715">
        <f t="shared" si="12"/>
        <v>241045</v>
      </c>
      <c r="K268" s="1702">
        <f t="shared" si="12"/>
        <v>11680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2019&amp;R&amp;8Page &amp;P</oddHeader>
    <oddFooter>&amp;CThe Notes to the Financial Statements are an intregal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E1" colorId="8" zoomScale="110" zoomScaleNormal="110" workbookViewId="0">
      <pane ySplit="2" topLeftCell="A348" activePane="bottomLeft" state="frozen"/>
      <selection pane="bottomLeft" activeCell="J367" sqref="J3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924084</v>
      </c>
      <c r="D5" s="466">
        <v>216056</v>
      </c>
      <c r="E5" s="466">
        <v>62262</v>
      </c>
      <c r="F5" s="466">
        <v>128677</v>
      </c>
      <c r="G5" s="466"/>
      <c r="H5" s="466">
        <v>179</v>
      </c>
      <c r="I5" s="467"/>
      <c r="J5" s="467"/>
      <c r="K5" s="1671">
        <f>SUM(C5:J5)</f>
        <v>1331258</v>
      </c>
      <c r="L5" s="466">
        <v>1340746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48455</v>
      </c>
      <c r="D7" s="467">
        <v>4286</v>
      </c>
      <c r="E7" s="467"/>
      <c r="F7" s="467">
        <v>104</v>
      </c>
      <c r="G7" s="467"/>
      <c r="H7" s="467"/>
      <c r="I7" s="467"/>
      <c r="J7" s="467"/>
      <c r="K7" s="1671">
        <f t="shared" ref="K7:K32" si="0">SUM(C7:J7)</f>
        <v>52845</v>
      </c>
      <c r="L7" s="466">
        <v>52875</v>
      </c>
    </row>
    <row r="8" spans="1:14" x14ac:dyDescent="0.2">
      <c r="A8" s="1504" t="s">
        <v>164</v>
      </c>
      <c r="B8" s="614">
        <v>1200</v>
      </c>
      <c r="C8" s="466">
        <v>91868</v>
      </c>
      <c r="D8" s="466">
        <v>15222</v>
      </c>
      <c r="E8" s="466">
        <v>35</v>
      </c>
      <c r="F8" s="466">
        <v>3560</v>
      </c>
      <c r="G8" s="466"/>
      <c r="H8" s="466"/>
      <c r="I8" s="467"/>
      <c r="J8" s="467"/>
      <c r="K8" s="1671">
        <f t="shared" si="0"/>
        <v>110685</v>
      </c>
      <c r="L8" s="466">
        <v>112702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12249</v>
      </c>
      <c r="D10" s="466">
        <v>1355</v>
      </c>
      <c r="E10" s="466">
        <v>20</v>
      </c>
      <c r="F10" s="466"/>
      <c r="G10" s="466"/>
      <c r="H10" s="466"/>
      <c r="I10" s="467"/>
      <c r="J10" s="467"/>
      <c r="K10" s="1671">
        <f t="shared" si="0"/>
        <v>13624</v>
      </c>
      <c r="L10" s="466">
        <v>13624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15524</v>
      </c>
      <c r="D14" s="466">
        <v>791</v>
      </c>
      <c r="E14" s="466">
        <v>395</v>
      </c>
      <c r="F14" s="466">
        <v>1438</v>
      </c>
      <c r="G14" s="466"/>
      <c r="H14" s="466"/>
      <c r="I14" s="467"/>
      <c r="J14" s="467"/>
      <c r="K14" s="1671">
        <f t="shared" si="0"/>
        <v>18148</v>
      </c>
      <c r="L14" s="466">
        <v>19186</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1092180</v>
      </c>
      <c r="D33" s="1670">
        <f t="shared" ref="D33:L33" si="1">SUM(D5:D32)</f>
        <v>237710</v>
      </c>
      <c r="E33" s="1670">
        <f t="shared" si="1"/>
        <v>62712</v>
      </c>
      <c r="F33" s="1670">
        <f t="shared" si="1"/>
        <v>133779</v>
      </c>
      <c r="G33" s="1670">
        <f t="shared" si="1"/>
        <v>0</v>
      </c>
      <c r="H33" s="1670">
        <f t="shared" si="1"/>
        <v>179</v>
      </c>
      <c r="I33" s="1670">
        <f t="shared" si="1"/>
        <v>0</v>
      </c>
      <c r="J33" s="1670">
        <f t="shared" si="1"/>
        <v>0</v>
      </c>
      <c r="K33" s="1670">
        <f t="shared" si="1"/>
        <v>1526560</v>
      </c>
      <c r="L33" s="1670">
        <f t="shared" si="1"/>
        <v>1539133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10530</v>
      </c>
      <c r="F36" s="481"/>
      <c r="G36" s="481"/>
      <c r="H36" s="481"/>
      <c r="I36" s="467"/>
      <c r="J36" s="467"/>
      <c r="K36" s="1671">
        <f t="shared" ref="K36:K41" si="2">SUM(C36:J36)</f>
        <v>10530</v>
      </c>
      <c r="L36" s="466">
        <v>10534</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5378</v>
      </c>
      <c r="D38" s="466"/>
      <c r="E38" s="466"/>
      <c r="F38" s="466"/>
      <c r="G38" s="466"/>
      <c r="H38" s="466"/>
      <c r="I38" s="467"/>
      <c r="J38" s="467"/>
      <c r="K38" s="1671">
        <f t="shared" si="2"/>
        <v>5378</v>
      </c>
      <c r="L38" s="466">
        <v>5380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5378</v>
      </c>
      <c r="D42" s="1670">
        <f t="shared" ref="D42:L42" si="3">SUM(D36:D41)</f>
        <v>0</v>
      </c>
      <c r="E42" s="1670">
        <f t="shared" si="3"/>
        <v>10530</v>
      </c>
      <c r="F42" s="1670">
        <f t="shared" si="3"/>
        <v>0</v>
      </c>
      <c r="G42" s="1670">
        <f t="shared" si="3"/>
        <v>0</v>
      </c>
      <c r="H42" s="1670">
        <f t="shared" si="3"/>
        <v>0</v>
      </c>
      <c r="I42" s="1670">
        <f t="shared" si="3"/>
        <v>0</v>
      </c>
      <c r="J42" s="1670">
        <f t="shared" si="3"/>
        <v>0</v>
      </c>
      <c r="K42" s="1670">
        <f t="shared" si="3"/>
        <v>15908</v>
      </c>
      <c r="L42" s="1670">
        <f t="shared" si="3"/>
        <v>15914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2676</v>
      </c>
      <c r="D45" s="466"/>
      <c r="E45" s="466"/>
      <c r="F45" s="466">
        <v>291</v>
      </c>
      <c r="G45" s="466"/>
      <c r="H45" s="466"/>
      <c r="I45" s="467"/>
      <c r="J45" s="467"/>
      <c r="K45" s="1672">
        <f>SUM(C45:J45)</f>
        <v>2967</v>
      </c>
      <c r="L45" s="466">
        <v>3000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2676</v>
      </c>
      <c r="D47" s="1670">
        <f t="shared" ref="D47:K47" si="4">SUM(D44:D46)</f>
        <v>0</v>
      </c>
      <c r="E47" s="1670">
        <f t="shared" si="4"/>
        <v>0</v>
      </c>
      <c r="F47" s="1670">
        <f t="shared" si="4"/>
        <v>291</v>
      </c>
      <c r="G47" s="1670">
        <f t="shared" si="4"/>
        <v>0</v>
      </c>
      <c r="H47" s="1670">
        <f t="shared" si="4"/>
        <v>0</v>
      </c>
      <c r="I47" s="1670">
        <f t="shared" si="4"/>
        <v>0</v>
      </c>
      <c r="J47" s="1670">
        <f t="shared" si="4"/>
        <v>0</v>
      </c>
      <c r="K47" s="1670">
        <f t="shared" si="4"/>
        <v>2967</v>
      </c>
      <c r="L47" s="1670">
        <f>SUM(L44:L46)</f>
        <v>3000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13874</v>
      </c>
      <c r="F49" s="481">
        <v>1995</v>
      </c>
      <c r="G49" s="481"/>
      <c r="H49" s="481"/>
      <c r="I49" s="467"/>
      <c r="J49" s="467"/>
      <c r="K49" s="1672">
        <f>SUM(C49:J49)</f>
        <v>15869</v>
      </c>
      <c r="L49" s="481">
        <v>15868</v>
      </c>
    </row>
    <row r="50" spans="1:14" x14ac:dyDescent="0.2">
      <c r="A50" s="1504" t="s">
        <v>818</v>
      </c>
      <c r="B50" s="614">
        <v>2320</v>
      </c>
      <c r="C50" s="466">
        <v>53935</v>
      </c>
      <c r="D50" s="466">
        <v>8392</v>
      </c>
      <c r="E50" s="466">
        <v>7184</v>
      </c>
      <c r="F50" s="466">
        <v>6</v>
      </c>
      <c r="G50" s="466"/>
      <c r="H50" s="466"/>
      <c r="I50" s="467"/>
      <c r="J50" s="467"/>
      <c r="K50" s="1672">
        <f>SUM(C50:J50)</f>
        <v>69517</v>
      </c>
      <c r="L50" s="466">
        <v>70606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53935</v>
      </c>
      <c r="D53" s="1670">
        <f t="shared" ref="D53:L53" si="5">SUM(D49:D52)</f>
        <v>8392</v>
      </c>
      <c r="E53" s="1670">
        <f t="shared" si="5"/>
        <v>21058</v>
      </c>
      <c r="F53" s="1670">
        <f t="shared" si="5"/>
        <v>2001</v>
      </c>
      <c r="G53" s="1670">
        <f t="shared" si="5"/>
        <v>0</v>
      </c>
      <c r="H53" s="1670">
        <f t="shared" si="5"/>
        <v>0</v>
      </c>
      <c r="I53" s="1670">
        <f t="shared" si="5"/>
        <v>0</v>
      </c>
      <c r="J53" s="1670">
        <f t="shared" si="5"/>
        <v>0</v>
      </c>
      <c r="K53" s="1670">
        <f t="shared" si="5"/>
        <v>85386</v>
      </c>
      <c r="L53" s="1670">
        <f t="shared" si="5"/>
        <v>86474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41804</v>
      </c>
      <c r="D55" s="481">
        <v>5999</v>
      </c>
      <c r="E55" s="481">
        <v>377</v>
      </c>
      <c r="F55" s="481"/>
      <c r="G55" s="481"/>
      <c r="H55" s="481"/>
      <c r="I55" s="467"/>
      <c r="J55" s="467"/>
      <c r="K55" s="1672">
        <f>SUM(C55:J55)</f>
        <v>48180</v>
      </c>
      <c r="L55" s="481">
        <v>49640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41804</v>
      </c>
      <c r="D57" s="1674">
        <f t="shared" ref="D57:K57" si="6">SUM(D55:D56)</f>
        <v>5999</v>
      </c>
      <c r="E57" s="1674">
        <f t="shared" si="6"/>
        <v>377</v>
      </c>
      <c r="F57" s="1674">
        <f t="shared" si="6"/>
        <v>0</v>
      </c>
      <c r="G57" s="1674">
        <f t="shared" si="6"/>
        <v>0</v>
      </c>
      <c r="H57" s="1674">
        <f t="shared" si="6"/>
        <v>0</v>
      </c>
      <c r="I57" s="1674">
        <f t="shared" si="6"/>
        <v>0</v>
      </c>
      <c r="J57" s="1674">
        <f t="shared" si="6"/>
        <v>0</v>
      </c>
      <c r="K57" s="1674">
        <f t="shared" si="6"/>
        <v>48180</v>
      </c>
      <c r="L57" s="1670">
        <f>SUM(L55:L56)</f>
        <v>49640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21207</v>
      </c>
      <c r="D60" s="466"/>
      <c r="E60" s="466"/>
      <c r="F60" s="466"/>
      <c r="G60" s="466"/>
      <c r="H60" s="466"/>
      <c r="I60" s="467"/>
      <c r="J60" s="467"/>
      <c r="K60" s="1672">
        <f t="shared" si="7"/>
        <v>21207</v>
      </c>
      <c r="L60" s="466">
        <v>22120</v>
      </c>
      <c r="M60" s="609"/>
      <c r="N60" s="609"/>
    </row>
    <row r="61" spans="1:14" s="343" customFormat="1" x14ac:dyDescent="0.2">
      <c r="A61" s="1504" t="s">
        <v>197</v>
      </c>
      <c r="B61" s="614">
        <v>2540</v>
      </c>
      <c r="C61" s="466"/>
      <c r="D61" s="466"/>
      <c r="E61" s="466">
        <v>4132</v>
      </c>
      <c r="F61" s="466">
        <v>62105</v>
      </c>
      <c r="G61" s="466"/>
      <c r="H61" s="466"/>
      <c r="I61" s="467"/>
      <c r="J61" s="467"/>
      <c r="K61" s="1672">
        <f t="shared" si="7"/>
        <v>66237</v>
      </c>
      <c r="L61" s="466">
        <v>66305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32289</v>
      </c>
      <c r="D63" s="466">
        <v>293</v>
      </c>
      <c r="E63" s="466">
        <v>794</v>
      </c>
      <c r="F63" s="466">
        <v>64578</v>
      </c>
      <c r="G63" s="466">
        <v>14908</v>
      </c>
      <c r="H63" s="466"/>
      <c r="I63" s="467"/>
      <c r="J63" s="467"/>
      <c r="K63" s="1672">
        <f t="shared" si="7"/>
        <v>112862</v>
      </c>
      <c r="L63" s="466">
        <v>113660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53496</v>
      </c>
      <c r="D65" s="1670">
        <f t="shared" ref="D65:L65" si="8">SUM(D59:D64)</f>
        <v>293</v>
      </c>
      <c r="E65" s="1670">
        <f t="shared" si="8"/>
        <v>4926</v>
      </c>
      <c r="F65" s="1670">
        <f t="shared" si="8"/>
        <v>126683</v>
      </c>
      <c r="G65" s="1670">
        <f t="shared" si="8"/>
        <v>14908</v>
      </c>
      <c r="H65" s="1670">
        <f t="shared" si="8"/>
        <v>0</v>
      </c>
      <c r="I65" s="1670">
        <f t="shared" si="8"/>
        <v>0</v>
      </c>
      <c r="J65" s="1670">
        <f t="shared" si="8"/>
        <v>0</v>
      </c>
      <c r="K65" s="1670">
        <f t="shared" si="8"/>
        <v>200306</v>
      </c>
      <c r="L65" s="1670">
        <f t="shared" si="8"/>
        <v>202085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v>200</v>
      </c>
      <c r="I73" s="531"/>
      <c r="J73" s="531"/>
      <c r="K73" s="1670">
        <f>SUM(C73:J73)</f>
        <v>200</v>
      </c>
      <c r="L73" s="576">
        <v>200</v>
      </c>
      <c r="M73" s="609"/>
      <c r="N73" s="609"/>
    </row>
    <row r="74" spans="1:14" ht="12.75" customHeight="1" thickTop="1" thickBot="1" x14ac:dyDescent="0.25">
      <c r="A74" s="1668" t="s">
        <v>811</v>
      </c>
      <c r="B74" s="1676">
        <v>2000</v>
      </c>
      <c r="C74" s="1677">
        <f>SUM(C42,C47,C53,C57,C65,C72,C73)</f>
        <v>157289</v>
      </c>
      <c r="D74" s="1677">
        <f t="shared" ref="D74:K74" si="10">SUM(D42,D47,D53,D57,D65,D72,D73)</f>
        <v>14684</v>
      </c>
      <c r="E74" s="1677">
        <f t="shared" si="10"/>
        <v>36891</v>
      </c>
      <c r="F74" s="1677">
        <f t="shared" si="10"/>
        <v>128975</v>
      </c>
      <c r="G74" s="1677">
        <f t="shared" si="10"/>
        <v>14908</v>
      </c>
      <c r="H74" s="1677">
        <f t="shared" si="10"/>
        <v>200</v>
      </c>
      <c r="I74" s="1677">
        <f t="shared" si="10"/>
        <v>0</v>
      </c>
      <c r="J74" s="1677">
        <f t="shared" si="10"/>
        <v>0</v>
      </c>
      <c r="K74" s="1677">
        <f t="shared" si="10"/>
        <v>352947</v>
      </c>
      <c r="L74" s="1677">
        <f>SUM(L42,L47,L53,L57,L65,L72,L73)</f>
        <v>357313</v>
      </c>
    </row>
    <row r="75" spans="1:14" s="259" customFormat="1" ht="15.75" customHeight="1" thickTop="1" thickBot="1" x14ac:dyDescent="0.25">
      <c r="A75" s="1610" t="s">
        <v>47</v>
      </c>
      <c r="B75" s="1611" t="s">
        <v>575</v>
      </c>
      <c r="C75" s="573"/>
      <c r="D75" s="573"/>
      <c r="E75" s="573"/>
      <c r="F75" s="573">
        <v>50</v>
      </c>
      <c r="G75" s="573"/>
      <c r="H75" s="573"/>
      <c r="I75" s="531"/>
      <c r="J75" s="531"/>
      <c r="K75" s="1670">
        <f>SUM(C75:J75)</f>
        <v>50</v>
      </c>
      <c r="L75" s="576">
        <v>50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56871</v>
      </c>
      <c r="I79" s="477"/>
      <c r="J79" s="477"/>
      <c r="K79" s="1671">
        <f t="shared" si="11"/>
        <v>56871</v>
      </c>
      <c r="L79" s="466">
        <v>62000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1875</v>
      </c>
      <c r="F83" s="616"/>
      <c r="G83" s="616"/>
      <c r="H83" s="466"/>
      <c r="I83" s="477"/>
      <c r="J83" s="477"/>
      <c r="K83" s="1671">
        <f t="shared" si="11"/>
        <v>1875</v>
      </c>
      <c r="L83" s="466">
        <v>1875</v>
      </c>
    </row>
    <row r="84" spans="1:12" ht="13.5" thickBot="1" x14ac:dyDescent="0.25">
      <c r="A84" s="1668" t="s">
        <v>1485</v>
      </c>
      <c r="B84" s="1678">
        <v>4100</v>
      </c>
      <c r="C84" s="616"/>
      <c r="D84" s="616"/>
      <c r="E84" s="1670">
        <f>SUM(E78:E83)</f>
        <v>1875</v>
      </c>
      <c r="F84" s="616"/>
      <c r="G84" s="616"/>
      <c r="H84" s="1670">
        <f>SUM(H78:H83)</f>
        <v>56871</v>
      </c>
      <c r="I84" s="477"/>
      <c r="J84" s="477"/>
      <c r="K84" s="1670">
        <f>SUM(K78:K83)</f>
        <v>58746</v>
      </c>
      <c r="L84" s="1670">
        <f>SUM(L78:L83)</f>
        <v>63875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1875</v>
      </c>
      <c r="F102" s="616"/>
      <c r="G102" s="616"/>
      <c r="H102" s="1677">
        <f>SUM(H84,H92,H100,H101)</f>
        <v>56871</v>
      </c>
      <c r="I102" s="477"/>
      <c r="J102" s="477"/>
      <c r="K102" s="1677">
        <f>SUM(K84,K92,K100,K101)</f>
        <v>58746</v>
      </c>
      <c r="L102" s="1677">
        <f>SUM(L84,L92,L100,L101)</f>
        <v>63875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1249469</v>
      </c>
      <c r="D114" s="1670">
        <f t="shared" ref="D114:K114" si="13">SUM(D33,D74,D75,D102,D112,D113)</f>
        <v>252394</v>
      </c>
      <c r="E114" s="1670">
        <f t="shared" si="13"/>
        <v>101478</v>
      </c>
      <c r="F114" s="1670">
        <f t="shared" si="13"/>
        <v>262804</v>
      </c>
      <c r="G114" s="1670">
        <f t="shared" si="13"/>
        <v>14908</v>
      </c>
      <c r="H114" s="1670">
        <f>SUM(H33,H74,H75,H102,H112,H113)</f>
        <v>57250</v>
      </c>
      <c r="I114" s="1670">
        <f t="shared" si="13"/>
        <v>0</v>
      </c>
      <c r="J114" s="1670">
        <f t="shared" si="13"/>
        <v>0</v>
      </c>
      <c r="K114" s="1670">
        <f t="shared" si="13"/>
        <v>1938303</v>
      </c>
      <c r="L114" s="1670">
        <f>SUM(L33,L74,L75,L102,L112,L113)</f>
        <v>1960371</v>
      </c>
    </row>
    <row r="115" spans="1:14" ht="13.5" thickTop="1" x14ac:dyDescent="0.2">
      <c r="A115" s="2161" t="s">
        <v>996</v>
      </c>
      <c r="B115" s="2162"/>
      <c r="C115" s="618"/>
      <c r="D115" s="618"/>
      <c r="E115" s="618"/>
      <c r="F115" s="618"/>
      <c r="G115" s="618"/>
      <c r="H115" s="618"/>
      <c r="I115" s="618"/>
      <c r="J115" s="618"/>
      <c r="K115" s="1684">
        <f>'Revenues 9-14'!C268-'Expenditures 15-22'!K114</f>
        <v>77943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40796</v>
      </c>
      <c r="D124" s="466">
        <v>1658</v>
      </c>
      <c r="E124" s="466">
        <v>56981</v>
      </c>
      <c r="F124" s="466">
        <v>21299</v>
      </c>
      <c r="G124" s="466"/>
      <c r="H124" s="466"/>
      <c r="I124" s="467"/>
      <c r="J124" s="467"/>
      <c r="K124" s="1670">
        <f>SUM(C124:J124)</f>
        <v>120734</v>
      </c>
      <c r="L124" s="466">
        <v>121800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40796</v>
      </c>
      <c r="D127" s="1670">
        <f t="shared" ref="D127:L127" si="14">SUM(D122:D126)</f>
        <v>1658</v>
      </c>
      <c r="E127" s="1670">
        <f t="shared" si="14"/>
        <v>56981</v>
      </c>
      <c r="F127" s="1670">
        <f t="shared" si="14"/>
        <v>21299</v>
      </c>
      <c r="G127" s="1670">
        <f t="shared" si="14"/>
        <v>0</v>
      </c>
      <c r="H127" s="1670">
        <f t="shared" si="14"/>
        <v>0</v>
      </c>
      <c r="I127" s="1670">
        <f t="shared" si="14"/>
        <v>0</v>
      </c>
      <c r="J127" s="1670">
        <f t="shared" si="14"/>
        <v>0</v>
      </c>
      <c r="K127" s="1670">
        <f t="shared" si="14"/>
        <v>120734</v>
      </c>
      <c r="L127" s="1670">
        <f t="shared" si="14"/>
        <v>121800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40796</v>
      </c>
      <c r="D129" s="1677">
        <f t="shared" ref="D129:L129" si="15">SUM(D120,D127,D128)</f>
        <v>1658</v>
      </c>
      <c r="E129" s="1677">
        <f t="shared" si="15"/>
        <v>56981</v>
      </c>
      <c r="F129" s="1677">
        <f t="shared" si="15"/>
        <v>21299</v>
      </c>
      <c r="G129" s="1677">
        <f t="shared" si="15"/>
        <v>0</v>
      </c>
      <c r="H129" s="1677">
        <f t="shared" si="15"/>
        <v>0</v>
      </c>
      <c r="I129" s="1677">
        <f t="shared" si="15"/>
        <v>0</v>
      </c>
      <c r="J129" s="1677">
        <f t="shared" si="15"/>
        <v>0</v>
      </c>
      <c r="K129" s="1677">
        <f t="shared" si="15"/>
        <v>120734</v>
      </c>
      <c r="L129" s="1677">
        <f t="shared" si="15"/>
        <v>121800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58"/>
      <c r="C151" s="1670">
        <f>SUM(C129,C130,C139,C149,C150)</f>
        <v>40796</v>
      </c>
      <c r="D151" s="1670">
        <f t="shared" ref="D151:K151" si="16">SUM(D129,D130,D139,D149,D150)</f>
        <v>1658</v>
      </c>
      <c r="E151" s="1670">
        <f t="shared" si="16"/>
        <v>56981</v>
      </c>
      <c r="F151" s="1670">
        <f t="shared" si="16"/>
        <v>21299</v>
      </c>
      <c r="G151" s="1670">
        <f t="shared" si="16"/>
        <v>0</v>
      </c>
      <c r="H151" s="1670">
        <f t="shared" si="16"/>
        <v>0</v>
      </c>
      <c r="I151" s="1670">
        <f t="shared" si="16"/>
        <v>0</v>
      </c>
      <c r="J151" s="1670">
        <f t="shared" si="16"/>
        <v>0</v>
      </c>
      <c r="K151" s="1670">
        <f t="shared" si="16"/>
        <v>120734</v>
      </c>
      <c r="L151" s="1670">
        <f>SUM(L129,L130,L139,L149,L150)</f>
        <v>121800</v>
      </c>
    </row>
    <row r="152" spans="1:14" ht="12.75" customHeight="1" thickTop="1" x14ac:dyDescent="0.2">
      <c r="A152" s="2181" t="s">
        <v>1178</v>
      </c>
      <c r="B152" s="2182"/>
      <c r="C152" s="618"/>
      <c r="D152" s="618"/>
      <c r="E152" s="618"/>
      <c r="F152" s="618"/>
      <c r="G152" s="618"/>
      <c r="H152" s="618"/>
      <c r="I152" s="618"/>
      <c r="J152" s="616"/>
      <c r="K152" s="1684">
        <f>'Revenues 9-14'!D268-'Expenditures 15-22'!K151</f>
        <v>19175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41134</v>
      </c>
      <c r="I169" s="616"/>
      <c r="J169" s="616"/>
      <c r="K169" s="1671">
        <f>SUM(C169:H169)</f>
        <v>41134</v>
      </c>
      <c r="L169" s="656">
        <v>41134</v>
      </c>
    </row>
    <row r="170" spans="1:14" ht="33.75" customHeight="1" x14ac:dyDescent="0.2">
      <c r="A170" s="669" t="s">
        <v>1670</v>
      </c>
      <c r="B170" s="671" t="s">
        <v>31</v>
      </c>
      <c r="C170" s="616"/>
      <c r="D170" s="616"/>
      <c r="E170" s="616"/>
      <c r="F170" s="616"/>
      <c r="G170" s="616"/>
      <c r="H170" s="569">
        <v>200600</v>
      </c>
      <c r="I170" s="616"/>
      <c r="J170" s="616"/>
      <c r="K170" s="1671">
        <f>SUM(C170:J170)</f>
        <v>200600</v>
      </c>
      <c r="L170" s="569">
        <v>200600</v>
      </c>
    </row>
    <row r="171" spans="1:14" ht="15.75" customHeight="1" x14ac:dyDescent="0.2">
      <c r="A171" s="621" t="s">
        <v>766</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638</v>
      </c>
      <c r="B172" s="1669" t="s">
        <v>492</v>
      </c>
      <c r="C172" s="616"/>
      <c r="D172" s="616"/>
      <c r="E172" s="1677">
        <f>SUM(E168,E169,E170,E171)</f>
        <v>0</v>
      </c>
      <c r="F172" s="616"/>
      <c r="G172" s="616"/>
      <c r="H172" s="1677">
        <f>SUM(H168,H169,H170,H171)</f>
        <v>242234</v>
      </c>
      <c r="I172" s="638"/>
      <c r="J172" s="616"/>
      <c r="K172" s="1677">
        <f>SUM(K168,K169,K170,K171)</f>
        <v>242234</v>
      </c>
      <c r="L172" s="1677">
        <f>SUM(L168,L169,L170,L171)</f>
        <v>242234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242234</v>
      </c>
      <c r="I174" s="638"/>
      <c r="J174" s="616"/>
      <c r="K174" s="1677">
        <f>SUM(K160,K172,K173)</f>
        <v>242234</v>
      </c>
      <c r="L174" s="1677">
        <f>SUM(L160,L172,L173)</f>
        <v>242234</v>
      </c>
    </row>
    <row r="175" spans="1:14" ht="13.5" thickTop="1" x14ac:dyDescent="0.2">
      <c r="A175" s="2161" t="s">
        <v>996</v>
      </c>
      <c r="B175" s="2162"/>
      <c r="C175" s="616"/>
      <c r="D175" s="616"/>
      <c r="E175" s="616"/>
      <c r="F175" s="616"/>
      <c r="G175" s="616"/>
      <c r="H175" s="618"/>
      <c r="I175" s="616"/>
      <c r="J175" s="616"/>
      <c r="K175" s="1684">
        <f>'Revenues 9-14'!E268-'Expenditures 15-22'!K174</f>
        <v>118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5877</v>
      </c>
      <c r="D180" s="466">
        <v>725</v>
      </c>
      <c r="E180" s="466"/>
      <c r="F180" s="466"/>
      <c r="G180" s="466"/>
      <c r="H180" s="466"/>
      <c r="I180" s="467"/>
      <c r="J180" s="467"/>
      <c r="K180" s="1671">
        <f>SUM(C180:J180)</f>
        <v>6602</v>
      </c>
      <c r="L180" s="466">
        <v>6625</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168822</v>
      </c>
      <c r="F182" s="466"/>
      <c r="G182" s="466"/>
      <c r="H182" s="466"/>
      <c r="I182" s="467"/>
      <c r="J182" s="467"/>
      <c r="K182" s="1671">
        <f>SUM(C182:J182)</f>
        <v>168822</v>
      </c>
      <c r="L182" s="466">
        <v>169205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5877</v>
      </c>
      <c r="D184" s="1677">
        <f t="shared" ref="D184:J184" si="17">SUM(D180,D182,D183)</f>
        <v>725</v>
      </c>
      <c r="E184" s="1677">
        <f t="shared" si="17"/>
        <v>168822</v>
      </c>
      <c r="F184" s="1677">
        <f t="shared" si="17"/>
        <v>0</v>
      </c>
      <c r="G184" s="1677">
        <f t="shared" si="17"/>
        <v>0</v>
      </c>
      <c r="H184" s="1677">
        <f t="shared" si="17"/>
        <v>0</v>
      </c>
      <c r="I184" s="1677">
        <f t="shared" si="17"/>
        <v>0</v>
      </c>
      <c r="J184" s="1677">
        <f t="shared" si="17"/>
        <v>0</v>
      </c>
      <c r="K184" s="1677">
        <f>SUM(K180,K182,K183)</f>
        <v>175424</v>
      </c>
      <c r="L184" s="1677">
        <f>SUM(L180, L182:L183)</f>
        <v>175830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5877</v>
      </c>
      <c r="D210" s="1670">
        <f>SUM(D184,D185)</f>
        <v>725</v>
      </c>
      <c r="E210" s="1670">
        <f>SUM(E184,E185,E196)</f>
        <v>168822</v>
      </c>
      <c r="F210" s="1670">
        <f>SUM(F184,F185)</f>
        <v>0</v>
      </c>
      <c r="G210" s="1670">
        <f>SUM(G184,G185)</f>
        <v>0</v>
      </c>
      <c r="H210" s="1670">
        <f>SUM(H184,H185,H196,H208,H209)</f>
        <v>0</v>
      </c>
      <c r="I210" s="1670">
        <f>SUM(I184,I185)</f>
        <v>0</v>
      </c>
      <c r="J210" s="1670">
        <f>SUM(J184,J185)</f>
        <v>0</v>
      </c>
      <c r="K210" s="1671">
        <f>SUM(K184,K185,K196,K208,K209)</f>
        <v>175424</v>
      </c>
      <c r="L210" s="1670">
        <f>SUM(L184,L185,L196,L208,L209)</f>
        <v>175830</v>
      </c>
    </row>
    <row r="211" spans="1:14" ht="13.5" thickTop="1" x14ac:dyDescent="0.2">
      <c r="A211" s="2161" t="s">
        <v>996</v>
      </c>
      <c r="B211" s="2162"/>
      <c r="C211" s="618"/>
      <c r="D211" s="618"/>
      <c r="E211" s="618"/>
      <c r="F211" s="618"/>
      <c r="G211" s="618"/>
      <c r="H211" s="618"/>
      <c r="I211" s="616"/>
      <c r="J211" s="616"/>
      <c r="K211" s="1684">
        <f>'Revenues 9-14'!F268-'Expenditures 15-22'!K210</f>
        <v>39421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21606</v>
      </c>
      <c r="E215" s="616"/>
      <c r="F215" s="616"/>
      <c r="G215" s="616"/>
      <c r="H215" s="616"/>
      <c r="I215" s="616"/>
      <c r="J215" s="616"/>
      <c r="K215" s="1671">
        <f>D215</f>
        <v>21606</v>
      </c>
      <c r="L215" s="466">
        <v>21680</v>
      </c>
    </row>
    <row r="216" spans="1:14" x14ac:dyDescent="0.2">
      <c r="A216" s="1504" t="s">
        <v>163</v>
      </c>
      <c r="B216" s="614" t="s">
        <v>967</v>
      </c>
      <c r="C216" s="616"/>
      <c r="D216" s="467">
        <v>2401</v>
      </c>
      <c r="E216" s="616"/>
      <c r="F216" s="616"/>
      <c r="G216" s="616"/>
      <c r="H216" s="616"/>
      <c r="I216" s="616"/>
      <c r="J216" s="616"/>
      <c r="K216" s="1671">
        <f t="shared" ref="K216:K228" si="19">D216</f>
        <v>2401</v>
      </c>
      <c r="L216" s="466">
        <v>2495</v>
      </c>
    </row>
    <row r="217" spans="1:14" x14ac:dyDescent="0.2">
      <c r="A217" s="1504" t="s">
        <v>164</v>
      </c>
      <c r="B217" s="614">
        <v>1200</v>
      </c>
      <c r="C217" s="616"/>
      <c r="D217" s="466">
        <v>5221</v>
      </c>
      <c r="E217" s="616"/>
      <c r="F217" s="616"/>
      <c r="G217" s="616"/>
      <c r="H217" s="616"/>
      <c r="I217" s="616"/>
      <c r="J217" s="616"/>
      <c r="K217" s="1671">
        <f t="shared" si="19"/>
        <v>5221</v>
      </c>
      <c r="L217" s="466">
        <v>5440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130</v>
      </c>
      <c r="E219" s="616"/>
      <c r="F219" s="616"/>
      <c r="G219" s="616"/>
      <c r="H219" s="616"/>
      <c r="I219" s="616"/>
      <c r="J219" s="616"/>
      <c r="K219" s="1671">
        <f t="shared" si="19"/>
        <v>130</v>
      </c>
      <c r="L219" s="466">
        <v>132</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837</v>
      </c>
      <c r="E223" s="616"/>
      <c r="F223" s="616"/>
      <c r="G223" s="616"/>
      <c r="H223" s="616"/>
      <c r="I223" s="616"/>
      <c r="J223" s="616"/>
      <c r="K223" s="1671">
        <f t="shared" si="19"/>
        <v>837</v>
      </c>
      <c r="L223" s="466">
        <v>900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30195</v>
      </c>
      <c r="E229" s="616"/>
      <c r="F229" s="616"/>
      <c r="G229" s="616"/>
      <c r="H229" s="616"/>
      <c r="I229" s="616"/>
      <c r="J229" s="616"/>
      <c r="K229" s="1670">
        <f>SUM(K215:K228)</f>
        <v>30195</v>
      </c>
      <c r="L229" s="1670">
        <f>SUM(L215:L228)</f>
        <v>30647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1186</v>
      </c>
      <c r="E234" s="616"/>
      <c r="F234" s="616"/>
      <c r="G234" s="616"/>
      <c r="H234" s="616"/>
      <c r="I234" s="616"/>
      <c r="J234" s="616"/>
      <c r="K234" s="1671">
        <f t="shared" si="20"/>
        <v>1186</v>
      </c>
      <c r="L234" s="466">
        <v>1190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85</v>
      </c>
      <c r="E237" s="616"/>
      <c r="F237" s="616"/>
      <c r="G237" s="616"/>
      <c r="H237" s="616"/>
      <c r="I237" s="616"/>
      <c r="J237" s="616"/>
      <c r="K237" s="1671">
        <f t="shared" si="20"/>
        <v>85</v>
      </c>
      <c r="L237" s="466">
        <v>90</v>
      </c>
    </row>
    <row r="238" spans="1:12" ht="12.75" customHeight="1" thickBot="1" x14ac:dyDescent="0.25">
      <c r="A238" s="1668" t="s">
        <v>560</v>
      </c>
      <c r="B238" s="1675" t="s">
        <v>716</v>
      </c>
      <c r="C238" s="616"/>
      <c r="D238" s="1670">
        <f>SUM(D232:D237)</f>
        <v>1271</v>
      </c>
      <c r="E238" s="616"/>
      <c r="F238" s="616"/>
      <c r="G238" s="616"/>
      <c r="H238" s="616"/>
      <c r="I238" s="616"/>
      <c r="J238" s="616"/>
      <c r="K238" s="1670">
        <f>SUM(K232:K237)</f>
        <v>1271</v>
      </c>
      <c r="L238" s="1670">
        <f>SUM(L232:L237)</f>
        <v>1280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498</v>
      </c>
      <c r="E241" s="616"/>
      <c r="F241" s="616"/>
      <c r="G241" s="616"/>
      <c r="H241" s="616"/>
      <c r="I241" s="616"/>
      <c r="J241" s="616"/>
      <c r="K241" s="1672">
        <f>D241</f>
        <v>498</v>
      </c>
      <c r="L241" s="466">
        <v>505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498</v>
      </c>
      <c r="E243" s="616"/>
      <c r="F243" s="616"/>
      <c r="G243" s="616"/>
      <c r="H243" s="616"/>
      <c r="I243" s="616"/>
      <c r="J243" s="616"/>
      <c r="K243" s="1670">
        <f>SUM(K240:K242)</f>
        <v>498</v>
      </c>
      <c r="L243" s="1670">
        <f>SUM(L240:L242)</f>
        <v>505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1897</v>
      </c>
      <c r="E246" s="616"/>
      <c r="F246" s="616"/>
      <c r="G246" s="616"/>
      <c r="H246" s="616"/>
      <c r="I246" s="616"/>
      <c r="J246" s="616"/>
      <c r="K246" s="1672">
        <f t="shared" ref="K246:K256" si="21">D246</f>
        <v>1897</v>
      </c>
      <c r="L246" s="466">
        <v>1910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16981</v>
      </c>
      <c r="E254" s="616"/>
      <c r="F254" s="616"/>
      <c r="G254" s="616"/>
      <c r="H254" s="616"/>
      <c r="I254" s="616"/>
      <c r="J254" s="616"/>
      <c r="K254" s="1672">
        <f t="shared" si="21"/>
        <v>16981</v>
      </c>
      <c r="L254" s="466">
        <v>17050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18878</v>
      </c>
      <c r="E257" s="616"/>
      <c r="F257" s="616"/>
      <c r="G257" s="616"/>
      <c r="H257" s="616"/>
      <c r="I257" s="616"/>
      <c r="J257" s="616"/>
      <c r="K257" s="1670">
        <f>SUM(K245:K256)</f>
        <v>18878</v>
      </c>
      <c r="L257" s="1670">
        <f>SUM(L245:L256)</f>
        <v>18960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1405</v>
      </c>
      <c r="E259" s="616"/>
      <c r="F259" s="616"/>
      <c r="G259" s="616"/>
      <c r="H259" s="616"/>
      <c r="I259" s="616"/>
      <c r="J259" s="616"/>
      <c r="K259" s="1672">
        <f>D259</f>
        <v>1405</v>
      </c>
      <c r="L259" s="481">
        <v>1420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1405</v>
      </c>
      <c r="E261" s="616"/>
      <c r="F261" s="616"/>
      <c r="G261" s="616"/>
      <c r="H261" s="616"/>
      <c r="I261" s="616"/>
      <c r="J261" s="616"/>
      <c r="K261" s="1670">
        <f>SUM(K259:K260)</f>
        <v>1405</v>
      </c>
      <c r="L261" s="1670">
        <f>SUM(L259:L260)</f>
        <v>1420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4194</v>
      </c>
      <c r="E264" s="616"/>
      <c r="F264" s="616"/>
      <c r="G264" s="616"/>
      <c r="H264" s="616"/>
      <c r="I264" s="616"/>
      <c r="J264" s="616"/>
      <c r="K264" s="1672">
        <f t="shared" ref="K264:K269" si="22">D264</f>
        <v>4194</v>
      </c>
      <c r="L264" s="466">
        <v>4215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7594</v>
      </c>
      <c r="E266" s="616"/>
      <c r="F266" s="616"/>
      <c r="G266" s="616"/>
      <c r="H266" s="616"/>
      <c r="I266" s="616"/>
      <c r="J266" s="616"/>
      <c r="K266" s="1672">
        <f t="shared" si="22"/>
        <v>7594</v>
      </c>
      <c r="L266" s="466">
        <v>7650</v>
      </c>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v>6311</v>
      </c>
      <c r="E268" s="616"/>
      <c r="F268" s="616"/>
      <c r="G268" s="616"/>
      <c r="H268" s="616"/>
      <c r="I268" s="616"/>
      <c r="J268" s="616"/>
      <c r="K268" s="1672">
        <f t="shared" si="22"/>
        <v>6311</v>
      </c>
      <c r="L268" s="466">
        <v>6350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18099</v>
      </c>
      <c r="E270" s="616"/>
      <c r="F270" s="616"/>
      <c r="G270" s="616"/>
      <c r="H270" s="616"/>
      <c r="I270" s="616"/>
      <c r="J270" s="616"/>
      <c r="K270" s="1670">
        <f>SUM(K263:K269)</f>
        <v>18099</v>
      </c>
      <c r="L270" s="1670">
        <f>SUM(L263:L269)</f>
        <v>18215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40151</v>
      </c>
      <c r="E279" s="616"/>
      <c r="F279" s="616"/>
      <c r="G279" s="616"/>
      <c r="H279" s="616"/>
      <c r="I279" s="616"/>
      <c r="J279" s="616"/>
      <c r="K279" s="1677">
        <f>SUM(K238,K243,K257,K261,K270,K277,K278)</f>
        <v>40151</v>
      </c>
      <c r="L279" s="1677">
        <f>SUM(L238,L243,L257,L261,L270,L277,L278)</f>
        <v>40380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70346</v>
      </c>
      <c r="E295" s="616"/>
      <c r="F295" s="616"/>
      <c r="G295" s="616"/>
      <c r="H295" s="1670">
        <f>H293</f>
        <v>0</v>
      </c>
      <c r="I295" s="616"/>
      <c r="J295" s="616"/>
      <c r="K295" s="1670">
        <f>SUM(K229,K279,K280,K285,K293,K294)</f>
        <v>70346</v>
      </c>
      <c r="L295" s="1670">
        <f>SUM(L229,L279,L280,L285,L293,L294)</f>
        <v>71027</v>
      </c>
    </row>
    <row r="296" spans="1:14" ht="13.5" thickTop="1" x14ac:dyDescent="0.2">
      <c r="A296" s="2161" t="s">
        <v>996</v>
      </c>
      <c r="B296" s="2162"/>
      <c r="C296" s="616"/>
      <c r="D296" s="618"/>
      <c r="E296" s="616"/>
      <c r="F296" s="616"/>
      <c r="G296" s="616"/>
      <c r="H296" s="687"/>
      <c r="I296" s="616"/>
      <c r="J296" s="616"/>
      <c r="K296" s="1684">
        <f>'Revenues 9-14'!G268-'Expenditures 15-22'!K295</f>
        <v>-42401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21958</v>
      </c>
      <c r="F320" s="467"/>
      <c r="G320" s="467"/>
      <c r="H320" s="467"/>
      <c r="I320" s="467"/>
      <c r="J320" s="467"/>
      <c r="K320" s="1671">
        <f t="shared" ref="K320:K327" si="24">SUM(C320:J320)</f>
        <v>21958</v>
      </c>
      <c r="L320" s="467">
        <v>22000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22490</v>
      </c>
      <c r="F322" s="467"/>
      <c r="G322" s="467"/>
      <c r="H322" s="467"/>
      <c r="I322" s="467"/>
      <c r="J322" s="467"/>
      <c r="K322" s="1671">
        <f t="shared" si="24"/>
        <v>22490</v>
      </c>
      <c r="L322" s="467">
        <v>17500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199622</v>
      </c>
      <c r="D325" s="467"/>
      <c r="E325" s="467"/>
      <c r="F325" s="467"/>
      <c r="G325" s="467"/>
      <c r="H325" s="467"/>
      <c r="I325" s="467"/>
      <c r="J325" s="467"/>
      <c r="K325" s="1671">
        <f t="shared" si="24"/>
        <v>199622</v>
      </c>
      <c r="L325" s="467">
        <v>200500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839</v>
      </c>
      <c r="F327" s="467"/>
      <c r="G327" s="467"/>
      <c r="H327" s="467"/>
      <c r="I327" s="467"/>
      <c r="J327" s="467"/>
      <c r="K327" s="1671">
        <f t="shared" si="24"/>
        <v>839</v>
      </c>
      <c r="L327" s="467">
        <v>900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199622</v>
      </c>
      <c r="D330" s="1670">
        <f t="shared" ref="D330:J330" si="25">SUM(D319:D329)</f>
        <v>0</v>
      </c>
      <c r="E330" s="1670">
        <f t="shared" si="25"/>
        <v>45287</v>
      </c>
      <c r="F330" s="1670">
        <f t="shared" si="25"/>
        <v>0</v>
      </c>
      <c r="G330" s="1670">
        <f t="shared" si="25"/>
        <v>0</v>
      </c>
      <c r="H330" s="1670">
        <f t="shared" si="25"/>
        <v>0</v>
      </c>
      <c r="I330" s="1670">
        <f t="shared" si="25"/>
        <v>0</v>
      </c>
      <c r="J330" s="1670">
        <f t="shared" si="25"/>
        <v>0</v>
      </c>
      <c r="K330" s="1670">
        <f>SUM(K319:K329)</f>
        <v>244909</v>
      </c>
      <c r="L330" s="1670">
        <f>SUM(L319:L329)</f>
        <v>240900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199622</v>
      </c>
      <c r="D342" s="1670">
        <f>SUM(D330)</f>
        <v>0</v>
      </c>
      <c r="E342" s="1670">
        <f>SUM(E330)</f>
        <v>45287</v>
      </c>
      <c r="F342" s="1670">
        <f>SUM(F330)</f>
        <v>0</v>
      </c>
      <c r="G342" s="1670">
        <f>SUM(G330)</f>
        <v>0</v>
      </c>
      <c r="H342" s="1670">
        <f>SUM(H330,H334,H340)</f>
        <v>0</v>
      </c>
      <c r="I342" s="1670">
        <f>SUM(I330)</f>
        <v>0</v>
      </c>
      <c r="J342" s="1670">
        <f>SUM(J330)</f>
        <v>0</v>
      </c>
      <c r="K342" s="1670">
        <f>SUM(K330,K334,K340)</f>
        <v>244909</v>
      </c>
      <c r="L342" s="1677">
        <f>SUM(L330,L340,L341)</f>
        <v>240900</v>
      </c>
    </row>
    <row r="343" spans="1:14" ht="12.75" customHeight="1" thickTop="1" x14ac:dyDescent="0.2">
      <c r="A343" s="2174" t="s">
        <v>996</v>
      </c>
      <c r="B343" s="2175"/>
      <c r="C343" s="616"/>
      <c r="D343" s="616"/>
      <c r="E343" s="616"/>
      <c r="F343" s="616"/>
      <c r="G343" s="616"/>
      <c r="H343" s="616"/>
      <c r="I343" s="616"/>
      <c r="J343" s="616"/>
      <c r="K343" s="1684">
        <f>'Revenues 9-14'!J268-'Expenditures 15-22'!K342</f>
        <v>-3864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57094</v>
      </c>
      <c r="H349" s="466"/>
      <c r="I349" s="467"/>
      <c r="J349" s="467"/>
      <c r="K349" s="1671">
        <f>SUM(C349:J349)</f>
        <v>57094</v>
      </c>
      <c r="L349" s="466">
        <v>57300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57094</v>
      </c>
      <c r="H350" s="1670">
        <f t="shared" si="26"/>
        <v>0</v>
      </c>
      <c r="I350" s="1670">
        <f t="shared" si="26"/>
        <v>0</v>
      </c>
      <c r="J350" s="1670">
        <f t="shared" si="26"/>
        <v>0</v>
      </c>
      <c r="K350" s="1670">
        <f t="shared" si="26"/>
        <v>57094</v>
      </c>
      <c r="L350" s="1670">
        <f t="shared" si="26"/>
        <v>57300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57094</v>
      </c>
      <c r="H352" s="1670">
        <f t="shared" si="27"/>
        <v>0</v>
      </c>
      <c r="I352" s="1670">
        <f t="shared" si="27"/>
        <v>0</v>
      </c>
      <c r="J352" s="1670">
        <f t="shared" si="27"/>
        <v>0</v>
      </c>
      <c r="K352" s="1670">
        <f t="shared" si="27"/>
        <v>57094</v>
      </c>
      <c r="L352" s="1670">
        <f t="shared" si="27"/>
        <v>57300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57094</v>
      </c>
      <c r="H367" s="1670">
        <f t="shared" si="28"/>
        <v>0</v>
      </c>
      <c r="I367" s="1670">
        <f t="shared" si="28"/>
        <v>0</v>
      </c>
      <c r="J367" s="1670">
        <f t="shared" si="28"/>
        <v>0</v>
      </c>
      <c r="K367" s="1670">
        <f t="shared" si="28"/>
        <v>57094</v>
      </c>
      <c r="L367" s="1670">
        <f t="shared" si="28"/>
        <v>57300</v>
      </c>
    </row>
    <row r="368" spans="1:14" ht="13.5" thickTop="1" x14ac:dyDescent="0.2">
      <c r="A368" s="2161" t="s">
        <v>996</v>
      </c>
      <c r="B368" s="2162"/>
      <c r="C368" s="654"/>
      <c r="D368" s="654"/>
      <c r="E368" s="626"/>
      <c r="F368" s="626"/>
      <c r="G368" s="626"/>
      <c r="H368" s="626"/>
      <c r="I368" s="626"/>
      <c r="J368" s="623"/>
      <c r="K368" s="1671">
        <f>'Revenues 9-14'!K268-'Expenditures 15-22'!K367</f>
        <v>-45414</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intregal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sharepoint/v3"/>
    <ds:schemaRef ds:uri="http://www.w3.org/XML/1998/namespace"/>
    <ds:schemaRef ds:uri="http://schemas.microsoft.com/office/infopath/2007/PartnerControls"/>
    <ds:schemaRef ds:uri="http://schemas.microsoft.com/office/2006/documentManagement/types"/>
    <ds:schemaRef ds:uri="http://purl.org/dc/terms/"/>
    <ds:schemaRef ds:uri="6ce3111e-7420-4802-b50a-75d4e9a0b980"/>
    <ds:schemaRef ds:uri="http://schemas.microsoft.com/office/2006/metadata/properties"/>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2019-12-03T17:07:27Z</cp:lastPrinted>
  <dcterms:created xsi:type="dcterms:W3CDTF">2003-10-29T19:06:34Z</dcterms:created>
  <dcterms:modified xsi:type="dcterms:W3CDTF">2019-12-31T16:57:51Z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