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0" yWindow="0" windowWidth="28800" windowHeight="1203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2 (2)" sheetId="183" r:id="rId32"/>
    <sheet name="SF&amp;QC Sec-3" sheetId="176" r:id="rId33"/>
    <sheet name="SSPAF" sheetId="177" r:id="rId34"/>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3" l="1"/>
  <c r="F141" i="181"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F44" i="181"/>
  <c r="F43" i="181"/>
  <c r="F42" i="181"/>
  <c r="F41" i="181"/>
  <c r="F40" i="181"/>
  <c r="F39" i="181"/>
  <c r="F38" i="181"/>
  <c r="F37" i="181"/>
  <c r="F36" i="181"/>
  <c r="F35" i="181"/>
  <c r="F34" i="181"/>
  <c r="F33" i="181"/>
  <c r="F32" i="181"/>
  <c r="F31" i="181"/>
  <c r="F30" i="181"/>
  <c r="F29" i="181"/>
  <c r="F28" i="181"/>
  <c r="F27" i="181"/>
  <c r="F26" i="181"/>
  <c r="F25" i="181"/>
  <c r="F24" i="181"/>
  <c r="F23" i="181"/>
  <c r="F22" i="181"/>
  <c r="F21"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40" i="181"/>
  <c r="E140" i="181"/>
  <c r="G139" i="181"/>
  <c r="E139" i="181"/>
  <c r="G138" i="181"/>
  <c r="E138" i="181"/>
  <c r="G137" i="181"/>
  <c r="E137" i="181"/>
  <c r="G136" i="181"/>
  <c r="E136" i="181"/>
  <c r="G135" i="181"/>
  <c r="E135" i="181"/>
  <c r="G134" i="181"/>
  <c r="E134" i="181"/>
  <c r="E133" i="181"/>
  <c r="G133" i="181" s="1"/>
  <c r="G132" i="181"/>
  <c r="E132" i="181"/>
  <c r="G131" i="181"/>
  <c r="E131" i="181"/>
  <c r="G130" i="181"/>
  <c r="E130" i="181"/>
  <c r="G129" i="181"/>
  <c r="E129" i="181"/>
  <c r="E128" i="181"/>
  <c r="G128" i="181" s="1"/>
  <c r="G127" i="181"/>
  <c r="E127" i="181"/>
  <c r="G126" i="181"/>
  <c r="E126" i="181"/>
  <c r="G125" i="181"/>
  <c r="E125" i="181"/>
  <c r="E124" i="181"/>
  <c r="G124" i="181" s="1"/>
  <c r="G123" i="181"/>
  <c r="E123" i="181"/>
  <c r="G122" i="181"/>
  <c r="E122" i="181"/>
  <c r="G121" i="181"/>
  <c r="E121" i="181"/>
  <c r="G120" i="181"/>
  <c r="E120" i="181"/>
  <c r="G119" i="181"/>
  <c r="E119" i="181"/>
  <c r="G118" i="181"/>
  <c r="E118" i="181"/>
  <c r="G117" i="181"/>
  <c r="E117" i="181"/>
  <c r="G116" i="181"/>
  <c r="E116" i="181"/>
  <c r="E115" i="181"/>
  <c r="G115" i="181" s="1"/>
  <c r="G114" i="181"/>
  <c r="E114" i="181"/>
  <c r="G113" i="181"/>
  <c r="E113" i="181"/>
  <c r="G112" i="181"/>
  <c r="E112" i="181"/>
  <c r="E111" i="181"/>
  <c r="G111" i="181" s="1"/>
  <c r="G110" i="181"/>
  <c r="E110" i="181"/>
  <c r="G109" i="181"/>
  <c r="E109" i="181"/>
  <c r="G108" i="181"/>
  <c r="E108" i="181"/>
  <c r="G107" i="181"/>
  <c r="E107" i="181"/>
  <c r="G106" i="181"/>
  <c r="E106" i="181"/>
  <c r="G105" i="181"/>
  <c r="E105" i="181"/>
  <c r="G100" i="181"/>
  <c r="E100" i="181"/>
  <c r="G104" i="181"/>
  <c r="E104" i="181"/>
  <c r="E103" i="181"/>
  <c r="G103" i="181" s="1"/>
  <c r="G102" i="181"/>
  <c r="E102" i="181"/>
  <c r="E101" i="181"/>
  <c r="G101" i="181" s="1"/>
  <c r="G99" i="181"/>
  <c r="E99" i="181"/>
  <c r="E98" i="181"/>
  <c r="G98" i="181" s="1"/>
  <c r="G97" i="181"/>
  <c r="E97" i="181"/>
  <c r="E96" i="181"/>
  <c r="G96" i="181" s="1"/>
  <c r="G94" i="181"/>
  <c r="E94" i="181"/>
  <c r="G93" i="181"/>
  <c r="E93" i="181"/>
  <c r="E92" i="181"/>
  <c r="G92" i="181" s="1"/>
  <c r="G91" i="181"/>
  <c r="E91" i="181"/>
  <c r="G90" i="181"/>
  <c r="E90" i="181"/>
  <c r="E89" i="181"/>
  <c r="G89" i="181" s="1"/>
  <c r="G88" i="181"/>
  <c r="E88" i="181"/>
  <c r="E87" i="181"/>
  <c r="G87" i="181" s="1"/>
  <c r="G85" i="181"/>
  <c r="E85" i="181"/>
  <c r="G84" i="181"/>
  <c r="E84" i="181"/>
  <c r="G83" i="181"/>
  <c r="E83" i="181"/>
  <c r="G82" i="181"/>
  <c r="E82" i="181"/>
  <c r="G81" i="181"/>
  <c r="E81" i="181"/>
  <c r="G80" i="181"/>
  <c r="E80" i="181"/>
  <c r="G79" i="181"/>
  <c r="E79" i="181"/>
  <c r="G78" i="181"/>
  <c r="E78" i="181"/>
  <c r="G77" i="181"/>
  <c r="E77" i="181"/>
  <c r="E76" i="181"/>
  <c r="G76" i="181" s="1"/>
  <c r="G75" i="181"/>
  <c r="E75" i="181"/>
  <c r="G74" i="181"/>
  <c r="E74" i="181"/>
  <c r="G141" i="181"/>
  <c r="E141" i="181"/>
  <c r="G95" i="181"/>
  <c r="E95" i="181"/>
  <c r="G86" i="181"/>
  <c r="E86" i="181"/>
  <c r="E73" i="181"/>
  <c r="G73" i="181" s="1"/>
  <c r="G72" i="181"/>
  <c r="E72" i="181"/>
  <c r="G71" i="181"/>
  <c r="E71" i="181"/>
  <c r="G70" i="181"/>
  <c r="E70" i="181"/>
  <c r="G69" i="181"/>
  <c r="E69" i="181"/>
  <c r="G68" i="181"/>
  <c r="E68" i="181"/>
  <c r="G67" i="181"/>
  <c r="E67" i="181"/>
  <c r="E66" i="181"/>
  <c r="G66" i="181" s="1"/>
  <c r="E65" i="181"/>
  <c r="G65" i="181" s="1"/>
  <c r="G64" i="181"/>
  <c r="E64" i="181"/>
  <c r="G63" i="181"/>
  <c r="E63" i="181"/>
  <c r="G62" i="181"/>
  <c r="E62" i="181"/>
  <c r="E61" i="181"/>
  <c r="G61" i="181" s="1"/>
  <c r="G60" i="181"/>
  <c r="E60" i="181"/>
  <c r="E59" i="181"/>
  <c r="G59" i="181" s="1"/>
  <c r="G58" i="181"/>
  <c r="E58" i="181"/>
  <c r="E57" i="181"/>
  <c r="G57" i="181" s="1"/>
  <c r="G56" i="181"/>
  <c r="E56" i="181"/>
  <c r="E55" i="181"/>
  <c r="G55" i="181" s="1"/>
  <c r="G54" i="181"/>
  <c r="E54" i="181"/>
  <c r="G53" i="181"/>
  <c r="E53" i="181"/>
  <c r="G52" i="181"/>
  <c r="E52" i="181"/>
  <c r="G51" i="181"/>
  <c r="E51" i="181"/>
  <c r="G50" i="181"/>
  <c r="E50" i="181"/>
  <c r="E49" i="181"/>
  <c r="G49" i="181" s="1"/>
  <c r="G48" i="181"/>
  <c r="E48" i="181"/>
  <c r="G47" i="181"/>
  <c r="E47" i="181"/>
  <c r="E46" i="181"/>
  <c r="G46" i="181" s="1"/>
  <c r="E45" i="181"/>
  <c r="G45" i="181" s="1"/>
  <c r="E44" i="181"/>
  <c r="E43" i="181"/>
  <c r="E42" i="181"/>
  <c r="G42" i="181" s="1"/>
  <c r="G41" i="181"/>
  <c r="E41" i="181"/>
  <c r="G40" i="181"/>
  <c r="E40" i="181"/>
  <c r="G39" i="181"/>
  <c r="E39" i="181"/>
  <c r="G38" i="181"/>
  <c r="E38" i="181"/>
  <c r="E37" i="181"/>
  <c r="G37" i="181" s="1"/>
  <c r="E36" i="181"/>
  <c r="G36" i="181" s="1"/>
  <c r="E35" i="181"/>
  <c r="G35" i="181" s="1"/>
  <c r="E34" i="181"/>
  <c r="E33" i="181"/>
  <c r="G33" i="181" s="1"/>
  <c r="E32" i="181"/>
  <c r="G32" i="181" s="1"/>
  <c r="E31" i="181"/>
  <c r="G31" i="181" s="1"/>
  <c r="E30" i="181"/>
  <c r="E29" i="181"/>
  <c r="G29" i="181" s="1"/>
  <c r="E28" i="181"/>
  <c r="G27" i="181"/>
  <c r="E27" i="181"/>
  <c r="E26" i="181"/>
  <c r="E25" i="181"/>
  <c r="G25" i="181" s="1"/>
  <c r="E24" i="181"/>
  <c r="G24" i="181" s="1"/>
  <c r="E23" i="181"/>
  <c r="G23" i="181" s="1"/>
  <c r="E22" i="181"/>
  <c r="G22" i="181" s="1"/>
  <c r="E21" i="181"/>
  <c r="G21" i="181" s="1"/>
  <c r="E20" i="181"/>
  <c r="F20" i="181" s="1"/>
  <c r="E19" i="181"/>
  <c r="F19" i="181" s="1"/>
  <c r="G44" i="181" l="1"/>
  <c r="G43" i="181"/>
  <c r="G34" i="181"/>
  <c r="G30" i="181"/>
  <c r="G28" i="181"/>
  <c r="G26" i="181"/>
  <c r="G20" i="181"/>
  <c r="G19" i="181"/>
  <c r="D142" i="181"/>
  <c r="D80" i="36" l="1"/>
  <c r="B7797" i="106"/>
  <c r="E142" i="181"/>
  <c r="E18" i="181"/>
  <c r="F18" i="181" s="1"/>
  <c r="E17" i="181"/>
  <c r="F17" i="181" s="1"/>
  <c r="G17" i="181" l="1"/>
  <c r="G18" i="181"/>
  <c r="G142" i="181" s="1"/>
  <c r="G40" i="108" l="1"/>
  <c r="B7799" i="106"/>
  <c r="F142"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D7765" i="106" s="1"/>
  <c r="B7764" i="106"/>
  <c r="D7764" i="106" s="1"/>
  <c r="J85" i="28"/>
  <c r="B7758" i="106" s="1"/>
  <c r="D7758" i="106" s="1"/>
  <c r="J88" i="28"/>
  <c r="K6" i="29"/>
  <c r="B7763" i="106" s="1"/>
  <c r="D7763" i="106" s="1"/>
  <c r="B7762" i="106"/>
  <c r="D7762" i="106" s="1"/>
  <c r="K12" i="12"/>
  <c r="B7719" i="106" s="1"/>
  <c r="D7719" i="106" s="1"/>
  <c r="K23" i="12"/>
  <c r="J12" i="12"/>
  <c r="B7718" i="106" s="1"/>
  <c r="D7718" i="106" s="1"/>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I7" i="145"/>
  <c r="I6" i="145"/>
  <c r="D78" i="36"/>
  <c r="K75" i="29"/>
  <c r="C14" i="4" s="1"/>
  <c r="B2558" i="106" s="1"/>
  <c r="D2558" i="106" s="1"/>
  <c r="K130" i="29"/>
  <c r="B2805" i="106" s="1"/>
  <c r="D2805" i="106" s="1"/>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E27" i="108"/>
  <c r="F27" i="108"/>
  <c r="G27" i="108"/>
  <c r="F31" i="108"/>
  <c r="G28" i="108"/>
  <c r="D31"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D6103" i="106" l="1"/>
  <c r="J22" i="37"/>
  <c r="D22" i="37"/>
  <c r="L22" i="37"/>
  <c r="E33" i="108"/>
  <c r="D69" i="36"/>
  <c r="H28" i="118"/>
  <c r="D68" i="36"/>
  <c r="L13" i="11"/>
  <c r="B2060" i="106" s="1"/>
  <c r="D2060" i="106" s="1"/>
  <c r="L5" i="11"/>
  <c r="B2056" i="106" s="1"/>
  <c r="D2056" i="106" s="1"/>
  <c r="D24" i="37"/>
  <c r="B4270" i="106" s="1"/>
  <c r="D4270" i="106" s="1"/>
  <c r="F19" i="7"/>
  <c r="B1807" i="106" s="1"/>
  <c r="D1807" i="106" s="1"/>
  <c r="B2724" i="106"/>
  <c r="D2724" i="106" s="1"/>
  <c r="B6995" i="106"/>
  <c r="D6995" i="106" s="1"/>
  <c r="B2836" i="106"/>
  <c r="D2836" i="106" s="1"/>
  <c r="F37" i="34"/>
  <c r="F52" i="34"/>
  <c r="E35" i="108"/>
  <c r="F72" i="34"/>
  <c r="H112" i="29"/>
  <c r="B7018" i="106" s="1"/>
  <c r="D7018" i="106" s="1"/>
  <c r="G39" i="108"/>
  <c r="C129" i="29"/>
  <c r="B1225" i="106" s="1"/>
  <c r="D1225" i="106" s="1"/>
  <c r="G14" i="4"/>
  <c r="B2609" i="106" s="1"/>
  <c r="D2609" i="106" s="1"/>
  <c r="F71" i="34"/>
  <c r="G30" i="108"/>
  <c r="B1126" i="106"/>
  <c r="D1126" i="106" s="1"/>
  <c r="D14" i="4"/>
  <c r="B2570" i="106" s="1"/>
  <c r="D2570" i="106" s="1"/>
  <c r="F70" i="34"/>
  <c r="F56" i="34"/>
  <c r="F46" i="34"/>
  <c r="F28" i="108"/>
  <c r="E34" i="108"/>
  <c r="B1124" i="106"/>
  <c r="D1124" i="106" s="1"/>
  <c r="F64" i="34"/>
  <c r="G29" i="108"/>
  <c r="E38" i="108"/>
  <c r="F38" i="34"/>
  <c r="G26" i="108"/>
  <c r="B1274" i="106"/>
  <c r="D1274" i="106" s="1"/>
  <c r="E26" i="108"/>
  <c r="J129" i="29"/>
  <c r="B7038" i="106" s="1"/>
  <c r="D7038" i="106" s="1"/>
  <c r="G15" i="145"/>
  <c r="F69" i="34"/>
  <c r="B7047" i="106"/>
  <c r="D7047" i="106" s="1"/>
  <c r="G35" i="108"/>
  <c r="F77" i="4"/>
  <c r="B3255" i="106" s="1"/>
  <c r="D3255" i="106" s="1"/>
  <c r="F50" i="34"/>
  <c r="B7076" i="106"/>
  <c r="D7076" i="106" s="1"/>
  <c r="H342" i="29"/>
  <c r="B7221" i="106" s="1"/>
  <c r="D7221" i="106" s="1"/>
  <c r="I210" i="29"/>
  <c r="B7071" i="106" s="1"/>
  <c r="D7071" i="106" s="1"/>
  <c r="B3647" i="106"/>
  <c r="D3647" i="106" s="1"/>
  <c r="F36" i="108"/>
  <c r="H76" i="4"/>
  <c r="B3298" i="106" s="1"/>
  <c r="D3298" i="106" s="1"/>
  <c r="F67" i="34"/>
  <c r="F42" i="34"/>
  <c r="H365" i="29"/>
  <c r="B7242" i="106" s="1"/>
  <c r="D7242" i="106" s="1"/>
  <c r="J210" i="29"/>
  <c r="B7072" i="106" s="1"/>
  <c r="D7072" i="106" s="1"/>
  <c r="G210" i="29"/>
  <c r="C352" i="29"/>
  <c r="B3621" i="106" s="1"/>
  <c r="D3621" i="106" s="1"/>
  <c r="F34" i="34"/>
  <c r="D36" i="108"/>
  <c r="B6289" i="106"/>
  <c r="D6289" i="106" s="1"/>
  <c r="K76" i="4"/>
  <c r="B3586" i="106" s="1"/>
  <c r="D3586" i="106" s="1"/>
  <c r="J77" i="4"/>
  <c r="B6262" i="106" s="1"/>
  <c r="D6262" i="106" s="1"/>
  <c r="F36" i="34"/>
  <c r="C342" i="29"/>
  <c r="B7216" i="106" s="1"/>
  <c r="D7216" i="106" s="1"/>
  <c r="K184" i="29"/>
  <c r="F13" i="4" s="1"/>
  <c r="B2596" i="106" s="1"/>
  <c r="D2596" i="106" s="1"/>
  <c r="L367" i="29"/>
  <c r="J352" i="29"/>
  <c r="J367" i="29" s="1"/>
  <c r="B7245" i="106" s="1"/>
  <c r="D7245" i="106" s="1"/>
  <c r="E29" i="108"/>
  <c r="L342" i="29"/>
  <c r="I129" i="29"/>
  <c r="B7037" i="106" s="1"/>
  <c r="D7037" i="106" s="1"/>
  <c r="D54" i="36"/>
  <c r="H33" i="118"/>
  <c r="J41" i="3"/>
  <c r="B6216" i="106" s="1"/>
  <c r="D6216" i="106" s="1"/>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8" i="106" s="1"/>
  <c r="D5778"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7250" i="106" l="1"/>
  <c r="D7254" i="106"/>
  <c r="D7251" i="106"/>
  <c r="D7256" i="106"/>
  <c r="K28" i="118"/>
  <c r="O27" i="118" s="1"/>
  <c r="O29" i="118" s="1"/>
  <c r="L16" i="11"/>
  <c r="B2061" i="106" s="1"/>
  <c r="D2061" i="106" s="1"/>
  <c r="C151" i="29"/>
  <c r="B1226" i="106" s="1"/>
  <c r="D1226" i="106" s="1"/>
  <c r="F66" i="34"/>
  <c r="B1266" i="106"/>
  <c r="D1266" i="106" s="1"/>
  <c r="C367" i="29"/>
  <c r="B3622" i="106" s="1"/>
  <c r="D3622" i="106" s="1"/>
  <c r="G6" i="4"/>
  <c r="B2604" i="106" s="1"/>
  <c r="D2604" i="106" s="1"/>
  <c r="J151" i="29"/>
  <c r="B7052" i="106" s="1"/>
  <c r="D7052" i="106" s="1"/>
  <c r="B1381" i="106"/>
  <c r="D1381" i="106" s="1"/>
  <c r="H77" i="4"/>
  <c r="B3299" i="106" s="1"/>
  <c r="D3299" i="106" s="1"/>
  <c r="I7" i="4"/>
  <c r="B4444" i="106" s="1"/>
  <c r="D4444" i="106" s="1"/>
  <c r="B5770" i="106"/>
  <c r="D5770" i="106" s="1"/>
  <c r="L114" i="29"/>
  <c r="F41" i="108"/>
  <c r="G43" i="108" s="1"/>
  <c r="B5527" i="106"/>
  <c r="D5527" i="106" s="1"/>
  <c r="D51" i="36"/>
  <c r="D41" i="108"/>
  <c r="E43" i="108" s="1"/>
  <c r="J16" i="4"/>
  <c r="B6226" i="106" s="1"/>
  <c r="D6226" i="106" s="1"/>
  <c r="B1328" i="106"/>
  <c r="D1328" i="106" s="1"/>
  <c r="K77" i="4"/>
  <c r="B3587" i="106" s="1"/>
  <c r="D3587" i="106" s="1"/>
  <c r="I151" i="29"/>
  <c r="F59" i="34" s="1"/>
  <c r="B7235" i="106"/>
  <c r="D7235" i="106" s="1"/>
  <c r="B1365" i="106"/>
  <c r="D1365" i="106" s="1"/>
  <c r="F65" i="34"/>
  <c r="K342" i="29"/>
  <c r="F13" i="34" s="1"/>
  <c r="K365" i="29"/>
  <c r="K16" i="4" s="1"/>
  <c r="C114" i="29"/>
  <c r="B757" i="106" s="1"/>
  <c r="D757" i="106" s="1"/>
  <c r="N23" i="3"/>
  <c r="B284" i="106" s="1"/>
  <c r="D284" i="106" s="1"/>
  <c r="D44" i="36"/>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F24" i="37" l="1"/>
  <c r="B7243" i="106"/>
  <c r="D7243" i="106" s="1"/>
  <c r="B7051" i="106"/>
  <c r="D7051" i="106" s="1"/>
  <c r="B7224" i="106"/>
  <c r="D7224" i="106" s="1"/>
  <c r="K367" i="29"/>
  <c r="B3678" i="106" s="1"/>
  <c r="D3678" i="106" s="1"/>
  <c r="B1145" i="106"/>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K20" i="4" s="1"/>
  <c r="K368" i="29"/>
  <c r="B3681" i="106" s="1"/>
  <c r="D3681" i="106" s="1"/>
  <c r="J10" i="4"/>
  <c r="B6225" i="106" s="1"/>
  <c r="D6225" i="106" s="1"/>
  <c r="J20" i="4"/>
  <c r="B6230" i="106" s="1"/>
  <c r="D6230" i="106" s="1"/>
  <c r="B6227" i="106"/>
  <c r="D6227" i="106" s="1"/>
  <c r="F8" i="4"/>
  <c r="B2595" i="106" s="1"/>
  <c r="D259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K19" i="4"/>
  <c r="B4144" i="106" s="1"/>
  <c r="D4144" i="106" s="1"/>
  <c r="J78" i="4"/>
  <c r="J81" i="4" s="1"/>
  <c r="F10" i="4"/>
  <c r="B4125" i="106" s="1"/>
  <c r="D4125" i="106" s="1"/>
  <c r="D8" i="146"/>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F175" i="34" l="1"/>
  <c r="F79" i="34"/>
  <c r="F8" i="146"/>
  <c r="B6263" i="106"/>
  <c r="D6263" i="106" s="1"/>
  <c r="D78" i="4"/>
  <c r="D81" i="4" s="1"/>
  <c r="D10" i="146"/>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E78" i="4"/>
  <c r="B2636" i="106"/>
  <c r="D2636" i="106" s="1"/>
  <c r="D64" i="36"/>
  <c r="J82" i="4"/>
  <c r="B6266" i="106"/>
  <c r="D6266" i="106" s="1"/>
  <c r="F177" i="34" l="1"/>
  <c r="F179" i="34" s="1"/>
  <c r="F10" i="146"/>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O17" i="118" l="1"/>
  <c r="O20" i="118" s="1"/>
  <c r="O35" i="118" s="1"/>
  <c r="O37" i="118" s="1"/>
  <c r="K20" i="118"/>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<sst xmlns="http://schemas.openxmlformats.org/spreadsheetml/2006/main" count="5127" uniqueCount="2129">
  <si>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</si>
  <si>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</si>
  <si>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</si>
  <si>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</si>
  <si>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</si>
  <si>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</si>
  <si>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</si>
  <si>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</si>
  <si>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</si>
  <si>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</si>
  <si>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</si>
  <si>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</si>
  <si>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</si>
  <si>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</si>
  <si>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</si>
  <si>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</si>
  <si>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</si>
  <si>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</si>
  <si>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</si>
  <si>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</si>
  <si>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</si>
  <si>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</si>
  <si>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</si>
  <si>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</si>
  <si>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</si>
  <si>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</si>
  <si>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</si>
  <si>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</si>
  <si>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</si>
  <si>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</si>
  <si>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</si>
  <si>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</si>
  <si>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</si>
  <si>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</si>
  <si>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</si>
  <si>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</si>
  <si>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</si>
  <si>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</si>
  <si>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</si>
  <si>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</si>
  <si>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</si>
  <si>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</si>
  <si>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</si>
  <si>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</si>
  <si>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</si>
  <si>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</si>
  <si>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</si>
  <si>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</si>
  <si>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</si>
  <si>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</si>
  <si>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</si>
  <si>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</si>
  <si>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</si>
  <si>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</si>
  <si>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</si>
  <si>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</si>
  <si>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</si>
  <si>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</si>
  <si>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</si>
  <si>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</si>
  <si>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</si>
  <si>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</si>
  <si>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</si>
  <si>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</si>
  <si>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</si>
  <si>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</si>
  <si>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</si>
  <si>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</si>
  <si>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</si>
  <si>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</si>
  <si>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</si>
  <si>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</si>
  <si>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</si>
  <si>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</si>
  <si>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</si>
  <si>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</si>
  <si>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</si>
  <si>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</si>
  <si>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</si>
  <si>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</si>
  <si>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</si>
  <si>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</si>
  <si>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</si>
  <si>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</si>
  <si>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</si>
  <si>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</si>
  <si>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</si>
  <si>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</si>
  <si>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</si>
  <si>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</si>
  <si>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</si>
  <si>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</si>
  <si>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</si>
  <si>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</si>
  <si>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</si>
  <si>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</si>
  <si>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</si>
  <si>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</si>
  <si>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</si>
  <si>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</si>
  <si>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</si>
  <si>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</si>
  <si>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</si>
  <si>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</si>
  <si>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</si>
  <si>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</si>
  <si>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</si>
  <si>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</si>
  <si>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</si>
  <si>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</si>
  <si>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</si>
  <si>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</si>
  <si>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</si>
  <si>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</si>
  <si>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</si>
  <si>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</si>
  <si>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</si>
  <si>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</si>
  <si>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</si>
  <si>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</si>
  <si>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</si>
  <si>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</si>
  <si>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</si>
  <si>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</si>
  <si>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</si>
  <si>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</si>
  <si>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</si>
  <si>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</si>
  <si>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</si>
  <si>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</si>
  <si>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</si>
  <si>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</si>
  <si>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</si>
  <si>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</si>
  <si>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</si>
  <si>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</si>
  <si>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</si>
  <si>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</si>
  <si>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</si>
  <si>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</si>
  <si>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</si>
  <si>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</si>
  <si>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</si>
  <si>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</si>
  <si>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</si>
  <si>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</si>
  <si>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</si>
  <si>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</si>
  <si>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</si>
  <si>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</si>
  <si>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</si>
  <si>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</si>
  <si>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</si>
  <si>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</si>
  <si>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</si>
  <si>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</si>
  <si>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</si>
  <si>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</si>
  <si>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</si>
  <si>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</si>
  <si>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</si>
  <si>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</si>
  <si>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</si>
  <si>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</si>
  <si>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</si>
  <si>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</si>
  <si>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</si>
  <si>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</si>
  <si>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</si>
  <si>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</si>
  <si>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</si>
  <si>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</si>
  <si>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</si>
  <si>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</si>
  <si>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</si>
  <si>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</si>
  <si>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</si>
  <si>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</si>
  <si>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</si>
  <si>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</si>
  <si>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</si>
  <si>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</si>
  <si>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</si>
  <si>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</si>
  <si>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</si>
  <si>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</si>
  <si>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</si>
  <si>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</si>
  <si>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</si>
  <si>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</si>
  <si>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</si>
  <si>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</si>
  <si>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</si>
  <si>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</si>
  <si>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</si>
  <si>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</si>
  <si>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</si>
  <si>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</si>
  <si>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</si>
  <si>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</si>
  <si>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</si>
  <si>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</si>
  <si>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</si>
  <si>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</si>
  <si>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</si>
  <si>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</si>
  <si>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</si>
  <si>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</si>
  <si>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</si>
  <si>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</si>
  <si>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</si>
  <si>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</si>
  <si>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</si>
  <si>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</si>
  <si>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</si>
  <si>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</si>
  <si>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</si>
  <si>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</si>
  <si>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</si>
  <si>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</si>
  <si>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</si>
  <si>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</si>
  <si>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</si>
  <si>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</si>
  <si>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</si>
  <si>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</si>
  <si>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</si>
  <si>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</si>
  <si>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</si>
  <si>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</si>
  <si>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</si>
  <si>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</si>
  <si>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</si>
  <si>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</si>
  <si>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</si>
  <si>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</si>
  <si>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</si>
  <si>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</si>
  <si>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</si>
  <si>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</si>
  <si>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</si>
  <si>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</si>
  <si>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</si>
  <si>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</si>
  <si>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</si>
  <si>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</si>
  <si>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</si>
  <si>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</si>
  <si>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</si>
  <si>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</si>
  <si>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</si>
  <si>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</si>
  <si>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</si>
  <si>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</si>
  <si>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</si>
  <si>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</si>
  <si>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</si>
  <si>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</si>
  <si>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</si>
  <si>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</si>
  <si>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</si>
  <si>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</si>
  <si>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</si>
  <si>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</si>
  <si>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</si>
  <si>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</si>
  <si>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</si>
  <si>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</si>
  <si>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</si>
  <si>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</si>
  <si>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</si>
  <si>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</si>
  <si>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</si>
  <si>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</si>
  <si>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</si>
  <si>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</si>
  <si>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</si>
  <si>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</si>
  <si>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</si>
  <si>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</si>
  <si>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</si>
  <si>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</si>
  <si>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</si>
  <si>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</si>
  <si>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</si>
  <si>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</si>
  <si>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</si>
  <si>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</si>
  <si>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</si>
  <si>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</si>
  <si>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</si>
  <si>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</si>
  <si>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</si>
  <si>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</si>
  <si>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</si>
  <si>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</si>
  <si>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</si>
  <si>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</si>
  <si>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</si>
  <si>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</si>
  <si>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</si>
  <si>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</si>
  <si>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</si>
  <si>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</si>
  <si>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</si>
  <si>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</si>
  <si>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</si>
  <si>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</si>
  <si>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</si>
  <si>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</si>
  <si>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</si>
  <si>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</si>
  <si>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</si>
  <si>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</si>
  <si>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</si>
  <si>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</si>
  <si>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</si>
  <si>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</si>
  <si>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</si>
  <si>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</si>
  <si>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</si>
  <si>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</si>
  <si>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</si>
  <si>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</si>
  <si>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</si>
  <si>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</si>
  <si>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</si>
  <si>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</si>
  <si>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</si>
  <si>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</si>
  <si>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</si>
  <si>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</si>
  <si>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</si>
  <si>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</si>
  <si>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</si>
  <si>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</si>
  <si>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</si>
  <si>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</si>
  <si>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</si>
  <si>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</si>
  <si>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</si>
  <si>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</si>
  <si>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</si>
  <si>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</si>
  <si>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</si>
  <si>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</si>
  <si>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</si>
  <si>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</si>
  <si>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</si>
  <si>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</si>
  <si>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</si>
  <si>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</si>
  <si>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</si>
  <si>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</si>
  <si>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</si>
  <si>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</si>
  <si>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</si>
  <si>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</si>
  <si>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</si>
  <si>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</si>
  <si>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</si>
  <si>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</si>
  <si>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</si>
  <si>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</si>
  <si>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</si>
  <si>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</si>
  <si>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</si>
  <si>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</si>
  <si>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</si>
  <si>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</si>
  <si>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</si>
  <si>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</si>
  <si>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</si>
  <si>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</si>
  <si>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</si>
  <si>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</si>
  <si>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</si>
  <si>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</si>
  <si>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</si>
  <si>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</si>
  <si>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</si>
  <si>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</si>
  <si>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</si>
  <si>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</si>
  <si>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</si>
  <si>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</si>
  <si>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</si>
  <si>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</si>
  <si>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</si>
  <si>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</si>
  <si>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</si>
  <si>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</si>
  <si>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</si>
  <si>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</si>
  <si>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</si>
  <si>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</si>
  <si>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</si>
  <si>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</si>
  <si>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</si>
  <si>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</si>
  <si>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</si>
  <si>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</si>
  <si>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</si>
  <si>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</si>
  <si>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</si>
  <si>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</si>
  <si>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</si>
  <si>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</si>
  <si>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</si>
  <si>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</si>
  <si>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</si>
  <si>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</si>
  <si>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</si>
  <si>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</si>
  <si>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</si>
  <si>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</si>
  <si>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</si>
  <si>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</si>
  <si>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</si>
  <si>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</si>
  <si>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</si>
  <si>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</si>
  <si>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</si>
  <si>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</si>
  <si>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</si>
  <si>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</si>
  <si>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</si>
  <si>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</si>
  <si>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</si>
  <si>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</si>
  <si>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</si>
  <si>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</si>
  <si>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</si>
  <si>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</si>
  <si>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</si>
  <si>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</si>
  <si>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</si>
  <si>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</si>
  <si>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</si>
  <si>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</si>
  <si>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</si>
  <si>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</si>
  <si>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</si>
  <si>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</si>
  <si>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</si>
  <si>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</si>
  <si>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</si>
  <si>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</si>
  <si>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</si>
  <si>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</si>
  <si>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</si>
  <si>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</si>
  <si>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</si>
  <si>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</si>
  <si>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</si>
  <si>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</si>
  <si>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</si>
  <si>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</si>
  <si>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</si>
  <si>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</si>
  <si>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</si>
  <si>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</si>
  <si>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</si>
  <si>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</si>
  <si>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</si>
  <si>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</si>
  <si>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</si>
  <si>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</si>
  <si>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</si>
  <si>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</si>
  <si>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</si>
  <si>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</si>
  <si>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</si>
  <si>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</si>
  <si>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</si>
  <si>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</si>
  <si>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</si>
  <si>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</si>
  <si>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</si>
  <si>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</si>
  <si>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</si>
  <si>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</si>
  <si>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</si>
  <si>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</si>
  <si>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</si>
  <si>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</si>
  <si>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</si>
  <si>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</si>
  <si>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</si>
  <si>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</si>
  <si>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</si>
  <si>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</si>
  <si>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</si>
  <si>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</si>
  <si>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</si>
  <si>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</si>
  <si>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</si>
  <si>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</si>
  <si>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</si>
  <si>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</si>
  <si>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</si>
  <si>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</si>
  <si>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</si>
  <si>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</si>
  <si>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</si>
  <si>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</si>
  <si>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</si>
  <si>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</si>
  <si>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</si>
  <si>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</si>
  <si>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</si>
  <si>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</si>
  <si>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</si>
  <si>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</si>
  <si>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</si>
  <si>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</si>
  <si>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</si>
  <si>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</si>
  <si>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</si>
  <si>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</si>
  <si>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</si>
  <si>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</si>
  <si>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</si>
  <si>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</si>
  <si>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</si>
  <si>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</si>
  <si>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</si>
  <si>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</si>
  <si>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</si>
  <si>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</si>
  <si>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</si>
  <si>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</si>
  <si>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</si>
  <si>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</si>
  <si>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</si>
  <si>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</si>
  <si>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</si>
  <si>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</si>
  <si>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</si>
  <si>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</si>
  <si>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</si>
  <si>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</si>
  <si>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</si>
  <si>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</si>
  <si>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</si>
  <si>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</si>
  <si>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</si>
  <si>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</si>
  <si>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</si>
  <si>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</si>
  <si>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</si>
  <si>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</si>
  <si>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</si>
  <si>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</si>
  <si>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</si>
  <si>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</si>
  <si>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</si>
  <si>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</si>
  <si>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</si>
  <si>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</si>
  <si>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</si>
  <si>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</si>
  <si>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</si>
  <si>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</si>
  <si>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</si>
  <si>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</si>
  <si>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</si>
  <si>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</si>
  <si>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</si>
  <si>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</si>
  <si>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</si>
  <si>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</si>
  <si>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</si>
  <si>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</si>
  <si>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</si>
  <si>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</si>
  <si>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</si>
  <si>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</si>
  <si>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</si>
  <si>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</si>
  <si>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</si>
  <si>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</si>
  <si>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</si>
  <si>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</si>
  <si>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</si>
  <si>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</si>
  <si>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</si>
  <si>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</si>
  <si>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</si>
  <si>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</si>
  <si>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</si>
  <si>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</si>
  <si>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</si>
  <si>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</si>
  <si>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</si>
  <si>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</si>
  <si>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</si>
  <si>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</si>
  <si>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</si>
  <si>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</si>
  <si>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</si>
  <si>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</si>
  <si>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</si>
  <si>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</si>
  <si>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</si>
  <si>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</si>
  <si>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</si>
  <si>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</si>
  <si>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</si>
  <si>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</si>
  <si>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</si>
  <si>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</si>
  <si>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</si>
  <si>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</si>
  <si>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</si>
  <si>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</si>
  <si>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</si>
  <si>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</si>
  <si>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</si>
  <si>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</si>
  <si>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</si>
  <si>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</si>
  <si>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</si>
  <si>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</si>
  <si>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</si>
  <si>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</si>
  <si>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</si>
  <si>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</si>
  <si>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</si>
  <si>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</si>
  <si>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</si>
  <si>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</si>
  <si>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</si>
  <si>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</si>
  <si>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</si>
  <si>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</si>
  <si>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</si>
  <si>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</si>
  <si>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</si>
  <si>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</si>
  <si>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</si>
  <si>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</si>
  <si>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</si>
  <si>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</si>
  <si>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</si>
  <si>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</si>
  <si>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</si>
  <si>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</si>
  <si>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</si>
  <si>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</si>
  <si>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</si>
  <si>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</si>
  <si>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</si>
  <si>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</si>
  <si>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</si>
  <si>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</si>
  <si>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</si>
  <si>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</si>
  <si>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</si>
  <si>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</si>
  <si>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</si>
  <si>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</si>
  <si>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</si>
  <si>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</si>
  <si>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</si>
  <si>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</si>
  <si>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</si>
  <si>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</si>
  <si>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</si>
  <si>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</si>
  <si>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</si>
  <si>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</si>
  <si>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</si>
  <si>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</si>
  <si>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</si>
  <si>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</si>
  <si>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</si>
  <si>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</si>
  <si>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</si>
  <si>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</si>
  <si>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</si>
  <si>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</si>
  <si>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</si>
  <si>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</si>
  <si>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</si>
  <si>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</si>
  <si>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</si>
  <si>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</si>
  <si>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</si>
  <si>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</si>
  <si>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</si>
  <si>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</si>
  <si>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</si>
  <si>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</si>
  <si>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</si>
  <si>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</si>
  <si>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</si>
  <si>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</si>
  <si>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</si>
  <si>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</si>
  <si>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</si>
  <si>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</si>
  <si>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</si>
  <si>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</si>
  <si>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</si>
  <si>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</si>
  <si>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</si>
  <si>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</si>
  <si>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</si>
  <si>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</si>
  <si>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</si>
  <si>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</si>
  <si>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</si>
  <si>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</si>
  <si>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</si>
  <si>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</si>
  <si>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</si>
  <si>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</si>
  <si>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</si>
  <si>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</si>
  <si>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</si>
  <si>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</si>
  <si>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</si>
  <si>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</si>
  <si>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</si>
  <si>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</si>
  <si>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</si>
  <si>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</si>
  <si>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</si>
  <si>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</si>
  <si>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</si>
  <si>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</si>
  <si>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</si>
  <si>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</si>
  <si>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</si>
  <si>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</si>
  <si>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</si>
  <si>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</si>
  <si>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</si>
  <si>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</si>
  <si>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</si>
  <si>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</si>
  <si>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</si>
  <si>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</si>
  <si>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</si>
  <si>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</si>
  <si>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</si>
  <si>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</si>
  <si>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</si>
  <si>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</si>
  <si>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</si>
  <si>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</si>
  <si>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</si>
  <si>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</si>
  <si>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</si>
  <si>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</si>
  <si>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</si>
  <si>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</si>
  <si>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</si>
  <si>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</si>
  <si>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</si>
  <si>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</si>
  <si>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</si>
  <si>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</si>
  <si>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</si>
  <si>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</si>
  <si>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</si>
  <si>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</si>
  <si>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</si>
  <si>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</si>
  <si>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</si>
  <si>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</si>
  <si>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</si>
  <si>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</si>
  <si>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</si>
  <si>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</si>
  <si>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</si>
  <si>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</si>
  <si>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</si>
  <si>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</si>
  <si>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</si>
  <si>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</si>
  <si>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</si>
  <si>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</si>
  <si>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</si>
  <si>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</si>
  <si>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</si>
  <si>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</si>
  <si>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</si>
  <si>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</si>
  <si>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</si>
  <si>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</si>
  <si>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</si>
  <si>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</si>
  <si>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</si>
  <si>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</si>
  <si>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</si>
  <si>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</si>
  <si>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</si>
  <si>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</si>
  <si>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</si>
  <si>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</si>
  <si>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</si>
  <si>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</si>
  <si>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</si>
  <si>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</si>
  <si>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</si>
  <si>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</si>
  <si>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</si>
  <si>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</si>
  <si>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</si>
  <si>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</si>
  <si>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</si>
  <si>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</si>
  <si>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</si>
  <si>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</si>
  <si>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</si>
  <si>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</si>
  <si>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</si>
  <si>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</si>
  <si>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</si>
  <si>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</si>
  <si>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</si>
  <si>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</si>
  <si>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</si>
  <si>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</si>
  <si>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</si>
  <si>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</si>
  <si>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</si>
  <si>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</si>
  <si>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</si>
  <si>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</si>
  <si>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</si>
  <si>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</si>
  <si>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</si>
  <si>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</si>
  <si>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</si>
  <si>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</si>
  <si>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</si>
  <si>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</si>
  <si>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</si>
  <si>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</si>
  <si>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</si>
  <si>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</si>
  <si>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</si>
  <si>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</si>
  <si>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</si>
  <si>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</si>
  <si>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</si>
  <si>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</si>
  <si>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</si>
  <si>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</si>
  <si>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</si>
  <si>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</si>
  <si>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</si>
  <si>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</si>
  <si>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</si>
  <si>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</si>
  <si>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</si>
  <si>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</si>
  <si>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</si>
  <si>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</si>
  <si>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</si>
  <si>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</si>
  <si>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</si>
  <si>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</si>
  <si>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</si>
  <si>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</si>
  <si>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</si>
  <si>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</si>
  <si>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</si>
  <si>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</si>
  <si>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</si>
  <si>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</si>
  <si>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</si>
  <si>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</si>
  <si>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</si>
  <si>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</si>
  <si>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</si>
  <si>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</si>
  <si>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</si>
  <si>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</si>
  <si>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</si>
  <si>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</si>
  <si>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</si>
  <si>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</si>
  <si>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</si>
  <si>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</si>
  <si>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</si>
  <si>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</si>
  <si>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</si>
  <si>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</si>
  <si>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</si>
  <si>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</si>
  <si>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</si>
  <si>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</si>
  <si>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</si>
  <si>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</si>
  <si>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</si>
  <si>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</si>
  <si>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</si>
  <si>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</si>
  <si>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</si>
  <si>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</si>
  <si>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</si>
  <si>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</si>
  <si>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</si>
  <si>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</si>
  <si>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</si>
  <si>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</si>
  <si>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</si>
  <si>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</si>
  <si>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</si>
  <si>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</si>
  <si>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</si>
  <si>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</si>
  <si>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</si>
  <si>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</si>
  <si>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</si>
  <si>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</si>
  <si>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</si>
  <si>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</si>
  <si>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</si>
  <si>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</si>
  <si>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</si>
  <si>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</si>
  <si>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</si>
  <si>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</si>
  <si>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</si>
  <si>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</si>
  <si>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</si>
  <si>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</si>
  <si>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</si>
  <si>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</si>
  <si>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</si>
  <si>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</si>
  <si>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</si>
  <si>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</si>
  <si>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</si>
  <si>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</si>
  <si>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</si>
  <si>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</si>
  <si>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</si>
  <si>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</si>
  <si>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</si>
  <si>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</si>
  <si>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</si>
  <si>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</si>
  <si>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</si>
  <si>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</si>
  <si>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</si>
  <si>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</si>
  <si>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</si>
  <si>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</si>
  <si>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</si>
  <si>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</si>
  <si>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</si>
  <si>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</si>
  <si>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</si>
  <si>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</si>
  <si>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</si>
  <si>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</si>
  <si>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</si>
  <si>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</si>
  <si>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</si>
  <si>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</si>
  <si>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</si>
  <si>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</si>
  <si>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</si>
  <si>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</si>
  <si>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</si>
  <si>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</si>
  <si>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</si>
  <si>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</si>
  <si>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</si>
  <si>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</si>
  <si>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</si>
  <si>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</si>
  <si>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</si>
  <si>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</si>
  <si>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</si>
  <si>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</si>
  <si>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</si>
  <si>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</si>
  <si>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</si>
  <si>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</si>
  <si>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</si>
  <si>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</si>
  <si>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</si>
  <si>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</si>
  <si>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</si>
  <si>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</si>
  <si>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</si>
  <si>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</si>
  <si>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</si>
  <si>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</si>
  <si>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</si>
  <si>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</si>
  <si>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</si>
  <si>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</si>
  <si>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</si>
  <si>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</si>
  <si>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</si>
  <si>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</si>
  <si>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</si>
  <si>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</si>
  <si>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</si>
  <si>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</si>
  <si>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</si>
  <si>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</si>
  <si>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</si>
  <si>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</si>
  <si>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</si>
  <si>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</si>
  <si>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</si>
  <si>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</si>
  <si>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</si>
  <si>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</si>
  <si>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</si>
  <si>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</si>
  <si>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</si>
  <si>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</si>
  <si>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</si>
  <si>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</si>
  <si>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</si>
  <si>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</si>
  <si>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</si>
  <si>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</si>
  <si>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</si>
  <si>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</si>
  <si>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</si>
  <si>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</si>
  <si>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</si>
  <si>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</si>
  <si>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</si>
  <si>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</si>
  <si>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</si>
  <si>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</si>
  <si>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</si>
  <si>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</si>
  <si>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</si>
  <si>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</si>
  <si>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</si>
  <si>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</si>
  <si>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</si>
  <si>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</si>
  <si>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</si>
  <si>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</si>
  <si>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</si>
  <si>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</si>
  <si>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</si>
  <si>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</si>
  <si>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</si>
  <si>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</si>
  <si>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</si>
  <si>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</si>
  <si>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</si>
  <si>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</si>
  <si>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</si>
  <si>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</si>
  <si>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</si>
  <si>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</si>
  <si>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</si>
  <si>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</si>
  <si>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</si>
  <si>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</si>
  <si>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</si>
  <si>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</si>
  <si>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</si>
  <si>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</si>
  <si>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</si>
  <si>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</si>
  <si>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</si>
  <si>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</si>
  <si>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</si>
  <si>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</si>
  <si>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</si>
  <si>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</si>
  <si>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</si>
  <si>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</si>
  <si>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</si>
  <si>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</si>
  <si>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</si>
  <si>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</si>
  <si>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</si>
  <si>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</si>
  <si>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</si>
  <si>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</si>
  <si>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</si>
  <si>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</si>
  <si>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</si>
  <si>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</si>
  <si>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</si>
  <si>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</si>
  <si>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</si>
  <si>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</si>
  <si>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</si>
  <si>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</si>
  <si>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</si>
  <si>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</si>
  <si>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</si>
  <si>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</si>
  <si>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</si>
  <si>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</si>
  <si>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</si>
  <si>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</si>
  <si>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</si>
  <si>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</si>
  <si>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</si>
  <si>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</si>
  <si>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</si>
  <si>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</si>
  <si>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</si>
  <si>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</si>
  <si>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</si>
  <si>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</si>
  <si>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</si>
  <si>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</si>
  <si>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</si>
  <si>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</si>
  <si>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</si>
  <si>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</si>
  <si>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</si>
  <si>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</si>
  <si>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</si>
  <si>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</si>
  <si>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</si>
  <si>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</si>
  <si>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</si>
  <si>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</si>
  <si>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</si>
  <si>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</si>
  <si>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</si>
  <si>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</si>
  <si>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</si>
  <si>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</si>
  <si>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</si>
  <si>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</si>
  <si>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</si>
  <si>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</si>
  <si>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</si>
  <si>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</si>
  <si>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</si>
  <si>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</si>
  <si>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</si>
  <si>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</si>
  <si>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</si>
  <si>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</si>
  <si>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</si>
  <si>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</si>
  <si>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</si>
  <si>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</si>
  <si>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</si>
  <si>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</si>
  <si>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</si>
  <si>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</si>
  <si>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</si>
  <si>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</si>
  <si>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</si>
  <si>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</si>
  <si>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</si>
  <si>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</si>
  <si>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</si>
  <si>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</si>
  <si>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</si>
  <si>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</si>
  <si>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</si>
  <si>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</si>
  <si>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</si>
  <si>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</si>
  <si>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</si>
  <si>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</si>
  <si>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</si>
  <si>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</si>
  <si>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</si>
  <si>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</si>
  <si>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</si>
  <si>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</si>
  <si>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</si>
  <si>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</si>
  <si>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</si>
  <si>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</si>
  <si>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</si>
  <si>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</si>
  <si>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</si>
  <si>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</si>
  <si>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</si>
  <si>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</si>
  <si>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</si>
  <si>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</si>
  <si>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</si>
  <si>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</si>
  <si>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</si>
  <si>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</si>
  <si>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</si>
  <si>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</si>
  <si>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</si>
  <si>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</si>
  <si>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</si>
  <si>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</si>
  <si>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</si>
  <si>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</si>
  <si>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</si>
  <si>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</si>
  <si>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</si>
  <si>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</si>
  <si>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</si>
  <si>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</si>
  <si>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</si>
  <si>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</si>
  <si>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</si>
  <si>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</si>
  <si>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</si>
  <si>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</si>
  <si>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</si>
  <si>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</si>
  <si>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</si>
  <si>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</si>
  <si>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</si>
  <si>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</si>
  <si>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</si>
  <si>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</si>
  <si>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</si>
  <si>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</si>
  <si>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</si>
  <si>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</si>
  <si>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</si>
  <si>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</si>
  <si>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</si>
  <si>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</si>
  <si>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</si>
  <si>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</si>
  <si>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</si>
  <si>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</si>
  <si>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</si>
  <si>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</si>
  <si>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</si>
  <si>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</si>
  <si>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</si>
  <si>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</si>
  <si>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</si>
  <si>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</si>
  <si>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</si>
  <si>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</si>
  <si>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</si>
  <si>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</si>
  <si>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</si>
  <si>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</si>
  <si>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</si>
  <si>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</si>
  <si>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</si>
  <si>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</si>
  <si>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</si>
  <si>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</si>
  <si>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</si>
  <si>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</si>
  <si>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</si>
  <si>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</si>
  <si>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</si>
  <si>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</si>
  <si>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</si>
  <si>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</si>
  <si>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</si>
  <si>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</si>
  <si>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</si>
  <si>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</si>
  <si>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</si>
  <si>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</si>
  <si>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</si>
  <si>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</si>
  <si>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</si>
  <si>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</si>
  <si>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</si>
  <si>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</si>
  <si>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</si>
  <si>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</si>
  <si>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</si>
  <si>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</si>
  <si>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</si>
  <si>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</si>
  <si>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</si>
  <si>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</si>
  <si>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</si>
  <si>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</si>
  <si>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</si>
  <si>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</si>
  <si>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</si>
  <si>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</si>
  <si>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</si>
  <si>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</si>
  <si>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</si>
  <si>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</si>
  <si>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</si>
  <si>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</si>
  <si>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</si>
  <si>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</si>
  <si>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</si>
  <si>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</si>
  <si>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</si>
  <si>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</si>
  <si>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</si>
  <si>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</si>
  <si>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</si>
  <si>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</si>
  <si>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</si>
  <si>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</si>
  <si>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</si>
  <si>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</si>
  <si>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</si>
  <si>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</si>
  <si>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</si>
  <si>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</si>
  <si>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</si>
  <si>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</si>
  <si>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</si>
  <si>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</si>
  <si>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</si>
  <si>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</si>
  <si>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</si>
  <si>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</si>
  <si>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</si>
  <si>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</si>
  <si>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</si>
  <si>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</si>
  <si>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</si>
  <si>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</si>
  <si>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</si>
  <si>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</si>
  <si>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</si>
  <si>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</si>
  <si>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</si>
  <si>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</si>
  <si>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</si>
  <si>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</si>
  <si>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</si>
  <si>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</si>
  <si>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</si>
  <si>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</si>
  <si>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</si>
  <si>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</si>
  <si>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</si>
  <si>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</si>
  <si>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</si>
  <si>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</si>
  <si>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</si>
  <si>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</si>
  <si>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</si>
  <si>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</si>
  <si>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</si>
  <si>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</si>
  <si>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</si>
  <si>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</si>
  <si>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</si>
  <si>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</si>
  <si>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</si>
  <si>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</si>
  <si>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</si>
  <si>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</si>
  <si>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</si>
  <si>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</si>
  <si>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</si>
  <si>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</si>
  <si>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</si>
  <si>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</si>
  <si>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</si>
  <si>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</si>
  <si>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</si>
  <si>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</si>
  <si>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</si>
  <si>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</si>
  <si>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</si>
  <si>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</si>
  <si>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</si>
  <si>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</si>
  <si>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</si>
  <si>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</si>
  <si>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</si>
  <si>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</si>
  <si>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</si>
  <si>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</si>
  <si>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</si>
  <si>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</si>
  <si>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</si>
  <si>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</si>
  <si>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</si>
  <si>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</si>
  <si>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</si>
  <si>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</si>
  <si>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</si>
  <si>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</si>
  <si>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</si>
  <si>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</si>
  <si>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</si>
  <si>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</si>
  <si>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</si>
  <si>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</si>
  <si>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</si>
  <si>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</si>
  <si>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</si>
  <si>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</si>
  <si>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</si>
  <si>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</si>
  <si>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</si>
  <si>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</si>
  <si>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</si>
  <si>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</si>
  <si>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</si>
  <si>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</si>
  <si>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</si>
  <si>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</si>
  <si>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</si>
  <si>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</si>
  <si>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</si>
  <si>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</si>
  <si>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</si>
  <si>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</si>
  <si>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</si>
  <si>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</si>
  <si>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</si>
  <si>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</si>
  <si>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</si>
  <si>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</si>
  <si>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</si>
  <si>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</si>
  <si>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</si>
  <si>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</si>
  <si>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</si>
  <si>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</si>
  <si>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</si>
  <si>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</si>
  <si>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</si>
  <si>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</si>
  <si>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</si>
  <si>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</si>
  <si>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</si>
  <si>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</si>
  <si>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</si>
  <si>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</si>
  <si>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</si>
  <si>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</si>
  <si>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</si>
  <si>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</si>
  <si>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</si>
  <si>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</si>
  <si>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</si>
  <si>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</si>
  <si>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</si>
  <si>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</si>
  <si>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</si>
  <si>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</si>
  <si>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</si>
  <si>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</si>
  <si>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</si>
  <si>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</si>
  <si>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</si>
  <si>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</si>
  <si>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</si>
  <si>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</si>
  <si>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</si>
  <si>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</si>
  <si>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</si>
  <si>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</si>
  <si>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</si>
  <si>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</si>
  <si>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</si>
  <si>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</si>
  <si>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</si>
  <si>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</si>
  <si>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</si>
  <si>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</si>
  <si>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</si>
  <si>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</si>
  <si>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</si>
  <si>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</si>
  <si>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</si>
  <si>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</si>
  <si>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</si>
  <si>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</si>
  <si>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</si>
  <si>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</si>
  <si>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</si>
  <si>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</si>
  <si>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</si>
  <si>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</si>
  <si>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</si>
  <si>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</si>
  <si>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</si>
  <si>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</si>
  <si>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</si>
  <si>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</si>
  <si>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</si>
  <si>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</si>
  <si>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</si>
  <si>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</si>
  <si>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</si>
  <si>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</si>
  <si>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</si>
  <si>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</si>
  <si>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</si>
  <si>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</si>
  <si>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</si>
  <si>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</si>
  <si>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</si>
  <si>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</si>
  <si>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</si>
  <si>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</si>
  <si>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</si>
  <si>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</si>
  <si>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</si>
  <si>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</si>
  <si>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</si>
  <si>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</si>
  <si>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</si>
  <si>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</si>
  <si>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</si>
  <si>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</si>
  <si>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</si>
  <si>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</si>
  <si>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</si>
  <si>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</si>
  <si>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</si>
  <si>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</si>
  <si>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</si>
  <si>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</si>
  <si>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</si>
  <si>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</si>
  <si>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</si>
  <si>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</si>
  <si>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</si>
  <si>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</si>
  <si>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</si>
  <si>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</si>
  <si>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</si>
  <si>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</si>
  <si>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</si>
  <si>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</si>
  <si>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</si>
  <si>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</si>
  <si>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</si>
  <si>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</si>
  <si>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</si>
  <si>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</si>
  <si>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</si>
  <si>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</si>
  <si>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</si>
  <si>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</si>
  <si>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</si>
  <si>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</si>
  <si>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</si>
  <si>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</si>
  <si>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</si>
  <si>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</si>
  <si>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</si>
  <si>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</si>
  <si>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</si>
  <si>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</si>
  <si>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</si>
  <si>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</si>
  <si>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</si>
  <si>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</si>
  <si>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</si>
  <si>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</si>
  <si>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</si>
  <si>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</si>
  <si>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</si>
  <si>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</si>
  <si>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</si>
  <si>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</si>
  <si>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</si>
  <si>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</si>
  <si>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</si>
  <si>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</si>
  <si>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</si>
  <si>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</si>
  <si>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</si>
  <si>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</si>
  <si>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</si>
  <si>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</si>
  <si>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</si>
  <si>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</si>
  <si>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</si>
  <si>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</si>
  <si>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</si>
  <si>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</si>
  <si>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</si>
  <si>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</si>
  <si>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</si>
  <si>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</si>
  <si>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</si>
  <si>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</si>
  <si>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</si>
  <si>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</si>
  <si>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</si>
  <si>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</si>
  <si>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</si>
  <si>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</si>
  <si>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</si>
  <si>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</si>
  <si>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</si>
  <si>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</si>
  <si>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</si>
  <si>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</si>
  <si>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</si>
  <si>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</si>
  <si>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</si>
  <si>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</si>
  <si>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</si>
  <si>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</si>
  <si>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</si>
  <si>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</si>
  <si>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</si>
  <si>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</si>
  <si>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</si>
  <si>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</si>
  <si>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</si>
  <si>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</si>
  <si>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</si>
  <si>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</si>
  <si>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</si>
  <si>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</si>
  <si>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</si>
  <si>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</si>
  <si>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</si>
  <si>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</si>
  <si>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</si>
  <si>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</si>
  <si>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</si>
  <si>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</si>
  <si>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</si>
  <si>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</si>
  <si>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</si>
  <si>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</si>
  <si>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</si>
  <si>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</si>
  <si>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</si>
  <si>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</si>
  <si>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</si>
  <si>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</si>
  <si>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</si>
  <si>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</si>
  <si>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</si>
  <si>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</si>
  <si>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</si>
  <si>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</si>
  <si>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</si>
  <si>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</si>
  <si>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</si>
  <si>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</si>
  <si>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</si>
  <si>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</si>
  <si>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</si>
  <si>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</si>
  <si>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</si>
  <si>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</si>
  <si>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</si>
  <si>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</si>
  <si>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</si>
  <si>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</si>
  <si>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</si>
  <si>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</si>
  <si>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</si>
  <si>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</si>
  <si>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</si>
  <si>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</si>
  <si>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</si>
  <si>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</si>
  <si>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</si>
  <si>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</si>
  <si>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</si>
  <si>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</si>
  <si>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</si>
  <si>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</si>
  <si>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</si>
  <si>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</si>
  <si>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</si>
  <si>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</si>
  <si>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</si>
  <si>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</si>
  <si>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</si>
  <si>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</si>
  <si>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</si>
  <si>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</si>
  <si>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</si>
  <si>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</si>
  <si>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</si>
  <si>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</si>
  <si>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</si>
  <si>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</si>
  <si>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</si>
  <si>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</si>
  <si>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</si>
  <si>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</si>
  <si>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</si>
  <si>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</si>
  <si>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</si>
  <si>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</si>
  <si>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</si>
  <si>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</si>
  <si>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</si>
  <si>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</si>
  <si>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</si>
  <si>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</si>
  <si>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</si>
  <si>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</si>
  <si>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</si>
  <si>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</si>
  <si>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</si>
  <si>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</si>
  <si>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</si>
  <si>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</si>
  <si>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</si>
  <si>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</si>
  <si>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</si>
  <si>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</si>
  <si>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</si>
  <si>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</si>
  <si>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</si>
  <si>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</si>
  <si>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</si>
  <si>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</si>
  <si>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</si>
  <si>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</si>
  <si>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</si>
  <si>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</si>
  <si>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</si>
  <si>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</si>
  <si>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</si>
  <si>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</si>
  <si>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</si>
  <si>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</si>
  <si>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</si>
  <si>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</si>
  <si>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</si>
  <si>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</si>
  <si>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</si>
  <si>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</si>
  <si>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</si>
  <si>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</si>
  <si>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</si>
  <si>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</si>
  <si>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</si>
  <si>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</si>
  <si>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</si>
  <si>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</si>
  <si>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</si>
  <si>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</si>
  <si>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</si>
  <si>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</si>
  <si>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</si>
  <si>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</si>
  <si>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</si>
  <si>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</si>
  <si>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</si>
  <si>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</si>
  <si>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</si>
  <si>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</si>
  <si>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</si>
  <si>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</si>
  <si>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</si>
  <si>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</si>
  <si>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</si>
  <si>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</si>
  <si>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</si>
  <si>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</si>
  <si>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</si>
  <si>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</si>
  <si>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</si>
  <si>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</si>
  <si>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</si>
  <si>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</si>
  <si>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</si>
  <si>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</si>
  <si>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</si>
  <si>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</si>
  <si>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</si>
  <si>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</si>
  <si>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</si>
  <si>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</si>
  <si>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</si>
  <si>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</si>
  <si>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</si>
  <si>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</si>
  <si>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</si>
  <si>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</si>
  <si>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</si>
  <si>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</si>
  <si>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</si>
  <si>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</si>
  <si>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</si>
  <si>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</si>
  <si>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</si>
  <si>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</si>
  <si>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</si>
  <si>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</si>
  <si>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</si>
  <si>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</si>
  <si>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</si>
  <si>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</si>
  <si>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</si>
  <si>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</si>
  <si>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</si>
  <si>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</si>
  <si>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</si>
  <si>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</si>
  <si>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</si>
  <si>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</si>
  <si>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</si>
  <si>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</si>
  <si>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</si>
  <si>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</si>
  <si>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</si>
  <si>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</si>
  <si>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</si>
  <si>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</si>
  <si>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</si>
  <si>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</si>
  <si>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</si>
  <si>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</si>
  <si>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</si>
  <si>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</si>
  <si>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</si>
  <si>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</si>
  <si>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</si>
  <si>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</si>
  <si>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</si>
  <si>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</si>
  <si>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</si>
  <si>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</si>
  <si>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</si>
  <si>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</si>
  <si>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</si>
  <si>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</si>
  <si>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</si>
  <si>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</si>
  <si>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</si>
  <si>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</si>
  <si>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</si>
  <si>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</si>
  <si>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</si>
  <si>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</si>
  <si>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</si>
  <si>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</si>
  <si>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</si>
  <si>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</si>
  <si>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</si>
  <si>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</si>
  <si>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</si>
  <si>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</si>
  <si>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</si>
  <si>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</si>
  <si>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</si>
  <si>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</si>
  <si>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</si>
  <si>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</si>
  <si>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</si>
  <si>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</si>
  <si>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</si>
  <si>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</si>
  <si>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</si>
  <si>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</si>
  <si>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</si>
  <si>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</si>
  <si>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</si>
  <si>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</si>
  <si>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</si>
  <si>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</si>
  <si>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</si>
  <si>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</si>
  <si>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</si>
  <si>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</si>
  <si>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</si>
  <si>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</si>
  <si>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</si>
  <si>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</si>
  <si>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</si>
  <si>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</si>
  <si>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</si>
  <si>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</si>
  <si>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</si>
  <si>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</si>
  <si>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</si>
  <si>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</si>
  <si>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</si>
  <si>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</si>
  <si>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</si>
  <si>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</si>
  <si>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</si>
  <si>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</si>
  <si>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</si>
  <si>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</si>
  <si>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</si>
  <si>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</si>
  <si>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</si>
  <si>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</si>
  <si>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</si>
  <si>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</si>
  <si>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</si>
  <si>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</si>
  <si>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</si>
  <si>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</si>
  <si>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</si>
  <si>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</si>
  <si>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</si>
  <si>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</si>
  <si>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</si>
  <si>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</si>
  <si>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</si>
  <si>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</si>
  <si>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</si>
  <si>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</si>
  <si>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</si>
  <si>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</si>
  <si>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</si>
  <si>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</si>
  <si>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</si>
  <si>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</si>
  <si>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</si>
  <si>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</si>
  <si>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</si>
  <si>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</si>
  <si>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</si>
  <si>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</si>
  <si>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</si>
  <si>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</si>
  <si>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</si>
  <si>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</si>
  <si>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</si>
  <si>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</si>
  <si>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</si>
  <si>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</si>
  <si>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</si>
  <si>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</si>
  <si>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</si>
  <si>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</si>
  <si>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</si>
  <si>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</si>
  <si>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</si>
  <si>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</si>
  <si>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</si>
  <si>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</si>
  <si>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</si>
  <si>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</si>
  <si>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</si>
  <si>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</si>
  <si>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</si>
  <si>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</si>
  <si>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</si>
  <si>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</si>
  <si>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</si>
  <si>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</si>
  <si>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</si>
  <si>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</si>
  <si>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</si>
  <si>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</si>
  <si>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</si>
  <si>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</si>
  <si>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</si>
  <si>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</si>
  <si>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</si>
  <si>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</si>
  <si>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</si>
  <si>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</si>
  <si>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</si>
  <si>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</si>
  <si>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</si>
  <si>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</si>
  <si>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</si>
  <si>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</si>
  <si>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</si>
  <si>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</si>
  <si>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</si>
  <si>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</si>
  <si>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</si>
  <si>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</si>
  <si>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</si>
  <si>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</si>
  <si>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</si>
  <si>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</si>
  <si>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</si>
  <si>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</si>
  <si>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</si>
  <si>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</si>
  <si>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</si>
  <si>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</si>
  <si>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</si>
  <si>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</si>
  <si>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</si>
  <si>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</si>
  <si>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</si>
  <si>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</si>
  <si>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</si>
  <si>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</si>
  <si>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</si>
  <si>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</si>
  <si>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</si>
  <si>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</si>
  <si>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</si>
  <si>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</si>
  <si>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</si>
  <si>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</si>
  <si>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</si>
  <si>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</si>
  <si>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</si>
  <si>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</si>
  <si>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</si>
  <si>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</si>
  <si>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</si>
  <si>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</si>
  <si>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</si>
  <si>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</si>
  <si>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</si>
  <si>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</si>
  <si>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</si>
  <si>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</si>
  <si>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</si>
  <si>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</si>
  <si>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</si>
  <si>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</si>
  <si>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</si>
  <si>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</si>
  <si>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</si>
  <si>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</si>
  <si>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</si>
  <si>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</si>
  <si>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</si>
  <si>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</si>
  <si>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</si>
  <si>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</si>
  <si>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</si>
  <si>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</si>
  <si>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</si>
  <si>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</si>
  <si>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</si>
  <si>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</si>
  <si>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</si>
  <si>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</si>
  <si>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</si>
  <si>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</si>
  <si>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</si>
  <si>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</si>
  <si>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</si>
  <si>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</si>
  <si>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</si>
  <si>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</si>
  <si>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</si>
  <si>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</si>
  <si>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</si>
  <si>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</si>
  <si>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</si>
  <si>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</si>
  <si>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</si>
  <si>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</si>
  <si>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</si>
  <si>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</si>
  <si>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</si>
  <si>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</si>
  <si>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</si>
  <si>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</si>
  <si>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</si>
  <si>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</si>
  <si>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</si>
  <si>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</si>
  <si>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</si>
  <si>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</si>
  <si>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</si>
  <si>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Crawford</t>
  </si>
  <si>
    <t>Jodi Truitt</t>
  </si>
  <si>
    <t>P.O. Box 694</t>
  </si>
  <si>
    <t>100 S Main</t>
  </si>
  <si>
    <t>Robinson</t>
  </si>
  <si>
    <t>IL</t>
  </si>
  <si>
    <t>Palestine</t>
  </si>
  <si>
    <t>618-546-1502</t>
  </si>
  <si>
    <t>618-544-2140</t>
  </si>
  <si>
    <t>066-003998</t>
  </si>
  <si>
    <t>jtruitt@kempercpa.com</t>
  </si>
  <si>
    <t>618-586-2713</t>
  </si>
  <si>
    <t>618-586-2905</t>
  </si>
  <si>
    <t>The Auditor's Report issued a qualified opinion because the financial statements do not include disclosures regarding postemployment health insurance benefits as required by GASB Statement 75 as required by the financial reporting provisions of the ISBE.</t>
  </si>
  <si>
    <t>General Obligaion Bonds 2013B</t>
  </si>
  <si>
    <t>ISBE Technology Loan</t>
  </si>
  <si>
    <t>Technology Loan</t>
  </si>
  <si>
    <t>Crawford Memorial Hospital</t>
  </si>
  <si>
    <t>ED- Board of Education Services- Purchased Services</t>
  </si>
  <si>
    <t>Kemper CPA Group</t>
  </si>
  <si>
    <t>Hutsonville CUSD #1</t>
  </si>
  <si>
    <t>South Eastern Special Education</t>
  </si>
  <si>
    <t>Twin Rivers Career &amp; Technical Education System</t>
  </si>
  <si>
    <t>Page 10, Line 91, Column 10: Lost Book - $20</t>
  </si>
  <si>
    <t>Page 11, Line 106, Column 10: Local Fees District Wide - $5,052</t>
  </si>
  <si>
    <t>Page 11, Line 107, Column 10: Other Local Revenue - $18</t>
  </si>
  <si>
    <t>Page 11, Line 107, Column 20: Other Local Revenue - $3,376</t>
  </si>
  <si>
    <t>Page 12, Line 168, Column 10: State Library Grant - $750</t>
  </si>
  <si>
    <t>Page 14, Line 265, Column 10: REAP - $11,368</t>
  </si>
  <si>
    <t>Page 15, Line 41, Column 400: Elementary &amp; High School Pupil Service Supplies - $2,519</t>
  </si>
  <si>
    <t>Page 16, Line 73, Column 400: Title One Supplies - $22</t>
  </si>
  <si>
    <t>ED-Interscholastic Programs-Other</t>
  </si>
  <si>
    <t>10-2300-300</t>
  </si>
  <si>
    <t>O&amp;M-Operations &amp; Maintenance of Plant Services-Purchased Services</t>
  </si>
  <si>
    <t>Cory Musgrave</t>
  </si>
  <si>
    <t>20-2540-300</t>
  </si>
  <si>
    <t>Although internal controls are in place, there are some reporting functions that the District cannot perform.</t>
  </si>
  <si>
    <t>The District does not have an individual with the necessary knowledge and technical expertise to properly prepare the notes to the financial statements.</t>
  </si>
  <si>
    <t>In the absence of the necessary knowledge and expertise, the District must rely on the auditors to ensure the notes to the financial statements are properly presented.</t>
  </si>
  <si>
    <t>The District's personnel have not obtained the necessary knowledge or expertise.</t>
  </si>
  <si>
    <t>The District should provide the necessary training or contract with an independent contractor with the knowledge to properly prepare the notes to the financial statements.</t>
  </si>
  <si>
    <t>The District does not intend to correct the finding in the next fiscal year.</t>
  </si>
  <si>
    <t xml:space="preserve">Internal controls should be in place to provide reasonable assurance that cash receipts and disbursements are properly recorded and authorized. </t>
  </si>
  <si>
    <t xml:space="preserve">The District has inadequate controls over cash receipts and disbursements due to a lack of segregations of duties. </t>
  </si>
  <si>
    <t xml:space="preserve">In the absence of proper segregation of duties over cash receipts and disbursements, improper transactions may occur. </t>
  </si>
  <si>
    <t xml:space="preserve">Due to a lack of segregation of duties over cash receipts and disbursements, cash transactions may occure that are note properly recorded and authorized. </t>
  </si>
  <si>
    <t xml:space="preserve">The District does not have the resources to hire additional staff to adequately segregate duties. </t>
  </si>
  <si>
    <t>Job duties should be segregated to prevent any one person from controlling conflicting aspects of any single transaction.</t>
  </si>
  <si>
    <t>Due to limited personnel, management believes it is unfeasible to correct this deficiency.</t>
  </si>
  <si>
    <t>2018-001</t>
  </si>
  <si>
    <t>2018-002</t>
  </si>
  <si>
    <t>The District does not have an individual with the necessary knowledge and technical experitse to properly prepare the notes to the financial statemtents.</t>
  </si>
  <si>
    <t>Repeated as Financial Statement Finding 2019-001</t>
  </si>
  <si>
    <t>Repeated as Financial Statement Finding 2019-002</t>
  </si>
  <si>
    <t>The District has inadequate controls over cash receipts and disbursements due to a lack of segregation of duties.</t>
  </si>
  <si>
    <t>Capital Lease Agreement</t>
  </si>
  <si>
    <t>Santander Bank Bus Lease</t>
  </si>
  <si>
    <t>GM Financial Suburban Lease</t>
  </si>
  <si>
    <t>Page 24, Line 33, Column G: Santander Bank bus lease proceeds - $45,601, Santander Bank bus lease repayment - $9,850</t>
  </si>
  <si>
    <t>Page 24, Line 34, Column G: GM Financial Suburban lease proceeds - $45,071, GM Financial suburban lease repayment - $15,962</t>
  </si>
  <si>
    <t>The District cannot prepare the notes to the financial statements.</t>
  </si>
  <si>
    <t>Jo Campbell</t>
  </si>
  <si>
    <t>Kemper CPA Group, LLP</t>
  </si>
  <si>
    <t>Palestine CUSD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</si>
</sst>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494">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38" fontId="127" fillId="16" borderId="157" xfId="17" applyNumberFormat="1" applyFont="1" applyFill="1" applyBorder="1" applyAlignment="1" applyProtection="1">
      <alignment horizontal="right" vertical="top"/>
    </xf>
    <xf numFmtId="0" fontId="126" fillId="0" borderId="149" xfId="17" applyFont="1" applyFill="1" applyBorder="1" applyAlignment="1">
      <alignment vertical="center"/>
    </xf>
    <xf numFmtId="0" fontId="126" fillId="0" borderId="76" xfId="17" applyFont="1" applyFill="1" applyBorder="1" applyAlignment="1">
      <alignment vertical="center"/>
    </xf>
    <xf numFmtId="0" fontId="126" fillId="0" borderId="150" xfId="17" applyFont="1" applyFill="1" applyBorder="1" applyAlignment="1">
      <alignment vertical="center"/>
    </xf>
    <xf numFmtId="0" fontId="2" fillId="0" borderId="157" xfId="17" applyFont="1" applyBorder="1" applyAlignment="1" applyProtection="1">
      <alignment horizontal="left" vertical="top" wrapText="1"/>
      <protection locked="0"/>
    </xf>
    <xf numFmtId="0" fontId="2" fillId="0" borderId="157" xfId="17" applyFont="1" applyBorder="1" applyAlignment="1" applyProtection="1">
      <alignment vertical="top"/>
      <protection locked="0"/>
    </xf>
    <xf numFmtId="0" fontId="54" fillId="0" borderId="0" xfId="3" applyFont="1" applyAlignment="1" applyProtection="1">
      <alignment horizontal="center" vertical="center"/>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57" fillId="0" borderId="0" xfId="3" applyFont="1" applyBorder="1" applyAlignment="1" applyProtection="1">
      <alignment wrapText="1"/>
      <protection locked="0"/>
    </xf>
    <xf numFmtId="0" fontId="57" fillId="0" borderId="0" xfId="3" applyFont="1" applyAlignment="1" applyProtection="1">
      <alignment wrapText="1"/>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xdr:col>
          <xdr:colOff>914400</xdr:colOff>
          <xdr:row>7</xdr:row>
          <xdr:rowOff>38100</xdr:rowOff>
        </xdr:to>
        <xdr:sp macro="" textlink="">
          <xdr:nvSpPr>
            <xdr:cNvPr id="36865" name="Object 1" hidden="1">
              <a:extLst>
                <a:ext uri="{63B3BB69-23CF-44E3-9099-C40C66FF867C}">
                  <a14:compatExt spid="_x0000_s3686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1047750</xdr:colOff>
          <xdr:row>2</xdr:row>
          <xdr:rowOff>152400</xdr:rowOff>
        </xdr:from>
        <xdr:to>
          <xdr:col>1</xdr:col>
          <xdr:colOff>1962150</xdr:colOff>
          <xdr:row>7</xdr:row>
          <xdr:rowOff>28575</xdr:rowOff>
        </xdr:to>
        <xdr:sp macro="" textlink="">
          <xdr:nvSpPr>
            <xdr:cNvPr id="36866" name="Object 2" hidden="1">
              <a:extLst>
                <a:ext uri="{63B3BB69-23CF-44E3-9099-C40C66FF867C}">
                  <a14:compatExt spid="_x0000_s3686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2105025</xdr:colOff>
          <xdr:row>2</xdr:row>
          <xdr:rowOff>152400</xdr:rowOff>
        </xdr:from>
        <xdr:to>
          <xdr:col>1</xdr:col>
          <xdr:colOff>3019425</xdr:colOff>
          <xdr:row>7</xdr:row>
          <xdr:rowOff>28575</xdr:rowOff>
        </xdr:to>
        <xdr:sp macro="" textlink="">
          <xdr:nvSpPr>
            <xdr:cNvPr id="36867" name="Object 3" hidden="1">
              <a:extLst>
                <a:ext uri="{63B3BB69-23CF-44E3-9099-C40C66FF867C}">
                  <a14:compatExt spid="_x0000_s3686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3171825</xdr:colOff>
          <xdr:row>2</xdr:row>
          <xdr:rowOff>152400</xdr:rowOff>
        </xdr:from>
        <xdr:to>
          <xdr:col>2</xdr:col>
          <xdr:colOff>104775</xdr:colOff>
          <xdr:row>7</xdr:row>
          <xdr:rowOff>28575</xdr:rowOff>
        </xdr:to>
        <xdr:sp macro="" textlink="">
          <xdr:nvSpPr>
            <xdr:cNvPr id="36868" name="Object 4" hidden="1">
              <a:extLst>
                <a:ext uri="{63B3BB69-23CF-44E3-9099-C40C66FF867C}">
                  <a14:compatExt spid="_x0000_s3686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28576</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1989</v>
      </c>
      <c r="B1" s="45"/>
      <c r="C1" s="45"/>
      <c r="D1" s="46"/>
      <c r="I1" s="1990" t="s">
        <v>405</v>
      </c>
      <c r="J1" s="1991"/>
      <c r="K1" s="1991"/>
      <c r="L1" s="1991"/>
      <c r="M1" s="1991"/>
      <c r="N1" s="1991"/>
      <c r="O1" s="1991"/>
      <c r="P1" s="1991"/>
      <c r="Q1" s="1991"/>
      <c r="R1" s="1991"/>
      <c r="S1" s="1991"/>
    </row>
    <row r="2" spans="1:28" ht="12" customHeight="1" x14ac:dyDescent="0.2">
      <c r="A2" s="47" t="s">
        <v>1990</v>
      </c>
      <c r="D2" s="48"/>
      <c r="I2" s="1992" t="s">
        <v>979</v>
      </c>
      <c r="J2" s="1991"/>
      <c r="K2" s="1991"/>
      <c r="L2" s="1991"/>
      <c r="M2" s="1991"/>
      <c r="N2" s="1991"/>
      <c r="O2" s="1991"/>
      <c r="P2" s="1991"/>
      <c r="Q2" s="1991"/>
      <c r="R2" s="1991"/>
      <c r="S2" s="1991"/>
    </row>
    <row r="3" spans="1:28" ht="12" customHeight="1" x14ac:dyDescent="0.2">
      <c r="A3" s="155" t="s">
        <v>1942</v>
      </c>
      <c r="B3" s="156"/>
      <c r="C3" s="156"/>
      <c r="D3" s="157"/>
      <c r="I3" s="1992" t="s">
        <v>52</v>
      </c>
      <c r="J3" s="1991"/>
      <c r="K3" s="1991"/>
      <c r="L3" s="1991"/>
      <c r="M3" s="1991"/>
      <c r="N3" s="1991"/>
      <c r="O3" s="1991"/>
      <c r="P3" s="1991"/>
      <c r="Q3" s="1991"/>
      <c r="R3" s="1991"/>
      <c r="S3" s="1991"/>
    </row>
    <row r="4" spans="1:28" ht="12" customHeight="1" x14ac:dyDescent="0.2">
      <c r="A4" s="37"/>
      <c r="I4" s="1992" t="s">
        <v>524</v>
      </c>
      <c r="J4" s="1991"/>
      <c r="K4" s="1991"/>
      <c r="L4" s="1991"/>
      <c r="M4" s="1991"/>
      <c r="N4" s="1991"/>
      <c r="O4" s="1991"/>
      <c r="P4" s="1991"/>
      <c r="Q4" s="1991"/>
      <c r="R4" s="1991"/>
      <c r="S4" s="1991"/>
    </row>
    <row r="5" spans="1:28" ht="14.1" customHeight="1" x14ac:dyDescent="0.2">
      <c r="B5" s="104" t="s">
        <v>2064</v>
      </c>
      <c r="C5" s="26" t="s">
        <v>910</v>
      </c>
      <c r="D5" s="84"/>
      <c r="E5" s="84"/>
      <c r="H5" s="38"/>
      <c r="I5" s="2000" t="s">
        <v>680</v>
      </c>
      <c r="J5" s="1999"/>
      <c r="K5" s="1999"/>
      <c r="L5" s="1999"/>
      <c r="M5" s="1999"/>
      <c r="N5" s="1999"/>
      <c r="O5" s="1999"/>
      <c r="P5" s="1999"/>
      <c r="Q5" s="1999"/>
      <c r="R5" s="1999"/>
      <c r="S5" s="1999"/>
    </row>
    <row r="6" spans="1:28" ht="14.1" customHeight="1" x14ac:dyDescent="0.2">
      <c r="B6" s="104"/>
      <c r="C6" s="26" t="s">
        <v>911</v>
      </c>
      <c r="D6" s="84"/>
      <c r="E6" s="84"/>
      <c r="I6" s="1998" t="s">
        <v>883</v>
      </c>
      <c r="J6" s="1999"/>
      <c r="K6" s="1999"/>
      <c r="L6" s="1999"/>
      <c r="M6" s="1999"/>
      <c r="N6" s="1999"/>
      <c r="O6" s="1999"/>
      <c r="P6" s="1999"/>
      <c r="Q6" s="1999"/>
      <c r="R6" s="1999"/>
      <c r="S6" s="1999"/>
    </row>
    <row r="7" spans="1:28" ht="12.2" customHeight="1" x14ac:dyDescent="0.2">
      <c r="I7" s="1993">
        <v>43646</v>
      </c>
      <c r="J7" s="1994"/>
      <c r="K7" s="1994"/>
      <c r="L7" s="1994"/>
      <c r="M7" s="1994"/>
      <c r="N7" s="1994"/>
      <c r="O7" s="1994"/>
      <c r="P7" s="1994"/>
      <c r="Q7" s="1994"/>
      <c r="R7" s="1994"/>
      <c r="S7" s="199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5" t="s">
        <v>674</v>
      </c>
      <c r="J9" s="1996"/>
      <c r="K9" s="1996"/>
      <c r="L9" s="1996"/>
      <c r="M9" s="1996"/>
      <c r="N9" s="1996"/>
      <c r="O9" s="1996"/>
      <c r="P9" s="1996"/>
      <c r="Q9" s="1996"/>
      <c r="R9" s="1996"/>
      <c r="S9" s="1997"/>
      <c r="T9" s="2011" t="s">
        <v>533</v>
      </c>
      <c r="U9" s="2012"/>
      <c r="V9" s="2012"/>
      <c r="W9" s="2012"/>
      <c r="X9" s="2012"/>
      <c r="Y9" s="2012"/>
      <c r="Z9" s="2012"/>
      <c r="AA9" s="2013"/>
    </row>
    <row r="10" spans="1:28" ht="13.5" customHeight="1" x14ac:dyDescent="0.2">
      <c r="A10" s="2018" t="s">
        <v>675</v>
      </c>
      <c r="B10" s="2019"/>
      <c r="C10" s="2019"/>
      <c r="D10" s="2019"/>
      <c r="E10" s="2019"/>
      <c r="F10" s="2019"/>
      <c r="G10" s="2019"/>
      <c r="H10" s="2020"/>
      <c r="I10" s="29"/>
      <c r="J10" s="30"/>
      <c r="K10" s="28"/>
      <c r="R10" s="30"/>
      <c r="S10" s="30"/>
      <c r="T10" s="2014"/>
      <c r="U10" s="1999"/>
      <c r="V10" s="1999"/>
      <c r="W10" s="1999"/>
      <c r="X10" s="1999"/>
      <c r="Y10" s="1999"/>
      <c r="Z10" s="1999"/>
      <c r="AA10" s="2005"/>
    </row>
    <row r="11" spans="1:28" ht="14.25" customHeight="1" x14ac:dyDescent="0.2">
      <c r="A11" s="2021" t="s">
        <v>955</v>
      </c>
      <c r="B11" s="2022"/>
      <c r="C11" s="2022"/>
      <c r="D11" s="2022"/>
      <c r="E11" s="2022"/>
      <c r="F11" s="2022"/>
      <c r="G11" s="2022"/>
      <c r="H11" s="2023"/>
      <c r="I11" s="27"/>
      <c r="J11" s="74"/>
      <c r="K11" s="27"/>
      <c r="O11" s="148" t="s">
        <v>2064</v>
      </c>
      <c r="P11" s="100" t="s">
        <v>201</v>
      </c>
      <c r="Q11" s="30"/>
      <c r="R11" s="28"/>
      <c r="S11" s="27"/>
      <c r="T11" s="2015"/>
      <c r="U11" s="2016"/>
      <c r="V11" s="2016"/>
      <c r="W11" s="2016"/>
      <c r="X11" s="2016"/>
      <c r="Y11" s="2016"/>
      <c r="Z11" s="2016"/>
      <c r="AA11" s="2017"/>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25">
        <v>12017003026</v>
      </c>
      <c r="B13" s="2026"/>
      <c r="C13" s="2026"/>
      <c r="D13" s="2026"/>
      <c r="E13" s="2026"/>
      <c r="F13" s="2026"/>
      <c r="G13" s="2026"/>
      <c r="H13" s="2027"/>
      <c r="I13" s="31"/>
      <c r="J13" s="30"/>
      <c r="K13" s="28"/>
      <c r="L13" s="30"/>
      <c r="M13" s="30"/>
      <c r="N13" s="30"/>
      <c r="O13" s="30"/>
      <c r="P13" s="30"/>
      <c r="Q13" s="30"/>
      <c r="R13" s="30"/>
      <c r="S13" s="30"/>
      <c r="T13" s="2030" t="s">
        <v>2127</v>
      </c>
      <c r="U13" s="2031"/>
      <c r="V13" s="2031"/>
      <c r="W13" s="2031"/>
      <c r="X13" s="2031"/>
      <c r="Y13" s="2032"/>
      <c r="Z13" s="2032"/>
      <c r="AA13" s="2033"/>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24" t="s">
        <v>2065</v>
      </c>
      <c r="B15" s="2028"/>
      <c r="C15" s="2028"/>
      <c r="D15" s="2028"/>
      <c r="E15" s="2028"/>
      <c r="F15" s="2028"/>
      <c r="G15" s="2028"/>
      <c r="H15" s="2029"/>
      <c r="T15" s="2034" t="s">
        <v>2066</v>
      </c>
      <c r="U15" s="1978"/>
      <c r="V15" s="1978"/>
      <c r="W15" s="1978"/>
      <c r="X15" s="1978"/>
      <c r="Y15" s="2035"/>
      <c r="Z15" s="2035"/>
      <c r="AA15" s="2036"/>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84" t="s">
        <v>2128</v>
      </c>
      <c r="B17" s="1985"/>
      <c r="C17" s="1985"/>
      <c r="D17" s="1985"/>
      <c r="E17" s="1985"/>
      <c r="F17" s="1985"/>
      <c r="G17" s="1985"/>
      <c r="H17" s="2010"/>
      <c r="T17" s="2041" t="s">
        <v>2067</v>
      </c>
      <c r="U17" s="2042"/>
      <c r="V17" s="2042"/>
      <c r="W17" s="2042"/>
      <c r="X17" s="2042"/>
      <c r="Y17" s="2042"/>
      <c r="Z17" s="2042"/>
      <c r="AA17" s="2043"/>
    </row>
    <row r="18" spans="1:27" ht="13.5" customHeight="1" x14ac:dyDescent="0.2">
      <c r="A18" s="85" t="s">
        <v>530</v>
      </c>
      <c r="B18" s="76"/>
      <c r="C18" s="72"/>
      <c r="D18" s="76"/>
      <c r="E18" s="76"/>
      <c r="F18" s="76"/>
      <c r="G18" s="76"/>
      <c r="H18" s="56"/>
      <c r="I18" s="2009" t="s">
        <v>676</v>
      </c>
      <c r="J18" s="1960"/>
      <c r="K18" s="1960"/>
      <c r="L18" s="1960"/>
      <c r="M18" s="1960"/>
      <c r="N18" s="1960"/>
      <c r="O18" s="1960"/>
      <c r="P18" s="1960"/>
      <c r="Q18" s="1960"/>
      <c r="R18" s="1960"/>
      <c r="S18" s="1961"/>
      <c r="T18" s="85" t="s">
        <v>711</v>
      </c>
      <c r="U18" s="51"/>
      <c r="V18" s="72"/>
      <c r="W18" s="50"/>
      <c r="X18" s="85" t="s">
        <v>266</v>
      </c>
      <c r="Y18" s="81"/>
      <c r="Z18" s="159" t="s">
        <v>677</v>
      </c>
      <c r="AA18" s="46"/>
    </row>
    <row r="19" spans="1:27" ht="13.5" customHeight="1" x14ac:dyDescent="0.2">
      <c r="A19" s="2024" t="s">
        <v>2068</v>
      </c>
      <c r="B19" s="1970"/>
      <c r="C19" s="1970"/>
      <c r="D19" s="1970"/>
      <c r="E19" s="1970"/>
      <c r="F19" s="1970"/>
      <c r="G19" s="1970"/>
      <c r="H19" s="1950"/>
      <c r="I19" s="30"/>
      <c r="J19" s="99"/>
      <c r="K19" s="40"/>
      <c r="L19" s="38"/>
      <c r="M19" s="112" t="s">
        <v>315</v>
      </c>
      <c r="P19" s="27"/>
      <c r="Q19" s="27"/>
      <c r="R19" s="27"/>
      <c r="S19" s="31"/>
      <c r="T19" s="2024" t="s">
        <v>2069</v>
      </c>
      <c r="U19" s="1949"/>
      <c r="V19" s="1949"/>
      <c r="W19" s="1950"/>
      <c r="X19" s="2039" t="s">
        <v>2070</v>
      </c>
      <c r="Y19" s="2040"/>
      <c r="Z19" s="2037">
        <v>62454</v>
      </c>
      <c r="AA19" s="2038"/>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8" t="s">
        <v>2071</v>
      </c>
      <c r="B21" s="1949"/>
      <c r="C21" s="1949"/>
      <c r="D21" s="1949"/>
      <c r="E21" s="1949"/>
      <c r="F21" s="1949"/>
      <c r="G21" s="1949"/>
      <c r="H21" s="1950"/>
      <c r="I21" s="2004" t="s">
        <v>678</v>
      </c>
      <c r="J21" s="1999"/>
      <c r="K21" s="1999"/>
      <c r="L21" s="1999"/>
      <c r="M21" s="1999"/>
      <c r="N21" s="1999"/>
      <c r="O21" s="1999"/>
      <c r="P21" s="1999"/>
      <c r="Q21" s="1999"/>
      <c r="R21" s="1999"/>
      <c r="S21" s="2005"/>
      <c r="T21" s="2048" t="s">
        <v>2072</v>
      </c>
      <c r="U21" s="2049"/>
      <c r="V21" s="2049"/>
      <c r="W21" s="2049"/>
      <c r="X21" s="2054" t="s">
        <v>2073</v>
      </c>
      <c r="Y21" s="2055"/>
      <c r="Z21" s="2055"/>
      <c r="AA21" s="2056"/>
    </row>
    <row r="22" spans="1:27" ht="13.5" customHeight="1" x14ac:dyDescent="0.2">
      <c r="A22" s="87" t="s">
        <v>531</v>
      </c>
      <c r="B22" s="59"/>
      <c r="C22" s="59"/>
      <c r="D22" s="59"/>
      <c r="E22" s="59"/>
      <c r="F22" s="59"/>
      <c r="G22" s="59"/>
      <c r="H22" s="60"/>
      <c r="I22" s="2006" t="s">
        <v>1429</v>
      </c>
      <c r="J22" s="2007"/>
      <c r="K22" s="2007"/>
      <c r="L22" s="2007"/>
      <c r="M22" s="2007"/>
      <c r="N22" s="2007"/>
      <c r="O22" s="2007"/>
      <c r="P22" s="2007"/>
      <c r="Q22" s="2007"/>
      <c r="R22" s="2007"/>
      <c r="S22" s="2008"/>
      <c r="T22" s="85" t="s">
        <v>1516</v>
      </c>
      <c r="U22" s="51"/>
      <c r="V22" s="72"/>
      <c r="W22" s="51"/>
      <c r="X22" s="160" t="s">
        <v>1318</v>
      </c>
      <c r="Z22" s="45"/>
      <c r="AA22" s="46"/>
    </row>
    <row r="23" spans="1:27" ht="13.5" customHeight="1" x14ac:dyDescent="0.2">
      <c r="A23" s="2001"/>
      <c r="B23" s="2002"/>
      <c r="C23" s="2002"/>
      <c r="D23" s="2002"/>
      <c r="E23" s="2002"/>
      <c r="F23" s="2002"/>
      <c r="G23" s="2002"/>
      <c r="H23" s="2003"/>
      <c r="T23" s="1984" t="s">
        <v>2074</v>
      </c>
      <c r="U23" s="2047"/>
      <c r="V23" s="2047"/>
      <c r="W23" s="2047"/>
      <c r="X23" s="2051">
        <v>44469</v>
      </c>
      <c r="Y23" s="2052"/>
      <c r="Z23" s="2052"/>
      <c r="AA23" s="2053"/>
    </row>
    <row r="24" spans="1:27" ht="14.1" customHeight="1" x14ac:dyDescent="0.2">
      <c r="A24" s="88" t="s">
        <v>677</v>
      </c>
      <c r="B24" s="49"/>
      <c r="C24" s="49"/>
      <c r="D24" s="49"/>
      <c r="E24" s="49"/>
      <c r="F24" s="49"/>
      <c r="G24" s="49"/>
      <c r="H24" s="61"/>
      <c r="J24" s="1971">
        <f>IF(B5="x",IF(AUDITCHECK!D29="AFR form Incomplete.","",IF(AUDITCHECK!D29="Deficit reduction plan is required.","School District must complete a deficit reduction plan in the 2019-2020 Budget",)),"")</f>
        <v>0</v>
      </c>
      <c r="K24" s="1971"/>
      <c r="L24" s="1971"/>
      <c r="M24" s="1971"/>
      <c r="N24" s="1971"/>
      <c r="O24" s="1971"/>
      <c r="P24" s="1971"/>
      <c r="Q24" s="1971"/>
      <c r="R24" s="1971"/>
      <c r="S24" s="1972"/>
      <c r="T24" s="105" t="s">
        <v>531</v>
      </c>
      <c r="U24" s="106"/>
      <c r="V24" s="106"/>
      <c r="W24" s="106"/>
      <c r="X24" s="107"/>
      <c r="Y24" s="107"/>
      <c r="Z24" s="107"/>
      <c r="AA24" s="108"/>
    </row>
    <row r="25" spans="1:27" ht="14.1" customHeight="1" x14ac:dyDescent="0.2">
      <c r="A25" s="1948">
        <v>62451</v>
      </c>
      <c r="B25" s="1949"/>
      <c r="C25" s="1949"/>
      <c r="D25" s="1949"/>
      <c r="E25" s="1949"/>
      <c r="F25" s="1949"/>
      <c r="G25" s="1949"/>
      <c r="H25" s="1950"/>
      <c r="I25" s="113"/>
      <c r="J25" s="1973"/>
      <c r="K25" s="1973"/>
      <c r="L25" s="1973"/>
      <c r="M25" s="1973"/>
      <c r="N25" s="1973"/>
      <c r="O25" s="1973"/>
      <c r="P25" s="1973"/>
      <c r="Q25" s="1973"/>
      <c r="R25" s="1973"/>
      <c r="S25" s="1974"/>
      <c r="T25" s="2044" t="s">
        <v>2075</v>
      </c>
      <c r="U25" s="2045"/>
      <c r="V25" s="2045"/>
      <c r="W25" s="2045"/>
      <c r="X25" s="2045"/>
      <c r="Y25" s="2045"/>
      <c r="Z25" s="2045"/>
      <c r="AA25" s="204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9" t="s">
        <v>1511</v>
      </c>
      <c r="J27" s="1960"/>
      <c r="K27" s="1960"/>
      <c r="L27" s="1960"/>
      <c r="M27" s="1960"/>
      <c r="N27" s="1960"/>
      <c r="O27" s="1960"/>
      <c r="P27" s="1960"/>
      <c r="Q27" s="1960"/>
      <c r="R27" s="1960"/>
      <c r="S27" s="1961"/>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2064</v>
      </c>
      <c r="M29" s="40" t="s">
        <v>99</v>
      </c>
      <c r="N29" s="32" t="s">
        <v>1523</v>
      </c>
      <c r="O29" s="32"/>
      <c r="P29" s="32"/>
      <c r="Q29" s="32"/>
      <c r="R29" s="32"/>
      <c r="S29" s="123"/>
      <c r="T29" s="6"/>
      <c r="U29" s="6"/>
      <c r="V29" s="6"/>
      <c r="W29" s="6"/>
      <c r="X29" s="6"/>
      <c r="Y29" s="6"/>
      <c r="Z29" s="6"/>
      <c r="AA29" s="132"/>
    </row>
    <row r="30" spans="1:27" ht="13.5" customHeight="1" x14ac:dyDescent="0.2">
      <c r="A30" s="153"/>
      <c r="B30" s="136" t="s">
        <v>2064</v>
      </c>
      <c r="C30" s="124" t="s">
        <v>1164</v>
      </c>
      <c r="D30" s="28"/>
      <c r="E30" s="28"/>
      <c r="F30" s="140"/>
      <c r="G30" s="114"/>
      <c r="H30" s="114"/>
      <c r="I30" s="54"/>
      <c r="J30" s="102"/>
      <c r="K30" s="28" t="s">
        <v>576</v>
      </c>
      <c r="L30" s="148" t="s">
        <v>2064</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2064</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70"/>
      <c r="Q35" s="1949"/>
      <c r="R35" s="194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84" t="s">
        <v>2126</v>
      </c>
      <c r="B38" s="1985"/>
      <c r="C38" s="1985"/>
      <c r="D38" s="1985"/>
      <c r="E38" s="1985"/>
      <c r="F38" s="1949"/>
      <c r="G38" s="1949"/>
      <c r="H38" s="1950"/>
      <c r="I38" s="1977"/>
      <c r="J38" s="1978"/>
      <c r="K38" s="1978"/>
      <c r="L38" s="1978"/>
      <c r="M38" s="1978"/>
      <c r="N38" s="1978"/>
      <c r="O38" s="1978"/>
      <c r="P38" s="1979"/>
      <c r="Q38" s="1979"/>
      <c r="R38" s="1979"/>
      <c r="S38" s="1980"/>
      <c r="T38" s="2034"/>
      <c r="U38" s="1978"/>
      <c r="V38" s="1978"/>
      <c r="W38" s="1978"/>
      <c r="X38" s="1979"/>
      <c r="Y38" s="1979"/>
      <c r="Z38" s="1979"/>
      <c r="AA38" s="1980"/>
    </row>
    <row r="39" spans="1:27" ht="12" customHeight="1" x14ac:dyDescent="0.2">
      <c r="A39" s="1954" t="s">
        <v>531</v>
      </c>
      <c r="B39" s="1955"/>
      <c r="C39" s="72"/>
      <c r="D39" s="69"/>
      <c r="E39" s="69"/>
      <c r="F39" s="79"/>
      <c r="G39" s="69"/>
      <c r="H39" s="56"/>
      <c r="I39" s="1954" t="s">
        <v>531</v>
      </c>
      <c r="J39" s="1955"/>
      <c r="K39" s="1955"/>
      <c r="L39" s="1955"/>
      <c r="M39" s="1955"/>
      <c r="N39" s="67"/>
      <c r="O39" s="72"/>
      <c r="P39" s="72"/>
      <c r="Q39" s="78"/>
      <c r="R39" s="72"/>
      <c r="S39" s="56"/>
      <c r="T39" s="72" t="s">
        <v>531</v>
      </c>
      <c r="U39" s="51"/>
      <c r="V39" s="72"/>
      <c r="W39" s="50"/>
      <c r="X39" s="78"/>
      <c r="Y39" s="45"/>
      <c r="Z39" s="45"/>
      <c r="AA39" s="46"/>
    </row>
    <row r="40" spans="1:27" ht="13.5" customHeight="1" x14ac:dyDescent="0.2">
      <c r="A40" s="1962"/>
      <c r="B40" s="1963"/>
      <c r="C40" s="1964"/>
      <c r="D40" s="1964"/>
      <c r="E40" s="1964"/>
      <c r="F40" s="1965"/>
      <c r="G40" s="1965"/>
      <c r="H40" s="1966"/>
      <c r="I40" s="1987"/>
      <c r="J40" s="1988"/>
      <c r="K40" s="1988"/>
      <c r="L40" s="1988"/>
      <c r="M40" s="1988"/>
      <c r="N40" s="1988"/>
      <c r="O40" s="1988"/>
      <c r="P40" s="1988"/>
      <c r="Q40" s="1988"/>
      <c r="R40" s="1988"/>
      <c r="S40" s="1989"/>
      <c r="T40" s="1987"/>
      <c r="U40" s="2050"/>
      <c r="V40" s="1988"/>
      <c r="W40" s="1988"/>
      <c r="X40" s="1988"/>
      <c r="Y40" s="1988"/>
      <c r="Z40" s="1988"/>
      <c r="AA40" s="1989"/>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76" t="s">
        <v>2076</v>
      </c>
      <c r="B42" s="1968"/>
      <c r="C42" s="1969"/>
      <c r="D42" s="1967" t="s">
        <v>2077</v>
      </c>
      <c r="E42" s="1968"/>
      <c r="F42" s="1968"/>
      <c r="G42" s="1968"/>
      <c r="H42" s="1969"/>
      <c r="I42" s="1951"/>
      <c r="J42" s="1952"/>
      <c r="K42" s="1952"/>
      <c r="L42" s="1952"/>
      <c r="M42" s="1952"/>
      <c r="N42" s="1952"/>
      <c r="O42" s="1953"/>
      <c r="P42" s="1986"/>
      <c r="Q42" s="1952"/>
      <c r="R42" s="1952"/>
      <c r="S42" s="1953"/>
      <c r="T42" s="1951"/>
      <c r="U42" s="1952"/>
      <c r="V42" s="1952"/>
      <c r="W42" s="1953"/>
      <c r="X42" s="1986"/>
      <c r="Y42" s="1952"/>
      <c r="Z42" s="1952"/>
      <c r="AA42" s="1953"/>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81"/>
      <c r="B44" s="1982"/>
      <c r="C44" s="1982"/>
      <c r="D44" s="1982"/>
      <c r="E44" s="1982"/>
      <c r="F44" s="1982"/>
      <c r="G44" s="1982"/>
      <c r="H44" s="1983"/>
      <c r="I44" s="1956"/>
      <c r="J44" s="1957"/>
      <c r="K44" s="1957"/>
      <c r="L44" s="1957"/>
      <c r="M44" s="1957"/>
      <c r="N44" s="1957"/>
      <c r="O44" s="1957"/>
      <c r="P44" s="1957"/>
      <c r="Q44" s="1957"/>
      <c r="R44" s="1957"/>
      <c r="S44" s="1958"/>
      <c r="T44" s="1956"/>
      <c r="U44" s="1975"/>
      <c r="V44" s="1975"/>
      <c r="W44" s="1975"/>
      <c r="X44" s="1975"/>
      <c r="Y44" s="1975"/>
      <c r="Z44" s="1957"/>
      <c r="AA44" s="1958"/>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1941</v>
      </c>
      <c r="D46" s="41"/>
      <c r="E46" s="41"/>
      <c r="F46" s="41"/>
      <c r="G46" s="41"/>
      <c r="Q46" s="29" t="s">
        <v>1420</v>
      </c>
      <c r="R46" s="41"/>
      <c r="S46" s="41"/>
      <c r="T46" s="41"/>
      <c r="U46" s="41"/>
      <c r="V46" s="41"/>
      <c r="W46" s="41"/>
      <c r="X46" s="41"/>
      <c r="Y46" s="41"/>
      <c r="Z46" s="41"/>
      <c r="AA46" s="41"/>
    </row>
    <row r="47" spans="1:27" x14ac:dyDescent="0.2">
      <c r="A47" s="137"/>
      <c r="Q47" s="41" t="s">
        <v>1924</v>
      </c>
      <c r="R47" s="41"/>
      <c r="S47" s="41"/>
      <c r="T47" s="41"/>
      <c r="U47" s="41"/>
      <c r="V47" s="41"/>
      <c r="W47" s="41"/>
      <c r="X47" s="41"/>
      <c r="Y47" s="41"/>
      <c r="Z47" s="41"/>
      <c r="AA47" s="41"/>
    </row>
    <row r="48" spans="1:27" x14ac:dyDescent="0.2">
      <c r="Q48" s="41" t="s">
        <v>1925</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tint="0.59999389629810485"/>
  </sheetPr>
  <dimension ref="A1:F36"/>
  <sheetViews>
    <sheetView showGridLines="0" defaultGridColor="0" colorId="8" zoomScale="110" zoomScaleNormal="110" workbookViewId="0">
      <selection activeCell="B4" sqref="B4"/>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90" t="s">
        <v>1801</v>
      </c>
      <c r="B2" s="1528" t="s">
        <v>1948</v>
      </c>
      <c r="C2" s="714" t="s">
        <v>1949</v>
      </c>
      <c r="D2" s="714" t="s">
        <v>1950</v>
      </c>
      <c r="E2" s="714" t="s">
        <v>1951</v>
      </c>
      <c r="F2" s="714" t="s">
        <v>1952</v>
      </c>
    </row>
    <row r="3" spans="1:6" ht="12" customHeight="1" x14ac:dyDescent="0.2">
      <c r="A3" s="2191"/>
      <c r="B3" s="1525"/>
      <c r="C3" s="1526"/>
      <c r="D3" s="1527" t="s">
        <v>256</v>
      </c>
      <c r="E3" s="1526"/>
      <c r="F3" s="1527" t="s">
        <v>257</v>
      </c>
    </row>
    <row r="4" spans="1:6" ht="13.7" customHeight="1" x14ac:dyDescent="0.2">
      <c r="A4" s="715" t="s">
        <v>1155</v>
      </c>
      <c r="B4" s="1749">
        <f>'Revenues 9-14'!C5</f>
        <v>811057</v>
      </c>
      <c r="C4" s="1524"/>
      <c r="D4" s="1752">
        <f>B4-C4</f>
        <v>811057</v>
      </c>
      <c r="E4" s="1524">
        <v>835461</v>
      </c>
      <c r="F4" s="1752">
        <f>E4-C4</f>
        <v>835461</v>
      </c>
    </row>
    <row r="5" spans="1:6" ht="13.7" customHeight="1" x14ac:dyDescent="0.2">
      <c r="A5" s="715" t="s">
        <v>870</v>
      </c>
      <c r="B5" s="1750">
        <f>'Revenues 9-14'!D5</f>
        <v>166202</v>
      </c>
      <c r="C5" s="585"/>
      <c r="D5" s="1753">
        <f t="shared" ref="D5:D18" si="0">B5-C5</f>
        <v>166202</v>
      </c>
      <c r="E5" s="585">
        <v>171201</v>
      </c>
      <c r="F5" s="1753">
        <f>E5-C5</f>
        <v>171201</v>
      </c>
    </row>
    <row r="6" spans="1:6" ht="13.7" customHeight="1" x14ac:dyDescent="0.2">
      <c r="A6" s="715" t="s">
        <v>411</v>
      </c>
      <c r="B6" s="1750">
        <f>'Revenues 9-14'!E5</f>
        <v>238000</v>
      </c>
      <c r="C6" s="585"/>
      <c r="D6" s="1753">
        <f t="shared" si="0"/>
        <v>238000</v>
      </c>
      <c r="E6" s="585">
        <v>234032</v>
      </c>
      <c r="F6" s="1753">
        <f t="shared" ref="F6:F18" si="1">E6-C6</f>
        <v>234032</v>
      </c>
    </row>
    <row r="7" spans="1:6" ht="13.7" customHeight="1" x14ac:dyDescent="0.2">
      <c r="A7" s="715" t="s">
        <v>155</v>
      </c>
      <c r="B7" s="1750">
        <f>'Revenues 9-14'!F5</f>
        <v>66481</v>
      </c>
      <c r="C7" s="585"/>
      <c r="D7" s="1753">
        <f t="shared" si="0"/>
        <v>66481</v>
      </c>
      <c r="E7" s="585">
        <v>68480</v>
      </c>
      <c r="F7" s="1753">
        <f t="shared" si="1"/>
        <v>68480</v>
      </c>
    </row>
    <row r="8" spans="1:6" ht="13.7" customHeight="1" x14ac:dyDescent="0.2">
      <c r="A8" s="715" t="s">
        <v>1179</v>
      </c>
      <c r="B8" s="1750">
        <f>'Revenues 9-14'!G5</f>
        <v>105770</v>
      </c>
      <c r="C8" s="585"/>
      <c r="D8" s="1753">
        <f t="shared" si="0"/>
        <v>105770</v>
      </c>
      <c r="E8" s="585">
        <v>109021</v>
      </c>
      <c r="F8" s="1753">
        <f t="shared" si="1"/>
        <v>109021</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16621</v>
      </c>
      <c r="C10" s="585"/>
      <c r="D10" s="1753">
        <f t="shared" si="0"/>
        <v>16621</v>
      </c>
      <c r="E10" s="585">
        <v>17120</v>
      </c>
      <c r="F10" s="1753">
        <f t="shared" si="1"/>
        <v>17120</v>
      </c>
    </row>
    <row r="11" spans="1:6" x14ac:dyDescent="0.2">
      <c r="A11" s="715" t="s">
        <v>409</v>
      </c>
      <c r="B11" s="1750">
        <f>'Revenues 9-14'!J5</f>
        <v>239064</v>
      </c>
      <c r="C11" s="585"/>
      <c r="D11" s="1753">
        <f t="shared" si="0"/>
        <v>239064</v>
      </c>
      <c r="E11" s="585">
        <v>250022</v>
      </c>
      <c r="F11" s="1753">
        <f t="shared" si="1"/>
        <v>250022</v>
      </c>
    </row>
    <row r="12" spans="1:6" ht="13.7" customHeight="1" x14ac:dyDescent="0.2">
      <c r="A12" s="715" t="s">
        <v>157</v>
      </c>
      <c r="B12" s="1750">
        <f>'Revenues 9-14'!K5</f>
        <v>16621</v>
      </c>
      <c r="C12" s="585"/>
      <c r="D12" s="1753">
        <f t="shared" si="0"/>
        <v>16621</v>
      </c>
      <c r="E12" s="585">
        <v>17120</v>
      </c>
      <c r="F12" s="1753">
        <f t="shared" si="1"/>
        <v>17120</v>
      </c>
    </row>
    <row r="13" spans="1:6" ht="13.7" customHeight="1" x14ac:dyDescent="0.2">
      <c r="A13" s="715" t="s">
        <v>936</v>
      </c>
      <c r="B13" s="1750">
        <f>SUM('Revenues 9-14'!C6:D6)</f>
        <v>16621</v>
      </c>
      <c r="C13" s="585"/>
      <c r="D13" s="1753">
        <f t="shared" si="0"/>
        <v>16621</v>
      </c>
      <c r="E13" s="585">
        <v>17120</v>
      </c>
      <c r="F13" s="1753">
        <f t="shared" si="1"/>
        <v>17120</v>
      </c>
    </row>
    <row r="14" spans="1:6" ht="13.7" customHeight="1" x14ac:dyDescent="0.2">
      <c r="A14" s="715" t="s">
        <v>410</v>
      </c>
      <c r="B14" s="1750">
        <f>SUM('Revenues 9-14'!C7:D7,'Revenues 9-14'!F7:H7)</f>
        <v>13296</v>
      </c>
      <c r="C14" s="585"/>
      <c r="D14" s="1753">
        <f t="shared" si="0"/>
        <v>13296</v>
      </c>
      <c r="E14" s="585">
        <v>13696</v>
      </c>
      <c r="F14" s="1753">
        <f t="shared" si="1"/>
        <v>13696</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83332</v>
      </c>
      <c r="C16" s="585"/>
      <c r="D16" s="1753">
        <f t="shared" si="0"/>
        <v>83332</v>
      </c>
      <c r="E16" s="585">
        <v>86936</v>
      </c>
      <c r="F16" s="1753">
        <f t="shared" si="1"/>
        <v>86936</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1773065</v>
      </c>
      <c r="C19" s="1751">
        <f>SUM(C4:C18)</f>
        <v>0</v>
      </c>
      <c r="D19" s="1751">
        <f>SUM(D4:D18)</f>
        <v>1773065</v>
      </c>
      <c r="E19" s="1751">
        <f>SUM(E4:E18)</f>
        <v>1820209</v>
      </c>
      <c r="F19" s="1751">
        <f>SUM(F4:F18)</f>
        <v>1820209</v>
      </c>
    </row>
    <row r="20" spans="1:6" ht="13.5" thickTop="1" x14ac:dyDescent="0.2">
      <c r="B20" s="713"/>
      <c r="F20" s="716"/>
    </row>
    <row r="21" spans="1:6" x14ac:dyDescent="0.2">
      <c r="A21" s="717" t="s">
        <v>1807</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3" tint="0.59999389629810485"/>
    <pageSetUpPr fitToPage="1"/>
  </sheetPr>
  <dimension ref="A1:K59"/>
  <sheetViews>
    <sheetView showGridLines="0" defaultGridColor="0" topLeftCell="A16" colorId="8" zoomScaleNormal="100" workbookViewId="0">
      <selection activeCell="H40" sqref="H40"/>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2" t="s">
        <v>629</v>
      </c>
      <c r="B1" s="2210"/>
      <c r="C1" s="721"/>
    </row>
    <row r="2" spans="1:7" ht="33.75" x14ac:dyDescent="0.2">
      <c r="A2" s="2217" t="s">
        <v>1801</v>
      </c>
      <c r="B2" s="2218"/>
      <c r="C2" s="1884" t="s">
        <v>1953</v>
      </c>
      <c r="D2" s="723" t="s">
        <v>1954</v>
      </c>
      <c r="E2" s="723" t="s">
        <v>1955</v>
      </c>
      <c r="F2" s="1884" t="s">
        <v>1956</v>
      </c>
    </row>
    <row r="3" spans="1:7" ht="15.75" customHeight="1" x14ac:dyDescent="0.2">
      <c r="A3" s="2219" t="s">
        <v>1114</v>
      </c>
      <c r="B3" s="2220"/>
      <c r="C3" s="2213"/>
      <c r="D3" s="2214"/>
      <c r="E3" s="2214"/>
      <c r="F3" s="2215"/>
    </row>
    <row r="4" spans="1:7" ht="12.75" customHeight="1" thickBot="1" x14ac:dyDescent="0.25">
      <c r="A4" s="2207" t="s">
        <v>630</v>
      </c>
      <c r="B4" s="2208"/>
      <c r="C4" s="581"/>
      <c r="D4" s="581"/>
      <c r="E4" s="581"/>
      <c r="F4" s="1755">
        <f>SUM(C4+D4)-E4</f>
        <v>0</v>
      </c>
    </row>
    <row r="5" spans="1:7" ht="15.75" customHeight="1" thickTop="1" x14ac:dyDescent="0.2">
      <c r="A5" s="2211" t="s">
        <v>1110</v>
      </c>
      <c r="B5" s="2206"/>
      <c r="C5" s="2200"/>
      <c r="D5" s="2201"/>
      <c r="E5" s="2201"/>
      <c r="F5" s="2202"/>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203" t="s">
        <v>631</v>
      </c>
      <c r="B15" s="2204"/>
      <c r="C15" s="1755">
        <f>SUM(C6:C14)</f>
        <v>0</v>
      </c>
      <c r="D15" s="1755">
        <f>SUM(D6:D14)</f>
        <v>0</v>
      </c>
      <c r="E15" s="1755">
        <f>SUM(E6:E14)</f>
        <v>0</v>
      </c>
      <c r="F15" s="1755">
        <f>SUM(F6:F14)</f>
        <v>0</v>
      </c>
      <c r="G15" s="552"/>
    </row>
    <row r="16" spans="1:7" s="202" customFormat="1" ht="15.75" customHeight="1" thickTop="1" x14ac:dyDescent="0.2">
      <c r="A16" s="2216" t="s">
        <v>1111</v>
      </c>
      <c r="B16" s="2206"/>
      <c r="C16" s="2200"/>
      <c r="D16" s="2201"/>
      <c r="E16" s="2201"/>
      <c r="F16" s="2202"/>
    </row>
    <row r="17" spans="1:11" ht="12.75" customHeight="1" thickBot="1" x14ac:dyDescent="0.25">
      <c r="A17" s="2198" t="s">
        <v>64</v>
      </c>
      <c r="B17" s="2199"/>
      <c r="C17" s="726"/>
      <c r="D17" s="585"/>
      <c r="E17" s="726"/>
      <c r="F17" s="1755">
        <f>SUM(C17+D17)-E17</f>
        <v>0</v>
      </c>
    </row>
    <row r="18" spans="1:11" ht="12.75" customHeight="1" thickTop="1" thickBot="1" x14ac:dyDescent="0.25">
      <c r="A18" s="2198" t="s">
        <v>6</v>
      </c>
      <c r="B18" s="2199"/>
      <c r="C18" s="726"/>
      <c r="D18" s="585"/>
      <c r="E18" s="726"/>
      <c r="F18" s="1755">
        <f>SUM(C18+D18)-E18</f>
        <v>0</v>
      </c>
    </row>
    <row r="19" spans="1:11" ht="12.75" customHeight="1" thickTop="1" thickBot="1" x14ac:dyDescent="0.25">
      <c r="A19" s="2198" t="s">
        <v>388</v>
      </c>
      <c r="B19" s="2199"/>
      <c r="C19" s="726"/>
      <c r="D19" s="585"/>
      <c r="E19" s="726"/>
      <c r="F19" s="1755">
        <f>SUM(C19+D19)-E19</f>
        <v>0</v>
      </c>
    </row>
    <row r="20" spans="1:11" ht="12.75" customHeight="1" thickTop="1" thickBot="1" x14ac:dyDescent="0.25">
      <c r="A20" s="2198" t="s">
        <v>448</v>
      </c>
      <c r="B20" s="2199"/>
      <c r="C20" s="726"/>
      <c r="D20" s="585"/>
      <c r="E20" s="726"/>
      <c r="F20" s="1755">
        <f>SUM(C20+D20)-E20</f>
        <v>0</v>
      </c>
    </row>
    <row r="21" spans="1:11" ht="14.25" thickTop="1" thickBot="1" x14ac:dyDescent="0.25">
      <c r="A21" s="2203" t="s">
        <v>632</v>
      </c>
      <c r="B21" s="2204"/>
      <c r="C21" s="1755">
        <f>SUM(C17:C20)</f>
        <v>0</v>
      </c>
      <c r="D21" s="1755">
        <f>SUM(D17:D20)</f>
        <v>0</v>
      </c>
      <c r="E21" s="1755">
        <f>SUM(E17:E20)</f>
        <v>0</v>
      </c>
      <c r="F21" s="1755">
        <f>SUM(F17:F20)</f>
        <v>0</v>
      </c>
      <c r="G21" s="552"/>
    </row>
    <row r="22" spans="1:11" ht="15.75" customHeight="1" thickTop="1" x14ac:dyDescent="0.2">
      <c r="A22" s="2205" t="s">
        <v>1112</v>
      </c>
      <c r="B22" s="2206"/>
      <c r="C22" s="2200"/>
      <c r="D22" s="2201"/>
      <c r="E22" s="2201"/>
      <c r="F22" s="2202"/>
    </row>
    <row r="23" spans="1:11" ht="13.5" thickBot="1" x14ac:dyDescent="0.25">
      <c r="A23" s="2207" t="s">
        <v>633</v>
      </c>
      <c r="B23" s="2208"/>
      <c r="C23" s="581"/>
      <c r="D23" s="581"/>
      <c r="E23" s="581"/>
      <c r="F23" s="1755">
        <f>SUM(C23+D23)-E23</f>
        <v>0</v>
      </c>
      <c r="G23" s="552"/>
    </row>
    <row r="24" spans="1:11" ht="15.75" customHeight="1" thickTop="1" x14ac:dyDescent="0.2">
      <c r="A24" s="2205" t="s">
        <v>1113</v>
      </c>
      <c r="B24" s="2206"/>
      <c r="C24" s="2200"/>
      <c r="D24" s="2201"/>
      <c r="E24" s="2201"/>
      <c r="F24" s="2202"/>
    </row>
    <row r="25" spans="1:11" ht="13.5" thickBot="1" x14ac:dyDescent="0.25">
      <c r="A25" s="2207" t="s">
        <v>634</v>
      </c>
      <c r="B25" s="2208"/>
      <c r="C25" s="581"/>
      <c r="D25" s="581"/>
      <c r="E25" s="581"/>
      <c r="F25" s="1755">
        <f>SUM(C25+D25)-E25</f>
        <v>0</v>
      </c>
      <c r="G25" s="552"/>
    </row>
    <row r="26" spans="1:11" ht="15.75" customHeight="1" thickTop="1" x14ac:dyDescent="0.2">
      <c r="A26" s="2211" t="s">
        <v>657</v>
      </c>
      <c r="B26" s="2206"/>
      <c r="C26" s="727"/>
      <c r="D26" s="727"/>
      <c r="E26" s="727"/>
      <c r="F26" s="728"/>
    </row>
    <row r="27" spans="1:11" ht="13.5" thickBot="1" x14ac:dyDescent="0.25">
      <c r="A27" s="2203" t="s">
        <v>1070</v>
      </c>
      <c r="B27" s="2204"/>
      <c r="C27" s="585"/>
      <c r="D27" s="585"/>
      <c r="E27" s="585"/>
      <c r="F27" s="1755">
        <f>SUM(C27+D27)-E27</f>
        <v>0</v>
      </c>
      <c r="G27" s="552"/>
    </row>
    <row r="28" spans="1:11" ht="7.5" customHeight="1" thickTop="1" x14ac:dyDescent="0.2">
      <c r="A28" s="593"/>
    </row>
    <row r="29" spans="1:11" ht="23.25" customHeight="1" x14ac:dyDescent="0.2">
      <c r="A29" s="2209" t="s">
        <v>582</v>
      </c>
      <c r="B29" s="2210"/>
      <c r="C29" s="729"/>
      <c r="D29" s="729"/>
      <c r="E29" s="729"/>
      <c r="F29" s="729"/>
      <c r="G29" s="729"/>
      <c r="H29" s="729"/>
      <c r="I29" s="729"/>
      <c r="J29" s="729"/>
    </row>
    <row r="30" spans="1:11" ht="33.75" x14ac:dyDescent="0.2">
      <c r="A30" s="1529" t="s">
        <v>1071</v>
      </c>
      <c r="B30" s="730" t="s">
        <v>1124</v>
      </c>
      <c r="C30" s="1885" t="s">
        <v>583</v>
      </c>
      <c r="D30" s="1885" t="s">
        <v>1673</v>
      </c>
      <c r="E30" s="1885" t="s">
        <v>1957</v>
      </c>
      <c r="F30" s="1885" t="s">
        <v>1958</v>
      </c>
      <c r="G30" s="1885" t="s">
        <v>1909</v>
      </c>
      <c r="H30" s="1885" t="s">
        <v>1959</v>
      </c>
      <c r="I30" s="1885" t="s">
        <v>1960</v>
      </c>
      <c r="J30" s="1886" t="s">
        <v>2</v>
      </c>
      <c r="K30" s="731"/>
    </row>
    <row r="31" spans="1:11" ht="12" customHeight="1" x14ac:dyDescent="0.2">
      <c r="A31" s="732" t="s">
        <v>2079</v>
      </c>
      <c r="B31" s="733">
        <v>41548</v>
      </c>
      <c r="C31" s="734">
        <v>1587300</v>
      </c>
      <c r="D31" s="735">
        <v>2</v>
      </c>
      <c r="E31" s="734">
        <v>1184500</v>
      </c>
      <c r="F31" s="734"/>
      <c r="G31" s="734"/>
      <c r="H31" s="734">
        <v>198200</v>
      </c>
      <c r="I31" s="1756">
        <f>((E31+F31)-H31)+G31</f>
        <v>986300</v>
      </c>
      <c r="J31" s="734">
        <v>967478</v>
      </c>
      <c r="K31" s="736"/>
    </row>
    <row r="32" spans="1:11" ht="12" customHeight="1" x14ac:dyDescent="0.2">
      <c r="A32" s="732" t="s">
        <v>2080</v>
      </c>
      <c r="B32" s="733">
        <v>42752</v>
      </c>
      <c r="C32" s="734">
        <v>43000</v>
      </c>
      <c r="D32" s="735">
        <v>7</v>
      </c>
      <c r="E32" s="734">
        <v>21724</v>
      </c>
      <c r="F32" s="734"/>
      <c r="G32" s="734"/>
      <c r="H32" s="734">
        <v>14411</v>
      </c>
      <c r="I32" s="1756">
        <f>((E32+F32)-H32)+G32</f>
        <v>7313</v>
      </c>
      <c r="J32" s="734">
        <v>7313</v>
      </c>
      <c r="K32" s="736"/>
    </row>
    <row r="33" spans="1:11" ht="12" customHeight="1" x14ac:dyDescent="0.2">
      <c r="A33" s="732" t="s">
        <v>2121</v>
      </c>
      <c r="B33" s="733">
        <v>43322</v>
      </c>
      <c r="C33" s="734">
        <v>45601</v>
      </c>
      <c r="D33" s="735">
        <v>8</v>
      </c>
      <c r="E33" s="734"/>
      <c r="F33" s="734"/>
      <c r="G33" s="734">
        <v>35751</v>
      </c>
      <c r="H33" s="734"/>
      <c r="I33" s="1756">
        <f t="shared" ref="I33:I48" si="1">((E33+F33)-H33)+G33</f>
        <v>35751</v>
      </c>
      <c r="J33" s="734">
        <v>35751</v>
      </c>
      <c r="K33" s="736"/>
    </row>
    <row r="34" spans="1:11" ht="12" customHeight="1" x14ac:dyDescent="0.2">
      <c r="A34" s="732" t="s">
        <v>2122</v>
      </c>
      <c r="B34" s="733">
        <v>43348</v>
      </c>
      <c r="C34" s="734">
        <v>45071</v>
      </c>
      <c r="D34" s="735">
        <v>8</v>
      </c>
      <c r="E34" s="734"/>
      <c r="F34" s="734"/>
      <c r="G34" s="734">
        <v>29109</v>
      </c>
      <c r="H34" s="734"/>
      <c r="I34" s="1756">
        <f t="shared" si="1"/>
        <v>29109</v>
      </c>
      <c r="J34" s="734">
        <v>29109</v>
      </c>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1720972</v>
      </c>
      <c r="D49" s="745"/>
      <c r="E49" s="1756">
        <f t="shared" ref="E49:J49" si="2">SUM(E31:E48)</f>
        <v>1206224</v>
      </c>
      <c r="F49" s="1756">
        <f t="shared" si="2"/>
        <v>0</v>
      </c>
      <c r="G49" s="1756">
        <f t="shared" si="2"/>
        <v>64860</v>
      </c>
      <c r="H49" s="1756">
        <f t="shared" si="2"/>
        <v>212611</v>
      </c>
      <c r="I49" s="1756">
        <f t="shared" si="2"/>
        <v>1058473</v>
      </c>
      <c r="J49" s="1756">
        <f t="shared" si="2"/>
        <v>1039651</v>
      </c>
      <c r="K49" s="737"/>
    </row>
    <row r="50" spans="1:11" ht="6" customHeight="1" x14ac:dyDescent="0.2">
      <c r="A50" s="746"/>
      <c r="B50" s="736"/>
      <c r="C50" s="736"/>
      <c r="D50" s="736"/>
      <c r="E50" s="736"/>
      <c r="F50" s="736"/>
      <c r="G50" s="736"/>
      <c r="H50" s="736"/>
      <c r="I50" s="736"/>
      <c r="J50" s="746"/>
    </row>
    <row r="51" spans="1:11" x14ac:dyDescent="0.2">
      <c r="A51" s="747" t="s">
        <v>1806</v>
      </c>
      <c r="B51" s="746"/>
      <c r="C51" s="737"/>
      <c r="D51" s="737"/>
      <c r="E51" s="737"/>
      <c r="F51" s="737"/>
      <c r="G51" s="737"/>
      <c r="H51" s="736"/>
      <c r="I51" s="736"/>
      <c r="J51" s="746"/>
    </row>
    <row r="52" spans="1:11" ht="11.25" customHeight="1" x14ac:dyDescent="0.2">
      <c r="A52" s="748" t="s">
        <v>912</v>
      </c>
      <c r="B52" s="2192" t="s">
        <v>584</v>
      </c>
      <c r="C52" s="2193"/>
      <c r="D52" s="2193"/>
      <c r="E52" s="749" t="s">
        <v>845</v>
      </c>
      <c r="F52" s="2194" t="s">
        <v>2081</v>
      </c>
      <c r="G52" s="2195"/>
      <c r="H52" s="736"/>
      <c r="I52" s="736"/>
      <c r="J52" s="746"/>
    </row>
    <row r="53" spans="1:11" ht="11.25" customHeight="1" x14ac:dyDescent="0.2">
      <c r="A53" s="750" t="s">
        <v>913</v>
      </c>
      <c r="B53" s="751" t="s">
        <v>951</v>
      </c>
      <c r="C53" s="746"/>
      <c r="D53" s="737"/>
      <c r="E53" s="749" t="s">
        <v>497</v>
      </c>
      <c r="F53" s="2196" t="s">
        <v>2120</v>
      </c>
      <c r="G53" s="2197"/>
      <c r="H53" s="736"/>
      <c r="I53" s="736"/>
      <c r="J53" s="746"/>
    </row>
    <row r="54" spans="1:11" ht="11.25" customHeight="1" x14ac:dyDescent="0.2">
      <c r="A54" s="752" t="s">
        <v>914</v>
      </c>
      <c r="B54" s="747" t="s">
        <v>952</v>
      </c>
      <c r="C54" s="746"/>
      <c r="D54" s="737"/>
      <c r="E54" s="749" t="s">
        <v>498</v>
      </c>
      <c r="F54" s="2196"/>
      <c r="G54" s="2197"/>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3" tint="0.59999389629810485"/>
  </sheetPr>
  <dimension ref="A1:K48"/>
  <sheetViews>
    <sheetView showGridLines="0" defaultGridColor="0" colorId="8" zoomScaleNormal="100" workbookViewId="0">
      <selection activeCell="K7" sqref="K7"/>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1" t="s">
        <v>856</v>
      </c>
      <c r="B1" s="2222"/>
      <c r="C1" s="2222"/>
      <c r="D1" s="2222"/>
      <c r="E1" s="2222"/>
      <c r="F1" s="2222"/>
      <c r="G1" s="2223"/>
      <c r="H1" s="1530"/>
      <c r="I1" s="760"/>
      <c r="J1" s="433"/>
    </row>
    <row r="2" spans="1:11" ht="26.25" x14ac:dyDescent="0.2">
      <c r="A2" s="2240" t="s">
        <v>1677</v>
      </c>
      <c r="B2" s="2241"/>
      <c r="C2" s="2241"/>
      <c r="D2" s="2241"/>
      <c r="E2" s="2242"/>
      <c r="F2" s="761" t="s">
        <v>904</v>
      </c>
      <c r="G2" s="762" t="s">
        <v>1674</v>
      </c>
      <c r="H2" s="762" t="s">
        <v>410</v>
      </c>
      <c r="I2" s="762" t="s">
        <v>1158</v>
      </c>
      <c r="J2" s="762" t="s">
        <v>1811</v>
      </c>
      <c r="K2" s="762" t="s">
        <v>138</v>
      </c>
    </row>
    <row r="3" spans="1:11" x14ac:dyDescent="0.2">
      <c r="A3" s="2243" t="s">
        <v>1961</v>
      </c>
      <c r="B3" s="2244"/>
      <c r="C3" s="2244"/>
      <c r="D3" s="2244"/>
      <c r="E3" s="2245"/>
      <c r="F3" s="763"/>
      <c r="G3" s="764"/>
      <c r="H3" s="764"/>
      <c r="I3" s="764"/>
      <c r="J3" s="765"/>
      <c r="K3" s="765"/>
    </row>
    <row r="4" spans="1:11" x14ac:dyDescent="0.2">
      <c r="A4" s="2246" t="s">
        <v>369</v>
      </c>
      <c r="B4" s="2247"/>
      <c r="C4" s="2247"/>
      <c r="D4" s="2247"/>
      <c r="E4" s="2193"/>
      <c r="F4" s="766"/>
      <c r="G4" s="767"/>
      <c r="H4" s="768"/>
      <c r="I4" s="767"/>
      <c r="J4" s="769"/>
      <c r="K4" s="769"/>
    </row>
    <row r="5" spans="1:11" x14ac:dyDescent="0.2">
      <c r="A5" s="2224" t="s">
        <v>1069</v>
      </c>
      <c r="B5" s="2225"/>
      <c r="C5" s="2225"/>
      <c r="D5" s="2225"/>
      <c r="E5" s="2226"/>
      <c r="F5" s="770" t="s">
        <v>848</v>
      </c>
      <c r="G5" s="771"/>
      <c r="H5" s="764">
        <v>13296</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v>1687</v>
      </c>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v>3894</v>
      </c>
    </row>
    <row r="10" spans="1:11" x14ac:dyDescent="0.2">
      <c r="A10" s="2224" t="s">
        <v>1812</v>
      </c>
      <c r="B10" s="2225"/>
      <c r="C10" s="2225"/>
      <c r="D10" s="2225"/>
      <c r="E10" s="2227"/>
      <c r="F10" s="783" t="s">
        <v>862</v>
      </c>
      <c r="G10" s="782"/>
      <c r="H10" s="784"/>
      <c r="I10" s="764"/>
      <c r="J10" s="765"/>
      <c r="K10" s="765"/>
    </row>
    <row r="11" spans="1:11" x14ac:dyDescent="0.2">
      <c r="A11" s="2224" t="s">
        <v>160</v>
      </c>
      <c r="B11" s="2225"/>
      <c r="C11" s="2225"/>
      <c r="D11" s="2225"/>
      <c r="E11" s="2226"/>
      <c r="F11" s="770" t="s">
        <v>852</v>
      </c>
      <c r="G11" s="771"/>
      <c r="H11" s="764"/>
      <c r="I11" s="764"/>
      <c r="J11" s="765"/>
      <c r="K11" s="773"/>
    </row>
    <row r="12" spans="1:11" ht="13.5" thickBot="1" x14ac:dyDescent="0.25">
      <c r="A12" s="2251" t="s">
        <v>905</v>
      </c>
      <c r="B12" s="2252"/>
      <c r="C12" s="2252"/>
      <c r="D12" s="2252"/>
      <c r="E12" s="2253"/>
      <c r="F12" s="1757"/>
      <c r="G12" s="1758">
        <f>SUM(G5:G11)</f>
        <v>0</v>
      </c>
      <c r="H12" s="1758">
        <f>SUM(H5:H11)</f>
        <v>13296</v>
      </c>
      <c r="I12" s="1758">
        <f>SUM(I5:I11)</f>
        <v>0</v>
      </c>
      <c r="J12" s="1758">
        <f>SUM(J5:J11)</f>
        <v>0</v>
      </c>
      <c r="K12" s="1758">
        <f>SUM(K5:K11)</f>
        <v>5581</v>
      </c>
    </row>
    <row r="13" spans="1:11" ht="13.5" thickTop="1" x14ac:dyDescent="0.2">
      <c r="A13" s="2248" t="s">
        <v>370</v>
      </c>
      <c r="B13" s="2249"/>
      <c r="C13" s="2249"/>
      <c r="D13" s="2249"/>
      <c r="E13" s="2250"/>
      <c r="F13" s="785"/>
      <c r="G13" s="786"/>
      <c r="H13" s="787"/>
      <c r="I13" s="788"/>
      <c r="J13" s="788"/>
      <c r="K13" s="788"/>
    </row>
    <row r="14" spans="1:11" x14ac:dyDescent="0.2">
      <c r="A14" s="2231" t="s">
        <v>456</v>
      </c>
      <c r="B14" s="2231"/>
      <c r="C14" s="2231"/>
      <c r="D14" s="2231"/>
      <c r="E14" s="2232"/>
      <c r="F14" s="789" t="s">
        <v>854</v>
      </c>
      <c r="G14" s="782"/>
      <c r="H14" s="764">
        <v>13296</v>
      </c>
      <c r="I14" s="771"/>
      <c r="J14" s="773"/>
      <c r="K14" s="765">
        <v>5581</v>
      </c>
    </row>
    <row r="15" spans="1:11" x14ac:dyDescent="0.2">
      <c r="A15" s="2225" t="s">
        <v>4</v>
      </c>
      <c r="B15" s="2225"/>
      <c r="C15" s="2225"/>
      <c r="D15" s="2225"/>
      <c r="E15" s="2226"/>
      <c r="F15" s="789" t="s">
        <v>855</v>
      </c>
      <c r="G15" s="771"/>
      <c r="H15" s="764"/>
      <c r="I15" s="764"/>
      <c r="J15" s="765"/>
      <c r="K15" s="765"/>
    </row>
    <row r="16" spans="1:11" x14ac:dyDescent="0.2">
      <c r="A16" s="2225" t="s">
        <v>298</v>
      </c>
      <c r="B16" s="2225"/>
      <c r="C16" s="2225"/>
      <c r="D16" s="2225"/>
      <c r="E16" s="2226"/>
      <c r="F16" s="789" t="s">
        <v>923</v>
      </c>
      <c r="G16" s="772"/>
      <c r="H16" s="767"/>
      <c r="I16" s="767"/>
      <c r="J16" s="769"/>
      <c r="K16" s="769"/>
    </row>
    <row r="17" spans="1:11" x14ac:dyDescent="0.2">
      <c r="A17" s="2256" t="s">
        <v>935</v>
      </c>
      <c r="B17" s="2256"/>
      <c r="C17" s="2256"/>
      <c r="D17" s="2256"/>
      <c r="E17" s="2257"/>
      <c r="F17" s="790"/>
      <c r="G17" s="791"/>
      <c r="H17" s="792"/>
      <c r="I17" s="792"/>
      <c r="J17" s="793"/>
      <c r="K17" s="794"/>
    </row>
    <row r="18" spans="1:11" x14ac:dyDescent="0.2">
      <c r="A18" s="2235" t="s">
        <v>368</v>
      </c>
      <c r="B18" s="2236"/>
      <c r="C18" s="2236"/>
      <c r="D18" s="2236"/>
      <c r="E18" s="2237"/>
      <c r="F18" s="789" t="s">
        <v>932</v>
      </c>
      <c r="G18" s="782"/>
      <c r="H18" s="782"/>
      <c r="I18" s="782"/>
      <c r="J18" s="765"/>
      <c r="K18" s="795"/>
    </row>
    <row r="19" spans="1:11" ht="21.75" customHeight="1" x14ac:dyDescent="0.2">
      <c r="A19" s="2233" t="s">
        <v>1808</v>
      </c>
      <c r="B19" s="2233"/>
      <c r="C19" s="2233"/>
      <c r="D19" s="2233"/>
      <c r="E19" s="2234"/>
      <c r="F19" s="789" t="s">
        <v>933</v>
      </c>
      <c r="G19" s="782"/>
      <c r="H19" s="782"/>
      <c r="I19" s="782"/>
      <c r="J19" s="765"/>
      <c r="K19" s="795"/>
    </row>
    <row r="20" spans="1:11" x14ac:dyDescent="0.2">
      <c r="A20" s="2235" t="s">
        <v>1813</v>
      </c>
      <c r="B20" s="2236"/>
      <c r="C20" s="2236"/>
      <c r="D20" s="2236"/>
      <c r="E20" s="2237"/>
      <c r="F20" s="789" t="s">
        <v>934</v>
      </c>
      <c r="G20" s="782"/>
      <c r="H20" s="782"/>
      <c r="I20" s="782"/>
      <c r="J20" s="765"/>
      <c r="K20" s="795"/>
    </row>
    <row r="21" spans="1:11" ht="13.5" thickBot="1" x14ac:dyDescent="0.25">
      <c r="A21" s="2254" t="s">
        <v>638</v>
      </c>
      <c r="B21" s="2254"/>
      <c r="C21" s="2254"/>
      <c r="D21" s="2254"/>
      <c r="E21" s="2254"/>
      <c r="F21" s="1759"/>
      <c r="G21" s="792"/>
      <c r="H21" s="796"/>
      <c r="I21" s="796"/>
      <c r="J21" s="1760">
        <f>SUM(J18:J20)</f>
        <v>0</v>
      </c>
      <c r="K21" s="793"/>
    </row>
    <row r="22" spans="1:11" ht="13.5" thickTop="1" x14ac:dyDescent="0.2">
      <c r="A22" s="2225" t="s">
        <v>1814</v>
      </c>
      <c r="B22" s="2225"/>
      <c r="C22" s="2225"/>
      <c r="D22" s="2225"/>
      <c r="E22" s="2226"/>
      <c r="F22" s="789" t="s">
        <v>862</v>
      </c>
      <c r="G22" s="782"/>
      <c r="H22" s="764"/>
      <c r="I22" s="764"/>
      <c r="J22" s="797"/>
      <c r="K22" s="765"/>
    </row>
    <row r="23" spans="1:11" ht="13.5" thickBot="1" x14ac:dyDescent="0.25">
      <c r="A23" s="2255" t="s">
        <v>906</v>
      </c>
      <c r="B23" s="2254"/>
      <c r="C23" s="2254"/>
      <c r="D23" s="2254"/>
      <c r="E23" s="2254"/>
      <c r="F23" s="1761"/>
      <c r="G23" s="1758">
        <f>SUM(G14:G16,G21,G22)</f>
        <v>0</v>
      </c>
      <c r="H23" s="1758">
        <f>SUM(H14:H16,H21,H22)</f>
        <v>13296</v>
      </c>
      <c r="I23" s="1758">
        <f>SUM(I14:I16,I21,I22)</f>
        <v>0</v>
      </c>
      <c r="J23" s="1758">
        <f>SUM(J14:J16,J21,J22)</f>
        <v>0</v>
      </c>
      <c r="K23" s="1758">
        <f>SUM(K14:K16,K21,K22)</f>
        <v>5581</v>
      </c>
    </row>
    <row r="24" spans="1:11" ht="14.25" thickTop="1" thickBot="1" x14ac:dyDescent="0.25">
      <c r="A24" s="2255" t="s">
        <v>1962</v>
      </c>
      <c r="B24" s="2254"/>
      <c r="C24" s="2254"/>
      <c r="D24" s="2254"/>
      <c r="E24" s="2254"/>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1908</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t="s">
        <v>2064</v>
      </c>
      <c r="E30" s="808" t="s">
        <v>768</v>
      </c>
      <c r="F30" s="202"/>
      <c r="G30" s="805"/>
    </row>
    <row r="31" spans="1:11" x14ac:dyDescent="0.2">
      <c r="A31" s="809"/>
      <c r="D31" s="237"/>
      <c r="E31" s="810" t="s">
        <v>769</v>
      </c>
      <c r="F31" s="811" t="s">
        <v>539</v>
      </c>
      <c r="G31" s="764"/>
      <c r="H31" s="2228"/>
      <c r="I31" s="2229"/>
      <c r="J31" s="2229"/>
      <c r="K31" s="2229"/>
    </row>
    <row r="32" spans="1:11" x14ac:dyDescent="0.2">
      <c r="A32" s="809"/>
      <c r="B32" s="237"/>
      <c r="C32" s="237"/>
      <c r="D32" s="237"/>
      <c r="E32" s="805"/>
      <c r="F32" s="811" t="s">
        <v>540</v>
      </c>
      <c r="G32" s="764"/>
      <c r="H32" s="2230"/>
      <c r="I32" s="2229"/>
      <c r="J32" s="2229"/>
      <c r="K32" s="2229"/>
    </row>
    <row r="33" spans="1:11" ht="1.5" customHeight="1" x14ac:dyDescent="0.2">
      <c r="A33" s="812" t="s">
        <v>1169</v>
      </c>
      <c r="B33" s="364"/>
      <c r="C33" s="364"/>
      <c r="D33" s="364"/>
      <c r="E33" s="364"/>
      <c r="F33" s="364"/>
      <c r="G33" s="813"/>
      <c r="H33" s="2230"/>
      <c r="I33" s="2229"/>
      <c r="J33" s="2229"/>
      <c r="K33" s="2229"/>
    </row>
    <row r="34" spans="1:11" x14ac:dyDescent="0.2">
      <c r="A34" s="814" t="s">
        <v>1815</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5" t="s">
        <v>541</v>
      </c>
      <c r="B41" s="2238"/>
      <c r="C41" s="2238"/>
      <c r="D41" s="2238"/>
      <c r="E41" s="2238"/>
      <c r="F41" s="2239"/>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1809</v>
      </c>
      <c r="B46" s="408" t="s">
        <v>1675</v>
      </c>
    </row>
    <row r="47" spans="1:11" s="823" customFormat="1" ht="12.75" customHeight="1" x14ac:dyDescent="0.2">
      <c r="A47" s="821"/>
      <c r="B47" s="822" t="s">
        <v>1676</v>
      </c>
      <c r="E47" s="822"/>
      <c r="K47" s="824"/>
    </row>
    <row r="48" spans="1:11" ht="12.75" customHeight="1" x14ac:dyDescent="0.2">
      <c r="A48" s="1532" t="s">
        <v>1810</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3" tint="0.59999389629810485"/>
  </sheetPr>
  <dimension ref="A1:N27"/>
  <sheetViews>
    <sheetView showGridLines="0" defaultGridColor="0" colorId="8" zoomScale="110" zoomScaleNormal="110" workbookViewId="0">
      <selection activeCell="E24" sqref="E24"/>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0" t="s">
        <v>1907</v>
      </c>
      <c r="B1" s="2261"/>
      <c r="C1" s="2262"/>
      <c r="D1" s="826"/>
      <c r="E1" s="827"/>
      <c r="F1" s="827"/>
      <c r="G1" s="828"/>
      <c r="H1" s="829"/>
      <c r="I1" s="830"/>
      <c r="J1" s="2258"/>
      <c r="K1" s="2259"/>
      <c r="L1" s="2259"/>
    </row>
    <row r="2" spans="1:14" ht="69.75" customHeight="1" x14ac:dyDescent="0.2">
      <c r="A2" s="831" t="s">
        <v>1678</v>
      </c>
      <c r="B2" s="832" t="s">
        <v>378</v>
      </c>
      <c r="C2" s="833" t="s">
        <v>1963</v>
      </c>
      <c r="D2" s="833" t="s">
        <v>1964</v>
      </c>
      <c r="E2" s="833" t="s">
        <v>1965</v>
      </c>
      <c r="F2" s="833" t="s">
        <v>1966</v>
      </c>
      <c r="G2" s="833" t="s">
        <v>605</v>
      </c>
      <c r="H2" s="833" t="s">
        <v>1967</v>
      </c>
      <c r="I2" s="833" t="s">
        <v>1968</v>
      </c>
      <c r="J2" s="833" t="s">
        <v>1969</v>
      </c>
      <c r="K2" s="833" t="s">
        <v>1970</v>
      </c>
      <c r="L2" s="833" t="s">
        <v>1971</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20000</v>
      </c>
      <c r="D5" s="841"/>
      <c r="E5" s="841"/>
      <c r="F5" s="1760">
        <f>(C5+D5)-E5</f>
        <v>20000</v>
      </c>
      <c r="G5" s="837"/>
      <c r="H5" s="842"/>
      <c r="I5" s="842"/>
      <c r="J5" s="842"/>
      <c r="K5" s="793"/>
      <c r="L5" s="1769">
        <f>F5-K5</f>
        <v>20000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9409267</v>
      </c>
      <c r="D8" s="844">
        <v>7376</v>
      </c>
      <c r="E8" s="844"/>
      <c r="F8" s="1760">
        <f>(C8+D8)-E8</f>
        <v>9416643</v>
      </c>
      <c r="G8" s="843">
        <v>50</v>
      </c>
      <c r="H8" s="765">
        <v>3017341</v>
      </c>
      <c r="I8" s="765">
        <v>188210</v>
      </c>
      <c r="J8" s="765"/>
      <c r="K8" s="1769">
        <f>(H8+I8)-J8</f>
        <v>3205551</v>
      </c>
      <c r="L8" s="1769">
        <f>F8-K8</f>
        <v>6211092</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18751</v>
      </c>
      <c r="D10" s="846"/>
      <c r="E10" s="846"/>
      <c r="F10" s="1764">
        <f>(C10+D10)-E10</f>
        <v>18751</v>
      </c>
      <c r="G10" s="843">
        <v>20</v>
      </c>
      <c r="H10" s="847">
        <v>7028</v>
      </c>
      <c r="I10" s="847">
        <v>938</v>
      </c>
      <c r="J10" s="847"/>
      <c r="K10" s="1769">
        <f>(H10+I10)-J10</f>
        <v>7966</v>
      </c>
      <c r="L10" s="1769">
        <f>F10-K10</f>
        <v>10785</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318886</v>
      </c>
      <c r="D12" s="844">
        <v>100065</v>
      </c>
      <c r="E12" s="844">
        <v>20228</v>
      </c>
      <c r="F12" s="1760">
        <f>(C12+D12)-E12</f>
        <v>398723</v>
      </c>
      <c r="G12" s="843">
        <v>10</v>
      </c>
      <c r="H12" s="765">
        <v>96861</v>
      </c>
      <c r="I12" s="765">
        <v>36249</v>
      </c>
      <c r="J12" s="765">
        <v>20228</v>
      </c>
      <c r="K12" s="1769">
        <f>(H12+I12)-J12</f>
        <v>112882</v>
      </c>
      <c r="L12" s="1769">
        <f>F12-K12</f>
        <v>285841</v>
      </c>
    </row>
    <row r="13" spans="1:14" ht="14.25" thickTop="1" thickBot="1" x14ac:dyDescent="0.25">
      <c r="A13" s="848" t="s">
        <v>1122</v>
      </c>
      <c r="B13" s="840">
        <v>252</v>
      </c>
      <c r="C13" s="844">
        <v>448218</v>
      </c>
      <c r="D13" s="844">
        <v>90672</v>
      </c>
      <c r="E13" s="844">
        <v>114253</v>
      </c>
      <c r="F13" s="1760">
        <f>(C13+D13)-E13</f>
        <v>424637</v>
      </c>
      <c r="G13" s="843">
        <v>5</v>
      </c>
      <c r="H13" s="765">
        <v>370657</v>
      </c>
      <c r="I13" s="765">
        <v>33284</v>
      </c>
      <c r="J13" s="765">
        <v>91811</v>
      </c>
      <c r="K13" s="1769">
        <f>(H13+I13)-J13</f>
        <v>312130</v>
      </c>
      <c r="L13" s="1769">
        <f>F13-K13</f>
        <v>112507</v>
      </c>
    </row>
    <row r="14" spans="1:14" ht="14.25" thickTop="1" thickBot="1" x14ac:dyDescent="0.25">
      <c r="A14" s="848" t="s">
        <v>1123</v>
      </c>
      <c r="B14" s="840">
        <v>253</v>
      </c>
      <c r="C14" s="765">
        <v>1979</v>
      </c>
      <c r="D14" s="765"/>
      <c r="E14" s="765"/>
      <c r="F14" s="1760">
        <f>(C14+D14)-E14</f>
        <v>1979</v>
      </c>
      <c r="G14" s="843">
        <v>3</v>
      </c>
      <c r="H14" s="765">
        <v>1979</v>
      </c>
      <c r="I14" s="765"/>
      <c r="J14" s="765"/>
      <c r="K14" s="1769">
        <f>(H14+I14)-J14</f>
        <v>1979</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10217101</v>
      </c>
      <c r="D16" s="1760">
        <f>SUM(D3,D5:D6,D8:D10,D12:D15)</f>
        <v>198113</v>
      </c>
      <c r="E16" s="1760">
        <f>SUM(E3,E5:E6,E8:E10,E12:E15)</f>
        <v>134481</v>
      </c>
      <c r="F16" s="1760">
        <f>SUM(F3,F5:F6,F8:F10,F12:F15)</f>
        <v>10280733</v>
      </c>
      <c r="G16" s="843"/>
      <c r="H16" s="1760">
        <f>SUM(H3,H6,H8:H10,H12:H14,)</f>
        <v>3493866</v>
      </c>
      <c r="I16" s="1760">
        <f>SUM(I3,I6,I8:I10,I12:I14,)</f>
        <v>258681</v>
      </c>
      <c r="J16" s="1760">
        <f>SUM(J3,J6,J8:J10,J12:J14,)</f>
        <v>112039</v>
      </c>
      <c r="K16" s="1760">
        <f>(H16+I16)-J16</f>
        <v>3640508</v>
      </c>
      <c r="L16" s="1760">
        <f>F16-K16</f>
        <v>6640225</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258681</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2"/>
  <sheetViews>
    <sheetView showGridLines="0" defaultGridColor="0" colorId="8" zoomScale="110" zoomScaleNormal="110" workbookViewId="0">
      <pane ySplit="5" topLeftCell="A190" activePane="bottomLeft" state="frozen"/>
      <selection activeCell="A47" sqref="A47"/>
      <selection pane="bottomLeft" activeCell="F172" sqref="F172"/>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6" t="s">
        <v>1972</v>
      </c>
      <c r="B1" s="2267"/>
      <c r="C1" s="2267"/>
      <c r="D1" s="2267"/>
      <c r="E1" s="2267"/>
      <c r="F1" s="2268"/>
      <c r="G1" s="855"/>
    </row>
    <row r="2" spans="1:7" ht="15" customHeight="1" thickBot="1" x14ac:dyDescent="0.25">
      <c r="A2" s="2269" t="s">
        <v>477</v>
      </c>
      <c r="B2" s="2270"/>
      <c r="C2" s="2270"/>
      <c r="D2" s="2270"/>
      <c r="E2" s="2270"/>
      <c r="F2" s="2271"/>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72"/>
      <c r="B5" s="2273"/>
      <c r="C5" s="2273"/>
      <c r="D5" s="2273"/>
      <c r="E5" s="2273"/>
      <c r="F5" s="2273"/>
    </row>
    <row r="6" spans="1:7" ht="13.5" customHeight="1" thickBot="1" x14ac:dyDescent="0.25">
      <c r="A6" s="2263" t="s">
        <v>1104</v>
      </c>
      <c r="B6" s="2264"/>
      <c r="C6" s="2264"/>
      <c r="D6" s="2264"/>
      <c r="E6" s="2264"/>
      <c r="F6" s="2265"/>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2659599</v>
      </c>
      <c r="G8" s="865"/>
    </row>
    <row r="9" spans="1:7" x14ac:dyDescent="0.2">
      <c r="A9" s="869" t="s">
        <v>460</v>
      </c>
      <c r="B9" s="870" t="s">
        <v>1875</v>
      </c>
      <c r="C9" s="871"/>
      <c r="D9" s="869" t="s">
        <v>501</v>
      </c>
      <c r="E9" s="868"/>
      <c r="F9" s="1909">
        <f>'Expenditures 15-22'!K151</f>
        <v>264052</v>
      </c>
      <c r="G9" s="872"/>
    </row>
    <row r="10" spans="1:7" x14ac:dyDescent="0.2">
      <c r="A10" s="869" t="s">
        <v>499</v>
      </c>
      <c r="B10" s="870" t="s">
        <v>1876</v>
      </c>
      <c r="C10" s="871"/>
      <c r="D10" s="869" t="s">
        <v>501</v>
      </c>
      <c r="E10" s="868"/>
      <c r="F10" s="1909">
        <f>'Expenditures 15-22'!K174</f>
        <v>248337</v>
      </c>
      <c r="G10" s="872"/>
    </row>
    <row r="11" spans="1:7" x14ac:dyDescent="0.2">
      <c r="A11" s="869" t="s">
        <v>461</v>
      </c>
      <c r="B11" s="870" t="s">
        <v>1877</v>
      </c>
      <c r="C11" s="871"/>
      <c r="D11" s="869" t="s">
        <v>501</v>
      </c>
      <c r="E11" s="868"/>
      <c r="F11" s="1909">
        <f>'Expenditures 15-22'!K210</f>
        <v>249225</v>
      </c>
      <c r="G11" s="872"/>
    </row>
    <row r="12" spans="1:7" x14ac:dyDescent="0.2">
      <c r="A12" s="869" t="s">
        <v>462</v>
      </c>
      <c r="B12" s="870" t="s">
        <v>1878</v>
      </c>
      <c r="C12" s="871"/>
      <c r="D12" s="869" t="s">
        <v>501</v>
      </c>
      <c r="E12" s="868"/>
      <c r="F12" s="1909">
        <f>'Expenditures 15-22'!K295</f>
        <v>104949</v>
      </c>
      <c r="G12" s="872"/>
    </row>
    <row r="13" spans="1:7" x14ac:dyDescent="0.2">
      <c r="A13" s="869" t="s">
        <v>106</v>
      </c>
      <c r="B13" s="870" t="s">
        <v>1879</v>
      </c>
      <c r="C13" s="871"/>
      <c r="D13" s="869" t="s">
        <v>501</v>
      </c>
      <c r="E13" s="868"/>
      <c r="F13" s="1909">
        <f>'Expenditures 15-22'!K342</f>
        <v>191776</v>
      </c>
      <c r="G13" s="873"/>
    </row>
    <row r="14" spans="1:7" ht="12" customHeight="1" thickBot="1" x14ac:dyDescent="0.25">
      <c r="A14" s="1770"/>
      <c r="B14" s="1771"/>
      <c r="C14" s="1772"/>
      <c r="D14" s="1773" t="s">
        <v>501</v>
      </c>
      <c r="E14" s="1774" t="s">
        <v>958</v>
      </c>
      <c r="F14" s="1775">
        <f>SUM(F8:F13)</f>
        <v>3717938</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1996</v>
      </c>
      <c r="C30" s="880">
        <f>'Revenues 9-14'!B150</f>
        <v>3499</v>
      </c>
      <c r="D30" s="881" t="str">
        <f>'Revenues 9-14'!A150</f>
        <v>Adult Ed - Other (Describe &amp; Itemize)</v>
      </c>
      <c r="E30" s="868"/>
      <c r="F30" s="1914">
        <f>('Revenues 9-14'!D150+'Revenues 9-14'!F150)</f>
        <v>0</v>
      </c>
      <c r="G30" s="865"/>
    </row>
    <row r="31" spans="1:7" x14ac:dyDescent="0.2">
      <c r="A31" s="869" t="s">
        <v>1097</v>
      </c>
      <c r="B31" s="870" t="s">
        <v>1997</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1998</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1999</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57005</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4975</v>
      </c>
      <c r="G52" s="865"/>
    </row>
    <row r="53" spans="1:7" x14ac:dyDescent="0.2">
      <c r="A53" s="869" t="s">
        <v>459</v>
      </c>
      <c r="B53" s="869" t="s">
        <v>1475</v>
      </c>
      <c r="C53" s="889">
        <f>'Expenditures 15-22'!B102</f>
        <v>4000</v>
      </c>
      <c r="D53" s="888" t="str">
        <f>'Expenditures 15-22'!A102</f>
        <v>Total Payments to Other Govt Units</v>
      </c>
      <c r="E53" s="868"/>
      <c r="F53" s="1913">
        <f>'Expenditures 15-22'!K102</f>
        <v>84102</v>
      </c>
      <c r="G53" s="865"/>
    </row>
    <row r="54" spans="1:7" x14ac:dyDescent="0.2">
      <c r="A54" s="869" t="s">
        <v>459</v>
      </c>
      <c r="B54" s="869" t="s">
        <v>1476</v>
      </c>
      <c r="C54" s="889" t="s">
        <v>982</v>
      </c>
      <c r="D54" s="885" t="s">
        <v>1095</v>
      </c>
      <c r="E54" s="868"/>
      <c r="F54" s="1913">
        <f>'Expenditures 15-22'!G114</f>
        <v>34621</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1880</v>
      </c>
      <c r="C57" s="889">
        <f>'Expenditures 15-22'!B139</f>
        <v>4000</v>
      </c>
      <c r="D57" s="887" t="str">
        <f>'Expenditures 15-22'!A139</f>
        <v>Total Payments to Other Govt Units</v>
      </c>
      <c r="E57" s="868"/>
      <c r="F57" s="1913">
        <f>'Expenditures 15-22'!K139</f>
        <v>0</v>
      </c>
      <c r="G57" s="865"/>
    </row>
    <row r="58" spans="1:7" x14ac:dyDescent="0.2">
      <c r="A58" s="869" t="s">
        <v>460</v>
      </c>
      <c r="B58" s="869" t="s">
        <v>1881</v>
      </c>
      <c r="C58" s="886" t="s">
        <v>982</v>
      </c>
      <c r="D58" s="885" t="s">
        <v>1095</v>
      </c>
      <c r="E58" s="868"/>
      <c r="F58" s="1915">
        <f>'Expenditures 15-22'!G151</f>
        <v>65444</v>
      </c>
      <c r="G58" s="865"/>
    </row>
    <row r="59" spans="1:7" x14ac:dyDescent="0.2">
      <c r="A59" s="893" t="s">
        <v>460</v>
      </c>
      <c r="B59" s="856" t="s">
        <v>1882</v>
      </c>
      <c r="C59" s="894" t="s">
        <v>982</v>
      </c>
      <c r="D59" s="856" t="s">
        <v>291</v>
      </c>
      <c r="F59" s="1916">
        <f>'Expenditures 15-22'!I151</f>
        <v>0</v>
      </c>
      <c r="G59" s="865"/>
    </row>
    <row r="60" spans="1:7" x14ac:dyDescent="0.2">
      <c r="A60" s="893" t="s">
        <v>499</v>
      </c>
      <c r="B60" s="856" t="s">
        <v>1883</v>
      </c>
      <c r="C60" s="894">
        <v>4000</v>
      </c>
      <c r="D60" s="856" t="s">
        <v>312</v>
      </c>
      <c r="F60" s="1914">
        <f>'Expenditures 15-22'!K160</f>
        <v>0</v>
      </c>
      <c r="G60" s="865"/>
    </row>
    <row r="61" spans="1:7" x14ac:dyDescent="0.2">
      <c r="A61" s="895" t="s">
        <v>499</v>
      </c>
      <c r="B61" s="895" t="s">
        <v>1884</v>
      </c>
      <c r="C61" s="896" t="str">
        <f>'Expenditures 15-22'!B170</f>
        <v>5300</v>
      </c>
      <c r="D61" s="897" t="s">
        <v>311</v>
      </c>
      <c r="E61" s="879"/>
      <c r="F61" s="1913">
        <f>'Expenditures 15-22'!K170</f>
        <v>212611</v>
      </c>
      <c r="G61" s="865"/>
    </row>
    <row r="62" spans="1:7" x14ac:dyDescent="0.2">
      <c r="A62" s="869" t="s">
        <v>461</v>
      </c>
      <c r="B62" s="869" t="s">
        <v>1885</v>
      </c>
      <c r="C62" s="886">
        <f>'Expenditures 15-22'!B185</f>
        <v>3000</v>
      </c>
      <c r="D62" s="876" t="s">
        <v>449</v>
      </c>
      <c r="E62" s="868"/>
      <c r="F62" s="1913">
        <f>'Expenditures 15-22'!K185-SUM('Expenditures 15-22'!G185,'Expenditures 15-22'!I185)</f>
        <v>0</v>
      </c>
      <c r="G62" s="865"/>
    </row>
    <row r="63" spans="1:7" x14ac:dyDescent="0.2">
      <c r="A63" s="869" t="s">
        <v>461</v>
      </c>
      <c r="B63" s="869" t="s">
        <v>1886</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1887</v>
      </c>
      <c r="C64" s="896" t="str">
        <f>'Expenditures 15-22'!B206</f>
        <v>5300</v>
      </c>
      <c r="D64" s="892" t="s">
        <v>311</v>
      </c>
      <c r="E64" s="868"/>
      <c r="F64" s="1913">
        <f>'Expenditures 15-22'!K206</f>
        <v>25812</v>
      </c>
      <c r="G64" s="865"/>
    </row>
    <row r="65" spans="1:8" x14ac:dyDescent="0.2">
      <c r="A65" s="869" t="s">
        <v>461</v>
      </c>
      <c r="B65" s="869" t="s">
        <v>1888</v>
      </c>
      <c r="C65" s="886" t="s">
        <v>982</v>
      </c>
      <c r="D65" s="885" t="s">
        <v>1095</v>
      </c>
      <c r="E65" s="868"/>
      <c r="F65" s="1913">
        <f>'Expenditures 15-22'!G210</f>
        <v>90672</v>
      </c>
      <c r="G65" s="865"/>
    </row>
    <row r="66" spans="1:8" x14ac:dyDescent="0.2">
      <c r="A66" s="869" t="s">
        <v>461</v>
      </c>
      <c r="B66" s="869" t="s">
        <v>1889</v>
      </c>
      <c r="C66" s="886" t="s">
        <v>982</v>
      </c>
      <c r="D66" s="885" t="s">
        <v>291</v>
      </c>
      <c r="E66" s="868"/>
      <c r="F66" s="1913">
        <f>'Expenditures 15-22'!I210</f>
        <v>0</v>
      </c>
      <c r="G66" s="865"/>
    </row>
    <row r="67" spans="1:8" x14ac:dyDescent="0.2">
      <c r="A67" s="869" t="s">
        <v>462</v>
      </c>
      <c r="B67" s="869" t="s">
        <v>1890</v>
      </c>
      <c r="C67" s="886" t="str">
        <f>'Expenditures 15-22'!B216</f>
        <v>1125</v>
      </c>
      <c r="D67" s="892" t="str">
        <f>'Expenditures 15-22'!A216</f>
        <v>Pre-K Programs</v>
      </c>
      <c r="E67" s="868"/>
      <c r="F67" s="1913">
        <f>'Expenditures 15-22'!K216</f>
        <v>2954</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1891</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1892</v>
      </c>
      <c r="C70" s="886">
        <f>'Expenditures 15-22'!B221</f>
        <v>1300</v>
      </c>
      <c r="D70" s="887" t="str">
        <f>'Expenditures 15-22'!A221</f>
        <v>Adult/Continuing Education Programs</v>
      </c>
      <c r="E70" s="868"/>
      <c r="F70" s="1913">
        <f>'Expenditures 15-22'!K221</f>
        <v>0</v>
      </c>
      <c r="G70" s="865"/>
    </row>
    <row r="71" spans="1:8" x14ac:dyDescent="0.2">
      <c r="A71" s="869" t="s">
        <v>462</v>
      </c>
      <c r="B71" s="869" t="s">
        <v>1893</v>
      </c>
      <c r="C71" s="886">
        <f>'Expenditures 15-22'!B224</f>
        <v>1600</v>
      </c>
      <c r="D71" s="887" t="str">
        <f>'Expenditures 15-22'!A224</f>
        <v>Summer School Programs</v>
      </c>
      <c r="E71" s="868"/>
      <c r="F71" s="1913">
        <f>'Expenditures 15-22'!K224</f>
        <v>0</v>
      </c>
      <c r="G71" s="865"/>
    </row>
    <row r="72" spans="1:8" x14ac:dyDescent="0.2">
      <c r="A72" s="869" t="s">
        <v>462</v>
      </c>
      <c r="B72" s="869" t="s">
        <v>1894</v>
      </c>
      <c r="C72" s="886">
        <f>'Expenditures 15-22'!B280</f>
        <v>3000</v>
      </c>
      <c r="D72" s="876" t="s">
        <v>449</v>
      </c>
      <c r="E72" s="868"/>
      <c r="F72" s="1913">
        <f>'Expenditures 15-22'!K280</f>
        <v>0</v>
      </c>
      <c r="G72" s="865"/>
    </row>
    <row r="73" spans="1:8" x14ac:dyDescent="0.2">
      <c r="A73" s="869" t="s">
        <v>462</v>
      </c>
      <c r="B73" s="869" t="s">
        <v>1895</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1896</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1897</v>
      </c>
      <c r="E76" s="1774" t="s">
        <v>958</v>
      </c>
      <c r="F76" s="1778">
        <f>SUM(F18:F74)</f>
        <v>578196</v>
      </c>
      <c r="G76" s="865"/>
    </row>
    <row r="77" spans="1:8" s="893" customFormat="1" ht="12" customHeight="1" thickTop="1" thickBot="1" x14ac:dyDescent="0.25">
      <c r="A77" s="1779"/>
      <c r="B77" s="1776"/>
      <c r="C77" s="1772"/>
      <c r="D77" s="1777" t="s">
        <v>1898</v>
      </c>
      <c r="E77" s="1774"/>
      <c r="F77" s="1780">
        <f>(F14-F76)</f>
        <v>3139742</v>
      </c>
      <c r="G77" s="869"/>
    </row>
    <row r="78" spans="1:8" s="893" customFormat="1" ht="12" customHeight="1" thickTop="1" x14ac:dyDescent="0.2">
      <c r="A78" s="1781"/>
      <c r="B78" s="1776"/>
      <c r="C78" s="1772"/>
      <c r="D78" s="1777" t="s">
        <v>2059</v>
      </c>
      <c r="E78" s="1774"/>
      <c r="F78" s="898">
        <v>256</v>
      </c>
      <c r="G78" s="899"/>
      <c r="H78" s="869"/>
    </row>
    <row r="79" spans="1:8" s="893" customFormat="1" ht="12" customHeight="1" thickBot="1" x14ac:dyDescent="0.25">
      <c r="A79" s="1782"/>
      <c r="B79" s="1776"/>
      <c r="C79" s="1772"/>
      <c r="D79" s="1777" t="s">
        <v>1899</v>
      </c>
      <c r="E79" s="1774" t="s">
        <v>958</v>
      </c>
      <c r="F79" s="1783">
        <f>IF(F78&gt;0,F77/F78," Complete Line 78")</f>
        <v>12264.6171875</v>
      </c>
      <c r="G79" s="869"/>
    </row>
    <row r="80" spans="1:8" s="893" customFormat="1" ht="8.25" customHeight="1" thickTop="1" x14ac:dyDescent="0.2">
      <c r="A80" s="900"/>
      <c r="B80" s="869"/>
      <c r="C80" s="871"/>
      <c r="D80" s="901"/>
      <c r="E80" s="868"/>
      <c r="F80" s="902"/>
      <c r="G80" s="869"/>
    </row>
    <row r="81" spans="1:7" s="893" customFormat="1" ht="12" thickBot="1" x14ac:dyDescent="0.25">
      <c r="A81" s="2263" t="s">
        <v>1105</v>
      </c>
      <c r="B81" s="2264"/>
      <c r="C81" s="2264"/>
      <c r="D81" s="2264"/>
      <c r="E81" s="2264"/>
      <c r="F81" s="2265"/>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47341</v>
      </c>
      <c r="G94" s="912"/>
    </row>
    <row r="95" spans="1:7" x14ac:dyDescent="0.2">
      <c r="A95" s="908" t="s">
        <v>140</v>
      </c>
      <c r="B95" s="908" t="s">
        <v>175</v>
      </c>
      <c r="C95" s="910">
        <v>1700</v>
      </c>
      <c r="D95" s="918" t="str">
        <f>'Revenues 9-14'!A82</f>
        <v>Total District/School Activity Income</v>
      </c>
      <c r="E95" s="906"/>
      <c r="F95" s="1789">
        <f>SUM('Revenues 9-14'!C82,'Revenues 9-14'!D82)</f>
        <v>19360</v>
      </c>
      <c r="G95" s="912"/>
    </row>
    <row r="96" spans="1:7" x14ac:dyDescent="0.2">
      <c r="A96" s="908" t="s">
        <v>459</v>
      </c>
      <c r="B96" s="908" t="s">
        <v>176</v>
      </c>
      <c r="C96" s="910">
        <f>'Revenues 9-14'!B84</f>
        <v>1811</v>
      </c>
      <c r="D96" s="911" t="str">
        <f>'Revenues 9-14'!A84</f>
        <v>Rentals - Regular Textbooks</v>
      </c>
      <c r="E96" s="906"/>
      <c r="F96" s="1789">
        <f>'Revenues 9-14'!C84</f>
        <v>11573</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25</v>
      </c>
      <c r="G98" s="912"/>
    </row>
    <row r="99" spans="1:7" x14ac:dyDescent="0.2">
      <c r="A99" s="908" t="s">
        <v>459</v>
      </c>
      <c r="B99" s="908" t="s">
        <v>179</v>
      </c>
      <c r="C99" s="910">
        <f>'Revenues 9-14'!B91</f>
        <v>1829</v>
      </c>
      <c r="D99" s="911" t="str">
        <f>'Revenues 9-14'!A91</f>
        <v>Sales - Other (Describe &amp; Itemize)</v>
      </c>
      <c r="E99" s="906"/>
      <c r="F99" s="1789">
        <f>'Revenues 9-14'!C91</f>
        <v>20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5052</v>
      </c>
      <c r="G104" s="912"/>
    </row>
    <row r="105" spans="1:7" x14ac:dyDescent="0.2">
      <c r="A105" s="908" t="s">
        <v>503</v>
      </c>
      <c r="B105" s="908" t="s">
        <v>2000</v>
      </c>
      <c r="C105" s="913">
        <v>3100</v>
      </c>
      <c r="D105" s="919" t="str">
        <f>'Revenues 9-14'!A132</f>
        <v>Total Special Education</v>
      </c>
      <c r="E105" s="906"/>
      <c r="F105" s="1789">
        <f>SUM('Revenues 9-14'!C132:D132,'Revenues 9-14'!F132)</f>
        <v>11597</v>
      </c>
      <c r="G105" s="912"/>
    </row>
    <row r="106" spans="1:7" x14ac:dyDescent="0.2">
      <c r="A106" s="908" t="s">
        <v>673</v>
      </c>
      <c r="B106" s="908" t="s">
        <v>2001</v>
      </c>
      <c r="C106" s="920">
        <v>3200</v>
      </c>
      <c r="D106" s="911" t="str">
        <f>'Revenues 9-14'!A141</f>
        <v>Total Career and Technical Education</v>
      </c>
      <c r="E106" s="906"/>
      <c r="F106" s="1789">
        <f>SUM('Revenues 9-14'!C141,'Revenues 9-14'!D141,'Revenues 9-14'!G141)</f>
        <v>34016</v>
      </c>
      <c r="G106" s="912"/>
    </row>
    <row r="107" spans="1:7" x14ac:dyDescent="0.2">
      <c r="A107" s="921" t="s">
        <v>664</v>
      </c>
      <c r="B107" s="908" t="s">
        <v>2002</v>
      </c>
      <c r="C107" s="920">
        <v>3300</v>
      </c>
      <c r="D107" s="911" t="str">
        <f>'Revenues 9-14'!A145</f>
        <v>Total Bilingual Ed</v>
      </c>
      <c r="E107" s="906"/>
      <c r="F107" s="1789">
        <f>SUM('Revenues 9-14'!C145,'Revenues 9-14'!G145)</f>
        <v>0</v>
      </c>
      <c r="G107" s="912"/>
    </row>
    <row r="108" spans="1:7" x14ac:dyDescent="0.2">
      <c r="A108" s="908" t="s">
        <v>459</v>
      </c>
      <c r="B108" s="908" t="s">
        <v>2003</v>
      </c>
      <c r="C108" s="920">
        <f>'Revenues 9-14'!B146</f>
        <v>3360</v>
      </c>
      <c r="D108" s="911" t="str">
        <f>'Revenues 9-14'!A146</f>
        <v>State Free Lunch &amp; Breakfast</v>
      </c>
      <c r="E108" s="906"/>
      <c r="F108" s="1789">
        <f>'Revenues 9-14'!C146</f>
        <v>1034</v>
      </c>
      <c r="G108" s="912"/>
    </row>
    <row r="109" spans="1:7" x14ac:dyDescent="0.2">
      <c r="A109" s="908" t="s">
        <v>673</v>
      </c>
      <c r="B109" s="908" t="s">
        <v>2004</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2005</v>
      </c>
      <c r="C110" s="920">
        <f>'Revenues 9-14'!B148</f>
        <v>3370</v>
      </c>
      <c r="D110" s="911" t="str">
        <f>'Revenues 9-14'!A148</f>
        <v>Driver Education</v>
      </c>
      <c r="E110" s="906"/>
      <c r="F110" s="1789">
        <f>SUM('Revenues 9-14'!C148,'Revenues 9-14'!D148)</f>
        <v>3894</v>
      </c>
      <c r="G110" s="912"/>
    </row>
    <row r="111" spans="1:7" x14ac:dyDescent="0.2">
      <c r="A111" s="908" t="s">
        <v>668</v>
      </c>
      <c r="B111" s="908" t="s">
        <v>2006</v>
      </c>
      <c r="C111" s="922">
        <v>3500</v>
      </c>
      <c r="D111" s="911" t="str">
        <f>'Revenues 9-14'!A155</f>
        <v>Total Transportation</v>
      </c>
      <c r="E111" s="906"/>
      <c r="F111" s="1789">
        <f>SUM('Revenues 9-14'!C155,'Revenues 9-14'!D155,'Revenues 9-14'!F155,'Revenues 9-14'!G155)</f>
        <v>72500</v>
      </c>
      <c r="G111" s="912"/>
    </row>
    <row r="112" spans="1:7" x14ac:dyDescent="0.2">
      <c r="A112" s="908" t="s">
        <v>459</v>
      </c>
      <c r="B112" s="908" t="s">
        <v>2007</v>
      </c>
      <c r="C112" s="920">
        <f>'Revenues 9-14'!B156</f>
        <v>3610</v>
      </c>
      <c r="D112" s="911" t="str">
        <f>'Revenues 9-14'!A156</f>
        <v>Learning Improvement - Change Grants</v>
      </c>
      <c r="E112" s="906"/>
      <c r="F112" s="1789">
        <f>'Revenues 9-14'!C156</f>
        <v>0</v>
      </c>
      <c r="G112" s="912"/>
    </row>
    <row r="113" spans="1:7" x14ac:dyDescent="0.2">
      <c r="A113" s="908" t="s">
        <v>668</v>
      </c>
      <c r="B113" s="908" t="s">
        <v>2008</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2009</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2010</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2011</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2012</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2013</v>
      </c>
      <c r="C118" s="924">
        <f>'Revenues 9-14'!B163</f>
        <v>3780</v>
      </c>
      <c r="D118" s="925" t="str">
        <f>'Revenues 9-14'!A163</f>
        <v>Technology - Technology for Success</v>
      </c>
      <c r="E118" s="906"/>
      <c r="F118" s="1907">
        <f>SUM('Revenues 9-14'!C163:G163)</f>
        <v>0</v>
      </c>
      <c r="G118" s="912"/>
    </row>
    <row r="119" spans="1:7" x14ac:dyDescent="0.2">
      <c r="A119" s="923" t="s">
        <v>504</v>
      </c>
      <c r="B119" s="923" t="s">
        <v>2014</v>
      </c>
      <c r="C119" s="924">
        <f>'Revenues 9-14'!B164</f>
        <v>3815</v>
      </c>
      <c r="D119" s="925" t="str">
        <f>'Revenues 9-14'!A164</f>
        <v>State Charter Schools</v>
      </c>
      <c r="E119" s="906"/>
      <c r="F119" s="1907">
        <f>SUM('Revenues 9-14'!C164,'Revenues 9-14'!F164)</f>
        <v>0</v>
      </c>
      <c r="G119" s="912"/>
    </row>
    <row r="120" spans="1:7" x14ac:dyDescent="0.2">
      <c r="A120" s="927" t="s">
        <v>460</v>
      </c>
      <c r="B120" s="927" t="s">
        <v>2015</v>
      </c>
      <c r="C120" s="928">
        <f>'Revenues 9-14'!B167</f>
        <v>3925</v>
      </c>
      <c r="D120" s="929" t="str">
        <f>'Revenues 9-14'!A167</f>
        <v>School Infrastructure - Maintenance Projects</v>
      </c>
      <c r="E120" s="906"/>
      <c r="F120" s="1789">
        <f>'Revenues 9-14'!D167</f>
        <v>0</v>
      </c>
      <c r="G120" s="930"/>
    </row>
    <row r="121" spans="1:7" x14ac:dyDescent="0.2">
      <c r="A121" s="927" t="s">
        <v>500</v>
      </c>
      <c r="B121" s="927" t="s">
        <v>2016</v>
      </c>
      <c r="C121" s="928">
        <f>'Revenues 9-14'!B168</f>
        <v>3999</v>
      </c>
      <c r="D121" s="929" t="s">
        <v>543</v>
      </c>
      <c r="E121" s="931"/>
      <c r="F121" s="1789">
        <f>SUM('Revenues 9-14'!C168:G168,'Revenues 9-14'!J168)</f>
        <v>750</v>
      </c>
      <c r="G121" s="930"/>
    </row>
    <row r="122" spans="1:7" x14ac:dyDescent="0.2">
      <c r="A122" s="927" t="s">
        <v>459</v>
      </c>
      <c r="B122" s="927" t="s">
        <v>2017</v>
      </c>
      <c r="C122" s="932">
        <f>'Revenues 9-14'!B177</f>
        <v>4045</v>
      </c>
      <c r="D122" s="929" t="str">
        <f>'Revenues 9-14'!A177 &amp; " (Subtract)"</f>
        <v>Head Start (Subtract)</v>
      </c>
      <c r="E122" s="906"/>
      <c r="F122" s="1789">
        <f>SUM(-'Revenues 9-14'!C177)</f>
        <v>0</v>
      </c>
      <c r="G122" s="930"/>
    </row>
    <row r="123" spans="1:7" x14ac:dyDescent="0.2">
      <c r="A123" s="927" t="s">
        <v>668</v>
      </c>
      <c r="B123" s="927" t="s">
        <v>2018</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2019</v>
      </c>
      <c r="C124" s="932">
        <v>4100</v>
      </c>
      <c r="D124" s="933" t="str">
        <f>'Revenues 9-14'!A188</f>
        <v>Total Title V</v>
      </c>
      <c r="E124" s="906"/>
      <c r="F124" s="1789">
        <f>SUM('Revenues 9-14'!C188,'Revenues 9-14'!D188,'Revenues 9-14'!F188,'Revenues 9-14'!G188)</f>
        <v>0</v>
      </c>
      <c r="G124" s="930"/>
    </row>
    <row r="125" spans="1:7" x14ac:dyDescent="0.2">
      <c r="A125" s="927" t="s">
        <v>664</v>
      </c>
      <c r="B125" s="927" t="s">
        <v>2020</v>
      </c>
      <c r="C125" s="932">
        <v>4200</v>
      </c>
      <c r="D125" s="929" t="str">
        <f>'Revenues 9-14'!A198</f>
        <v>Total Food Service</v>
      </c>
      <c r="E125" s="906"/>
      <c r="F125" s="1789">
        <f>SUM('Revenues 9-14'!C198,'Revenues 9-14'!G198)</f>
        <v>65628</v>
      </c>
      <c r="G125" s="930"/>
    </row>
    <row r="126" spans="1:7" x14ac:dyDescent="0.2">
      <c r="A126" s="927" t="s">
        <v>668</v>
      </c>
      <c r="B126" s="927" t="s">
        <v>2021</v>
      </c>
      <c r="C126" s="932">
        <v>4300</v>
      </c>
      <c r="D126" s="933" t="str">
        <f>'Revenues 9-14'!A204</f>
        <v>Total Title I</v>
      </c>
      <c r="E126" s="906"/>
      <c r="F126" s="1789">
        <f>SUM('Revenues 9-14'!C204,'Revenues 9-14'!D204,'Revenues 9-14'!F204,'Revenues 9-14'!G204)</f>
        <v>246023</v>
      </c>
      <c r="G126" s="930"/>
    </row>
    <row r="127" spans="1:7" x14ac:dyDescent="0.2">
      <c r="A127" s="927" t="s">
        <v>668</v>
      </c>
      <c r="B127" s="927" t="s">
        <v>2022</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2023</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2024</v>
      </c>
      <c r="C129" s="932">
        <f>'Revenues 9-14'!B214</f>
        <v>4625</v>
      </c>
      <c r="D129" s="933" t="str">
        <f>'Revenues 9-14'!A214</f>
        <v>Fed - Spec Education - IDEA - Room &amp; Board</v>
      </c>
      <c r="E129" s="906"/>
      <c r="F129" s="1789">
        <f>SUM('Revenues 9-14'!C214,'Revenues 9-14'!D214,'Revenues 9-14'!F214,'Revenues 9-14'!G214)</f>
        <v>2955</v>
      </c>
      <c r="G129" s="930"/>
    </row>
    <row r="130" spans="1:7" x14ac:dyDescent="0.2">
      <c r="A130" s="927" t="s">
        <v>668</v>
      </c>
      <c r="B130" s="927" t="s">
        <v>2025</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2026</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2027</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2028</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2029</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2030</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2031</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2032</v>
      </c>
      <c r="C138" s="935" t="s">
        <v>212</v>
      </c>
      <c r="D138" s="936" t="str">
        <f>'Revenues 9-14'!A229</f>
        <v>ARRA - IDEA - Part B - Preschool</v>
      </c>
      <c r="E138" s="937"/>
      <c r="F138" s="1789">
        <v>0</v>
      </c>
      <c r="G138" s="905"/>
    </row>
    <row r="139" spans="1:7" s="867" customFormat="1" hidden="1" x14ac:dyDescent="0.2">
      <c r="A139" s="934" t="s">
        <v>206</v>
      </c>
      <c r="B139" s="934" t="s">
        <v>2033</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2034</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2035</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2036</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2037</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2038</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2039</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2040</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2041</v>
      </c>
      <c r="C157" s="940" t="s">
        <v>841</v>
      </c>
      <c r="D157" s="941" t="s">
        <v>777</v>
      </c>
      <c r="E157" s="942"/>
      <c r="F157" s="1789">
        <f>SUM(F133:F156)</f>
        <v>0</v>
      </c>
      <c r="G157" s="905"/>
    </row>
    <row r="158" spans="1:7" s="867" customFormat="1" x14ac:dyDescent="0.2">
      <c r="A158" s="938" t="s">
        <v>459</v>
      </c>
      <c r="B158" s="939" t="s">
        <v>2042</v>
      </c>
      <c r="C158" s="940" t="s">
        <v>1427</v>
      </c>
      <c r="D158" s="941" t="s">
        <v>1428</v>
      </c>
      <c r="E158" s="942"/>
      <c r="F158" s="1789">
        <f>SUM('Revenues 9-14'!C253)</f>
        <v>0</v>
      </c>
      <c r="G158" s="905"/>
    </row>
    <row r="159" spans="1:7" s="867" customFormat="1" x14ac:dyDescent="0.2">
      <c r="A159" s="938" t="s">
        <v>500</v>
      </c>
      <c r="B159" s="939" t="s">
        <v>2043</v>
      </c>
      <c r="C159" s="940" t="s">
        <v>1466</v>
      </c>
      <c r="D159" s="941" t="s">
        <v>1467</v>
      </c>
      <c r="E159" s="942"/>
      <c r="F159" s="1789">
        <f>SUM('Revenues 9-14'!C254:H254,'Revenues 9-14'!J254:K254)</f>
        <v>0</v>
      </c>
      <c r="G159" s="905"/>
    </row>
    <row r="160" spans="1:7" x14ac:dyDescent="0.2">
      <c r="A160" s="927" t="s">
        <v>5</v>
      </c>
      <c r="B160" s="927" t="s">
        <v>2044</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2045</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2046</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2047</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2048</v>
      </c>
      <c r="C164" s="932">
        <f>'Revenues 9-14'!B259</f>
        <v>4932</v>
      </c>
      <c r="D164" s="933" t="str">
        <f>'Revenues 9-14'!A259</f>
        <v>Title II - Teacher Quality</v>
      </c>
      <c r="E164" s="906"/>
      <c r="F164" s="1907">
        <f>SUM('Revenues 9-14'!C259,'Revenues 9-14'!D259,'Revenues 9-14'!F259,'Revenues 9-14'!G259)</f>
        <v>57</v>
      </c>
      <c r="G164" s="930"/>
    </row>
    <row r="165" spans="1:7" x14ac:dyDescent="0.2">
      <c r="A165" s="927" t="s">
        <v>668</v>
      </c>
      <c r="B165" s="927" t="s">
        <v>2049</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1994</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1995</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2050</v>
      </c>
      <c r="C168" s="932">
        <f>'Revenues 9-14'!B263</f>
        <v>4991</v>
      </c>
      <c r="D168" s="933" t="str">
        <f>'Revenues 9-14'!A263</f>
        <v>Medicaid Matching Funds - Administrative Outreach</v>
      </c>
      <c r="E168" s="906"/>
      <c r="F168" s="1789">
        <f>SUM('Revenues 9-14'!C263:D263,'Revenues 9-14'!F263:G263)</f>
        <v>14324</v>
      </c>
      <c r="G168" s="947">
        <v>6320</v>
      </c>
    </row>
    <row r="169" spans="1:7" x14ac:dyDescent="0.2">
      <c r="A169" s="927" t="s">
        <v>668</v>
      </c>
      <c r="B169" s="927" t="s">
        <v>2051</v>
      </c>
      <c r="C169" s="932">
        <f>'Revenues 9-14'!B264</f>
        <v>4992</v>
      </c>
      <c r="D169" s="933" t="str">
        <f>'Revenues 9-14'!A264</f>
        <v>Medicaid Matching Funds - Fee-for-Service Program</v>
      </c>
      <c r="E169" s="906"/>
      <c r="F169" s="1789">
        <f>SUM('Revenues 9-14'!C264:D264,'Revenues 9-14'!F264:G264)</f>
        <v>3159</v>
      </c>
      <c r="G169" s="947"/>
    </row>
    <row r="170" spans="1:7" x14ac:dyDescent="0.2">
      <c r="A170" s="948" t="s">
        <v>668</v>
      </c>
      <c r="B170" s="944" t="s">
        <v>2052</v>
      </c>
      <c r="C170" s="945">
        <f>'Revenues 9-14'!B265</f>
        <v>4999</v>
      </c>
      <c r="D170" s="946" t="str">
        <f>'Revenues 9-14'!A265</f>
        <v>Other Restricted Revenue from Federal Sources (Describe &amp; Itemize)</v>
      </c>
      <c r="E170" s="906"/>
      <c r="F170" s="1789">
        <f>SUM('Revenues 9-14'!C265:D265,'Revenues 9-14'!F265:G265)</f>
        <v>11368</v>
      </c>
      <c r="G170" s="927"/>
    </row>
    <row r="171" spans="1:7" x14ac:dyDescent="0.2">
      <c r="A171" s="1918" t="s">
        <v>5</v>
      </c>
      <c r="B171" s="1919" t="s">
        <v>1918</v>
      </c>
      <c r="C171" s="1920">
        <v>3100</v>
      </c>
      <c r="D171" s="1921" t="s">
        <v>1920</v>
      </c>
      <c r="E171" s="906"/>
      <c r="F171" s="1906">
        <v>77780</v>
      </c>
      <c r="G171" s="927"/>
    </row>
    <row r="172" spans="1:7" x14ac:dyDescent="0.2">
      <c r="A172" s="1918" t="s">
        <v>664</v>
      </c>
      <c r="B172" s="1919" t="s">
        <v>1918</v>
      </c>
      <c r="C172" s="1920">
        <v>3300</v>
      </c>
      <c r="D172" s="1921" t="s">
        <v>1921</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2053</v>
      </c>
      <c r="E174" s="1787" t="s">
        <v>958</v>
      </c>
      <c r="F174" s="1788">
        <f>SUM(F84:F132,F157:F172)</f>
        <v>628456</v>
      </c>
    </row>
    <row r="175" spans="1:7" ht="12" customHeight="1" x14ac:dyDescent="0.2">
      <c r="A175" s="1770"/>
      <c r="B175" s="1784"/>
      <c r="C175" s="1785"/>
      <c r="D175" s="1786" t="s">
        <v>2054</v>
      </c>
      <c r="E175" s="1787"/>
      <c r="F175" s="1789">
        <f>'PCTC-OEPP 27-28'!F77-F174</f>
        <v>2511286</v>
      </c>
    </row>
    <row r="176" spans="1:7" ht="12" customHeight="1" x14ac:dyDescent="0.2">
      <c r="A176" s="1770"/>
      <c r="B176" s="1784"/>
      <c r="C176" s="1785"/>
      <c r="D176" s="1786" t="s">
        <v>1816</v>
      </c>
      <c r="E176" s="1787"/>
      <c r="F176" s="1789">
        <f>'Cap Outlay Deprec 26'!I18</f>
        <v>258681</v>
      </c>
    </row>
    <row r="177" spans="1:7" ht="12" customHeight="1" x14ac:dyDescent="0.2">
      <c r="A177" s="1770"/>
      <c r="B177" s="1784"/>
      <c r="C177" s="1785"/>
      <c r="D177" s="1786" t="s">
        <v>2055</v>
      </c>
      <c r="E177" s="1787"/>
      <c r="F177" s="1789">
        <f>F175+F176</f>
        <v>2769967</v>
      </c>
    </row>
    <row r="178" spans="1:7" ht="12" customHeight="1" x14ac:dyDescent="0.2">
      <c r="A178" s="1770"/>
      <c r="B178" s="1790"/>
      <c r="C178" s="1785"/>
      <c r="D178" s="1786" t="str">
        <f>D78</f>
        <v>9 Month ADA from District Average Daily Attendance/Prior General State Aid Inquiry 2018-2019</v>
      </c>
      <c r="E178" s="1787"/>
      <c r="F178" s="1791">
        <f>'PCTC-OEPP 27-28'!F78</f>
        <v>256</v>
      </c>
      <c r="G178" s="930"/>
    </row>
    <row r="179" spans="1:7" ht="12" customHeight="1" thickBot="1" x14ac:dyDescent="0.25">
      <c r="A179" s="1770"/>
      <c r="B179" s="1790"/>
      <c r="C179" s="1785"/>
      <c r="D179" s="1786" t="s">
        <v>2056</v>
      </c>
      <c r="E179" s="1787" t="s">
        <v>1545</v>
      </c>
      <c r="F179" s="1792">
        <f>F177/F178</f>
        <v>10820.18359375</v>
      </c>
      <c r="G179" s="856">
        <v>6323</v>
      </c>
    </row>
    <row r="180" spans="1:7" ht="12" thickTop="1" x14ac:dyDescent="0.2">
      <c r="B180" s="930"/>
      <c r="C180" s="949"/>
      <c r="D180" s="930"/>
      <c r="E180" s="949"/>
      <c r="F180" s="930"/>
      <c r="G180" s="951">
        <v>6326</v>
      </c>
    </row>
    <row r="181" spans="1:7" ht="12.2" customHeight="1" x14ac:dyDescent="0.2">
      <c r="A181" s="930" t="s">
        <v>1919</v>
      </c>
      <c r="B181" s="930"/>
      <c r="C181" s="949"/>
      <c r="D181" s="930"/>
      <c r="E181" s="949"/>
      <c r="F181" s="930"/>
      <c r="G181" s="930"/>
    </row>
    <row r="182" spans="1:7" s="1922" customFormat="1" ht="12.2" customHeight="1" x14ac:dyDescent="0.2">
      <c r="A182" s="1922" t="s">
        <v>1991</v>
      </c>
      <c r="B182" s="1923"/>
      <c r="C182" s="1924"/>
      <c r="D182" s="1923"/>
      <c r="E182" s="1924"/>
      <c r="F182" s="1923"/>
      <c r="G182" s="1923"/>
    </row>
    <row r="183" spans="1:7" s="1922" customFormat="1" ht="12.2" customHeight="1" x14ac:dyDescent="0.2">
      <c r="A183" s="1925" t="s">
        <v>1993</v>
      </c>
      <c r="C183" s="1924"/>
      <c r="D183" s="1923"/>
      <c r="E183" s="1924"/>
      <c r="F183" s="1923"/>
      <c r="G183" s="1923"/>
    </row>
    <row r="184" spans="1:7" ht="12" customHeight="1" x14ac:dyDescent="0.2">
      <c r="C184" s="949"/>
      <c r="D184" s="930"/>
      <c r="E184" s="949"/>
      <c r="F184" s="930"/>
      <c r="G184" s="930"/>
    </row>
    <row r="185" spans="1:7" x14ac:dyDescent="0.2">
      <c r="A185" s="1926" t="s">
        <v>1923</v>
      </c>
      <c r="B185" s="1927" t="s">
        <v>1922</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H142"/>
  <sheetViews>
    <sheetView showGridLines="0" zoomScaleNormal="100" workbookViewId="0">
      <selection activeCell="B21" sqref="B21"/>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16.42578125" style="1544" hidden="1" customWidth="1"/>
    <col min="6" max="6" width="23.5703125" style="1544" customWidth="1"/>
    <col min="7" max="7" width="23.28515625" style="1543" customWidth="1"/>
    <col min="8" max="16384" width="9.140625" style="1533"/>
  </cols>
  <sheetData>
    <row r="1" spans="1:7" ht="15" customHeight="1" x14ac:dyDescent="0.25">
      <c r="A1" s="1659" t="s">
        <v>1831</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7" t="s">
        <v>1817</v>
      </c>
      <c r="B4" s="2278"/>
      <c r="C4" s="2278"/>
      <c r="D4" s="2278"/>
      <c r="E4" s="2278"/>
      <c r="F4" s="2278"/>
      <c r="G4" s="2279"/>
    </row>
    <row r="5" spans="1:7" x14ac:dyDescent="0.25">
      <c r="A5" s="2280"/>
      <c r="B5" s="2281"/>
      <c r="C5" s="2281"/>
      <c r="D5" s="2281"/>
      <c r="E5" s="2281"/>
      <c r="F5" s="2281"/>
      <c r="G5" s="2282"/>
    </row>
    <row r="6" spans="1:7" ht="18.75" x14ac:dyDescent="0.25">
      <c r="A6" s="1937" t="s">
        <v>2063</v>
      </c>
      <c r="B6" s="1938"/>
      <c r="C6" s="1938"/>
      <c r="D6" s="1938"/>
      <c r="E6" s="1938"/>
      <c r="F6" s="1938"/>
      <c r="G6" s="1939"/>
    </row>
    <row r="7" spans="1:7" ht="18.75" x14ac:dyDescent="0.25">
      <c r="A7" s="1534" t="s">
        <v>1818</v>
      </c>
      <c r="B7" s="1535"/>
      <c r="C7" s="1535"/>
      <c r="D7" s="1535"/>
      <c r="E7" s="1535"/>
      <c r="F7" s="1535"/>
      <c r="G7" s="1536"/>
    </row>
    <row r="8" spans="1:7" ht="30.75" customHeight="1" x14ac:dyDescent="0.25">
      <c r="A8" s="2283" t="s">
        <v>1930</v>
      </c>
      <c r="B8" s="2284"/>
      <c r="C8" s="2284"/>
      <c r="D8" s="2284"/>
      <c r="E8" s="2284"/>
      <c r="F8" s="2284"/>
      <c r="G8" s="2285"/>
    </row>
    <row r="9" spans="1:7" ht="15.75" customHeight="1" x14ac:dyDescent="0.25">
      <c r="A9" s="2286" t="s">
        <v>1905</v>
      </c>
      <c r="B9" s="2287"/>
      <c r="C9" s="2287"/>
      <c r="D9" s="2287"/>
      <c r="E9" s="2287"/>
      <c r="F9" s="2287"/>
      <c r="G9" s="2288"/>
    </row>
    <row r="10" spans="1:7" ht="35.25" customHeight="1" x14ac:dyDescent="0.25">
      <c r="A10" s="2283" t="s">
        <v>2062</v>
      </c>
      <c r="B10" s="2284"/>
      <c r="C10" s="2284"/>
      <c r="D10" s="2284"/>
      <c r="E10" s="2284"/>
      <c r="F10" s="2284"/>
      <c r="G10" s="2285"/>
    </row>
    <row r="11" spans="1:7" ht="15" customHeight="1" x14ac:dyDescent="0.25">
      <c r="A11" s="1537" t="s">
        <v>1819</v>
      </c>
      <c r="B11" s="1538"/>
      <c r="C11" s="1538"/>
      <c r="D11" s="1538"/>
      <c r="E11" s="1538"/>
      <c r="F11" s="1538"/>
      <c r="G11" s="1539"/>
    </row>
    <row r="12" spans="1:7" ht="17.25" customHeight="1" x14ac:dyDescent="0.25">
      <c r="A12" s="2283" t="s">
        <v>1932</v>
      </c>
      <c r="B12" s="2284"/>
      <c r="C12" s="2284"/>
      <c r="D12" s="2284"/>
      <c r="E12" s="2284"/>
      <c r="F12" s="2284"/>
      <c r="G12" s="2285"/>
    </row>
    <row r="13" spans="1:7" ht="15" customHeight="1" x14ac:dyDescent="0.25">
      <c r="A13" s="1537" t="s">
        <v>1824</v>
      </c>
      <c r="B13" s="1538"/>
      <c r="C13" s="1538"/>
      <c r="D13" s="1538"/>
      <c r="E13" s="1538"/>
      <c r="F13" s="1538"/>
      <c r="G13" s="1539"/>
    </row>
    <row r="14" spans="1:7" ht="32.25" customHeight="1" x14ac:dyDescent="0.25">
      <c r="A14" s="2274" t="s">
        <v>1973</v>
      </c>
      <c r="B14" s="2275"/>
      <c r="C14" s="2275"/>
      <c r="D14" s="2275"/>
      <c r="E14" s="2275"/>
      <c r="F14" s="2275"/>
      <c r="G14" s="2276"/>
    </row>
    <row r="15" spans="1:7" x14ac:dyDescent="0.25">
      <c r="A15" s="1661" t="s">
        <v>1832</v>
      </c>
      <c r="B15" s="1662"/>
      <c r="C15" s="1662"/>
      <c r="D15" s="1662"/>
      <c r="E15" s="1662"/>
      <c r="F15" s="1662"/>
      <c r="G15" s="1663"/>
    </row>
    <row r="16" spans="1:7" ht="61.5" customHeight="1" x14ac:dyDescent="0.25">
      <c r="A16" s="1546" t="s">
        <v>1825</v>
      </c>
      <c r="B16" s="1546" t="s">
        <v>1826</v>
      </c>
      <c r="C16" s="1546" t="s">
        <v>1827</v>
      </c>
      <c r="D16" s="1547" t="s">
        <v>1828</v>
      </c>
      <c r="E16" s="1547" t="s">
        <v>1820</v>
      </c>
      <c r="F16" s="1547" t="s">
        <v>1829</v>
      </c>
      <c r="G16" s="1547" t="s">
        <v>1830</v>
      </c>
    </row>
    <row r="17" spans="1:8" x14ac:dyDescent="0.25">
      <c r="A17" s="1648" t="s">
        <v>1833</v>
      </c>
      <c r="B17" s="1649" t="s">
        <v>1823</v>
      </c>
      <c r="C17" s="1650" t="s">
        <v>1821</v>
      </c>
      <c r="D17" s="1651">
        <v>500000</v>
      </c>
      <c r="E17" s="1651">
        <f>IF(D17&lt;=25000,D17,IF(D17&gt;25000,25000,0))</f>
        <v>25000</v>
      </c>
      <c r="F17" s="1651">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2">
        <f>IF(F17=0,"0",D17-F17)</f>
        <v>475000</v>
      </c>
    </row>
    <row r="18" spans="1:8" x14ac:dyDescent="0.25">
      <c r="A18" s="1943" t="s">
        <v>2096</v>
      </c>
      <c r="B18" s="1944" t="s">
        <v>1823</v>
      </c>
      <c r="C18" s="1941" t="s">
        <v>2082</v>
      </c>
      <c r="D18" s="1844">
        <v>2000</v>
      </c>
      <c r="E18" s="1540">
        <f t="shared" ref="E18:E142" si="0">IF(D18&lt;=25000,D18,IF(D18&gt;25000,25000,0))</f>
        <v>2000</v>
      </c>
      <c r="F18" s="1936">
        <f>(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2000</v>
      </c>
      <c r="G18" s="1793">
        <f>IF(F18=0,0,D18-F18)</f>
        <v>0</v>
      </c>
      <c r="H18" s="1647"/>
    </row>
    <row r="19" spans="1:8" x14ac:dyDescent="0.25">
      <c r="A19" s="1940" t="s">
        <v>2083</v>
      </c>
      <c r="B19" s="1944" t="s">
        <v>2097</v>
      </c>
      <c r="C19" s="1941" t="s">
        <v>2084</v>
      </c>
      <c r="D19" s="1844">
        <v>6475</v>
      </c>
      <c r="E19" s="1540">
        <f t="shared" ref="E19:E141" si="1">IF(D19&lt;=25000,D19,IF(D19&gt;25000,25000,0))</f>
        <v>6475</v>
      </c>
      <c r="F19" s="1936">
        <f t="shared" ref="F19:F81" si="2">(IF(D19="",0,(IF(OR(B19="10-1000-100",B19="10-1000-200",B19="10-1000-300",B19="10-1000-400",B19="10-1000-600",B19="10-1000-800",B19="50-1000-200",B19="10-2100-100",B19="10-2100-200",B19="10-2100-300",B19="10-2100-400",B19="10-2100-600",B19="10-2100-800",B19="20-2100-100",B19="20-2100-200",B19="20-2100-300",B19="20-2100-400",B19="20-2100-600",B19="20-2100-800",B19="40-2100-100",B19="40-2100-200",B19="40-2100-300",B19="40-2100-400",B19="40-2100-600",B19="40-2100-800",B19="50-2100-200",B19="10-2200-100",B19="10-2200-200",B19="10-2200-300",B19="10-2200-400",B19="10-2200-600",B19="10-2200-800",B19="50-2200-200",B19="10-2300-100",B19="10-2300-200",B19="10-2300-300",B19="10-2300-400",B19="10-2300-600",B19="10-2300-800",B19="50-2300-200",B19="80-2300-100",B19="80-2300-200",B19="80-2300-300",B19="80-2300-400",B19="80-2300-600",B19="80-2300-800",B19="10-2400-100",B19="10-2400-200",B19="10-2400-300",B19="10-2400-400",B19="10-2400-600",B19="10-2400-800",B19="50-2400-200",B19="10-2510-100",B19="10-2510-200",B19="10-2510-300",B19="10-2510-400",B19="10-2510-600",B19="10-2510-800",B19="20-2510-100",B19="20-2510-200",B19="20-2510-300",B19="20-2510-400",B19="20-2510-600",B19="20-2510-800",B19="50-2510-200",B19="10-2520-100",B19="10-2520-200",B19="10-2520-300",B19="10-2520-400",B19="10-2520-600",B19="10-2520-800",B19="50-2520-200",B19="10-2540-100",B19="10-2540-200",B19="10-2540-300",B19="10-2540-400",B19="10-2540-600",B19="10-2540-800",B19="20-2540-100",B19="20-2540-200",B19="20-2540-300",B19="20-2540-400",B19="20-2540-600",B19="20-2540-800",B19="50-2540-200",B19="10-2550-100",B19="10-2550-200",B19="10-2550-300",B19="10-2550-400",B19="10-2550-600",B19="10-2550-800",B19="20-2550-100",B19="20-2550-200",B19="20-2550-300",B19="20-2550-400",B19="20-2550-600",B19="20-2550-800",B19="40-2550-100",B19="40-2550-200",B19="40-2550-300",B19="40-2550-400",B19="40-2550-600",B19="40-2550-800",B19="50-2550-200",B19="10-2560-100",B19="10-2560-200",B19="10-2560-300",B19="10-2560-400",B19="10-2560-600",B19="10-2560-800",B19="50-2560-200",B19="10-2570-100",B19="10-2570-200",B19="10-2570-300",B19="10-2570-400",B19="10-2570-600",B19="10-2570-800",B19="50-2570-200",B19="10-2610-100",B19="10-2610-200",B19="10-2610-300",B19="10-2610-400",B19="10-2610-600",B19="10-2610-800",B19="50-2610-200",B19="10-2620-100",B19="10-2620-200",B19="10-2620-300",B19="10-2620-400",B19="10-2620-600",B19="10-2620-800",B19="50-2620-200",B19="10-2630-100",B19="10-2630-200",B19="10-2630-300",B19="10-2630-400",B19="10-2630-600",B19="10-2630-800",B19="50-2630-200",B19="10-2640-100",B19="10-2640-200",B19="10-2640-300",B19="10-2640-400",B19="10-2640-600",B19="10-2640-800",B19="50-2640-200",B19="10-2660-100",B19="10-2660-200",B19="10-2660-300",B19="10-2660-400",B19="10-2660-600",B19="10-2660-800",B19="50-2660-200",B19="10-2900-100",B19="10-2900-200",B19="10-2900-300",B19="10-2900-400",B19="10-2900-600",B19="10-2900-800",B19="20-2900-100",B19="20-2900-200",B19="20-2900-300",B19="20-2900-400",B19="20-2900-600",B19="20-2900-800",B19="40-2900-100",B19="40-2900-200",B19="40-2900-300",B19="40-2900-400",B19="40-2900-600",B19="40-2900-800",B19="50-2900-200",B19="10-3000-100",B19="10-3000-200",B19="10-3000-300",B19="10-3000-400",B19="10-3000-600",B19="10-3000-800",B19="20-3000-100",B19="20-3000-200",B19="20-3000-300",B19="20-3000-400",B19="20-3000-600",B19="20-3000-800",B19="40-3000-100",B19="40-3000-200",B19="40-3000-300",B19="40-3000-400",B19="40-3000-600",B19="40-3000-800",B19="50-3000-200"),E19,"Check func/obj # in Colm B"))))</f>
        <v>6475</v>
      </c>
      <c r="G19" s="1793">
        <f t="shared" ref="G19:G141" si="3">IF(F19=0,0,D19-F19)</f>
        <v>0</v>
      </c>
    </row>
    <row r="20" spans="1:8" ht="30" x14ac:dyDescent="0.25">
      <c r="A20" s="1943" t="s">
        <v>2098</v>
      </c>
      <c r="B20" s="1944" t="s">
        <v>2100</v>
      </c>
      <c r="C20" s="1945" t="s">
        <v>2099</v>
      </c>
      <c r="D20" s="1844">
        <v>12400</v>
      </c>
      <c r="E20" s="1540">
        <f t="shared" si="1"/>
        <v>12400</v>
      </c>
      <c r="F20" s="1936">
        <f t="shared" si="2"/>
        <v>12400</v>
      </c>
      <c r="G20" s="1793">
        <f t="shared" si="3"/>
        <v>0</v>
      </c>
    </row>
    <row r="21" spans="1:8" x14ac:dyDescent="0.25">
      <c r="A21" s="1653"/>
      <c r="B21" s="1933"/>
      <c r="C21" s="1656"/>
      <c r="D21" s="1844"/>
      <c r="E21" s="1540">
        <f t="shared" si="1"/>
        <v>0</v>
      </c>
      <c r="F21" s="1936">
        <f t="shared" si="2"/>
        <v>0</v>
      </c>
      <c r="G21" s="1793">
        <f t="shared" si="3"/>
        <v>0</v>
      </c>
    </row>
    <row r="22" spans="1:8" x14ac:dyDescent="0.25">
      <c r="A22" s="1653"/>
      <c r="B22" s="1933"/>
      <c r="C22" s="1656"/>
      <c r="D22" s="1844"/>
      <c r="E22" s="1540">
        <f t="shared" si="1"/>
        <v>0</v>
      </c>
      <c r="F22" s="1936">
        <f t="shared" si="2"/>
        <v>0</v>
      </c>
      <c r="G22" s="1793">
        <f t="shared" si="3"/>
        <v>0</v>
      </c>
    </row>
    <row r="23" spans="1:8" x14ac:dyDescent="0.25">
      <c r="A23" s="1653"/>
      <c r="B23" s="1933"/>
      <c r="C23" s="1656"/>
      <c r="D23" s="1844"/>
      <c r="E23" s="1540">
        <f t="shared" si="1"/>
        <v>0</v>
      </c>
      <c r="F23" s="1936">
        <f t="shared" si="2"/>
        <v>0</v>
      </c>
      <c r="G23" s="1793">
        <f t="shared" si="3"/>
        <v>0</v>
      </c>
    </row>
    <row r="24" spans="1:8" x14ac:dyDescent="0.25">
      <c r="A24" s="1653"/>
      <c r="B24" s="1933"/>
      <c r="C24" s="1656"/>
      <c r="D24" s="1844"/>
      <c r="E24" s="1540">
        <f t="shared" si="1"/>
        <v>0</v>
      </c>
      <c r="F24" s="1936">
        <f t="shared" si="2"/>
        <v>0</v>
      </c>
      <c r="G24" s="1793">
        <f t="shared" si="3"/>
        <v>0</v>
      </c>
    </row>
    <row r="25" spans="1:8" x14ac:dyDescent="0.25">
      <c r="A25" s="1653"/>
      <c r="B25" s="1933"/>
      <c r="C25" s="1656"/>
      <c r="D25" s="1844"/>
      <c r="E25" s="1540">
        <f t="shared" si="1"/>
        <v>0</v>
      </c>
      <c r="F25" s="1936">
        <f t="shared" si="2"/>
        <v>0</v>
      </c>
      <c r="G25" s="1793">
        <f t="shared" si="3"/>
        <v>0</v>
      </c>
    </row>
    <row r="26" spans="1:8" x14ac:dyDescent="0.25">
      <c r="A26" s="1653"/>
      <c r="B26" s="1933"/>
      <c r="C26" s="1656"/>
      <c r="D26" s="1844"/>
      <c r="E26" s="1540">
        <f t="shared" si="1"/>
        <v>0</v>
      </c>
      <c r="F26" s="1936">
        <f t="shared" si="2"/>
        <v>0</v>
      </c>
      <c r="G26" s="1793">
        <f t="shared" si="3"/>
        <v>0</v>
      </c>
    </row>
    <row r="27" spans="1:8" x14ac:dyDescent="0.25">
      <c r="A27" s="1653"/>
      <c r="B27" s="1933"/>
      <c r="C27" s="1654"/>
      <c r="D27" s="1844"/>
      <c r="E27" s="1540">
        <f t="shared" si="1"/>
        <v>0</v>
      </c>
      <c r="F27" s="1936">
        <f t="shared" si="2"/>
        <v>0</v>
      </c>
      <c r="G27" s="1793">
        <f t="shared" si="3"/>
        <v>0</v>
      </c>
    </row>
    <row r="28" spans="1:8" x14ac:dyDescent="0.25">
      <c r="A28" s="1653"/>
      <c r="B28" s="1933"/>
      <c r="C28" s="1654"/>
      <c r="D28" s="1844"/>
      <c r="E28" s="1540">
        <f t="shared" si="1"/>
        <v>0</v>
      </c>
      <c r="F28" s="1936">
        <f t="shared" si="2"/>
        <v>0</v>
      </c>
      <c r="G28" s="1793">
        <f t="shared" si="3"/>
        <v>0</v>
      </c>
    </row>
    <row r="29" spans="1:8" x14ac:dyDescent="0.25">
      <c r="A29" s="1653"/>
      <c r="B29" s="1933"/>
      <c r="C29" s="1654"/>
      <c r="D29" s="1844"/>
      <c r="E29" s="1540">
        <f t="shared" si="1"/>
        <v>0</v>
      </c>
      <c r="F29" s="1936">
        <f t="shared" si="2"/>
        <v>0</v>
      </c>
      <c r="G29" s="1793">
        <f t="shared" si="3"/>
        <v>0</v>
      </c>
    </row>
    <row r="30" spans="1:8" x14ac:dyDescent="0.25">
      <c r="A30" s="1653"/>
      <c r="B30" s="1933"/>
      <c r="C30" s="1654"/>
      <c r="D30" s="1844"/>
      <c r="E30" s="1540">
        <f t="shared" si="1"/>
        <v>0</v>
      </c>
      <c r="F30" s="1936">
        <f t="shared" si="2"/>
        <v>0</v>
      </c>
      <c r="G30" s="1793">
        <f t="shared" si="3"/>
        <v>0</v>
      </c>
    </row>
    <row r="31" spans="1:8" x14ac:dyDescent="0.25">
      <c r="A31" s="1653"/>
      <c r="B31" s="1933"/>
      <c r="C31" s="1654"/>
      <c r="D31" s="1844"/>
      <c r="E31" s="1540">
        <f t="shared" si="1"/>
        <v>0</v>
      </c>
      <c r="F31" s="1936">
        <f t="shared" si="2"/>
        <v>0</v>
      </c>
      <c r="G31" s="1793">
        <f t="shared" si="3"/>
        <v>0</v>
      </c>
    </row>
    <row r="32" spans="1:8" x14ac:dyDescent="0.25">
      <c r="A32" s="1653"/>
      <c r="B32" s="1933"/>
      <c r="C32" s="1654"/>
      <c r="D32" s="1844"/>
      <c r="E32" s="1540">
        <f t="shared" si="1"/>
        <v>0</v>
      </c>
      <c r="F32" s="1936">
        <f t="shared" si="2"/>
        <v>0</v>
      </c>
      <c r="G32" s="1793">
        <f t="shared" si="3"/>
        <v>0</v>
      </c>
    </row>
    <row r="33" spans="1:7" x14ac:dyDescent="0.25">
      <c r="A33" s="1653"/>
      <c r="B33" s="1933"/>
      <c r="C33" s="1654"/>
      <c r="D33" s="1844"/>
      <c r="E33" s="1540">
        <f t="shared" si="1"/>
        <v>0</v>
      </c>
      <c r="F33" s="1936">
        <f t="shared" si="2"/>
        <v>0</v>
      </c>
      <c r="G33" s="1793">
        <f t="shared" si="3"/>
        <v>0</v>
      </c>
    </row>
    <row r="34" spans="1:7" x14ac:dyDescent="0.25">
      <c r="A34" s="1653"/>
      <c r="B34" s="1933"/>
      <c r="C34" s="1654"/>
      <c r="D34" s="1844"/>
      <c r="E34" s="1540">
        <f t="shared" si="1"/>
        <v>0</v>
      </c>
      <c r="F34" s="1936">
        <f t="shared" si="2"/>
        <v>0</v>
      </c>
      <c r="G34" s="1793">
        <f t="shared" si="3"/>
        <v>0</v>
      </c>
    </row>
    <row r="35" spans="1:7" x14ac:dyDescent="0.25">
      <c r="A35" s="1653"/>
      <c r="B35" s="1933"/>
      <c r="C35" s="1654"/>
      <c r="D35" s="1844"/>
      <c r="E35" s="1540">
        <f t="shared" si="1"/>
        <v>0</v>
      </c>
      <c r="F35" s="1936">
        <f t="shared" si="2"/>
        <v>0</v>
      </c>
      <c r="G35" s="1793">
        <f t="shared" si="3"/>
        <v>0</v>
      </c>
    </row>
    <row r="36" spans="1:7" x14ac:dyDescent="0.25">
      <c r="A36" s="1653"/>
      <c r="B36" s="1933"/>
      <c r="C36" s="1654"/>
      <c r="D36" s="1844"/>
      <c r="E36" s="1540">
        <f t="shared" si="1"/>
        <v>0</v>
      </c>
      <c r="F36" s="1936">
        <f t="shared" si="2"/>
        <v>0</v>
      </c>
      <c r="G36" s="1793">
        <f t="shared" si="3"/>
        <v>0</v>
      </c>
    </row>
    <row r="37" spans="1:7" x14ac:dyDescent="0.25">
      <c r="A37" s="1653"/>
      <c r="B37" s="1933"/>
      <c r="C37" s="1654"/>
      <c r="D37" s="1844"/>
      <c r="E37" s="1540">
        <f t="shared" si="1"/>
        <v>0</v>
      </c>
      <c r="F37" s="1936">
        <f t="shared" si="2"/>
        <v>0</v>
      </c>
      <c r="G37" s="1793">
        <f t="shared" si="3"/>
        <v>0</v>
      </c>
    </row>
    <row r="38" spans="1:7" x14ac:dyDescent="0.25">
      <c r="A38" s="1653"/>
      <c r="B38" s="1933"/>
      <c r="C38" s="1654"/>
      <c r="D38" s="1844"/>
      <c r="E38" s="1540">
        <f t="shared" si="1"/>
        <v>0</v>
      </c>
      <c r="F38" s="1936">
        <f t="shared" si="2"/>
        <v>0</v>
      </c>
      <c r="G38" s="1793">
        <f t="shared" si="3"/>
        <v>0</v>
      </c>
    </row>
    <row r="39" spans="1:7" x14ac:dyDescent="0.25">
      <c r="A39" s="1653"/>
      <c r="B39" s="1934"/>
      <c r="C39" s="1654"/>
      <c r="D39" s="1844"/>
      <c r="E39" s="1540">
        <f t="shared" si="1"/>
        <v>0</v>
      </c>
      <c r="F39" s="1936">
        <f t="shared" si="2"/>
        <v>0</v>
      </c>
      <c r="G39" s="1793">
        <f t="shared" si="3"/>
        <v>0</v>
      </c>
    </row>
    <row r="40" spans="1:7" x14ac:dyDescent="0.25">
      <c r="A40" s="1653"/>
      <c r="B40" s="1934"/>
      <c r="C40" s="1654"/>
      <c r="D40" s="1844"/>
      <c r="E40" s="1540">
        <f t="shared" si="1"/>
        <v>0</v>
      </c>
      <c r="F40" s="1936">
        <f t="shared" si="2"/>
        <v>0</v>
      </c>
      <c r="G40" s="1793">
        <f t="shared" si="3"/>
        <v>0</v>
      </c>
    </row>
    <row r="41" spans="1:7" x14ac:dyDescent="0.25">
      <c r="A41" s="1653"/>
      <c r="B41" s="1934"/>
      <c r="C41" s="1654"/>
      <c r="D41" s="1844"/>
      <c r="E41" s="1540">
        <f t="shared" si="1"/>
        <v>0</v>
      </c>
      <c r="F41" s="1936">
        <f t="shared" si="2"/>
        <v>0</v>
      </c>
      <c r="G41" s="1793">
        <f t="shared" si="3"/>
        <v>0</v>
      </c>
    </row>
    <row r="42" spans="1:7" x14ac:dyDescent="0.25">
      <c r="A42" s="1653"/>
      <c r="B42" s="1934"/>
      <c r="C42" s="1654"/>
      <c r="D42" s="1844"/>
      <c r="E42" s="1540">
        <f t="shared" si="1"/>
        <v>0</v>
      </c>
      <c r="F42" s="1936">
        <f t="shared" si="2"/>
        <v>0</v>
      </c>
      <c r="G42" s="1793">
        <f t="shared" si="3"/>
        <v>0</v>
      </c>
    </row>
    <row r="43" spans="1:7" x14ac:dyDescent="0.25">
      <c r="A43" s="1653"/>
      <c r="B43" s="1934"/>
      <c r="C43" s="1654"/>
      <c r="D43" s="1844"/>
      <c r="E43" s="1540">
        <f t="shared" si="1"/>
        <v>0</v>
      </c>
      <c r="F43" s="1936">
        <f t="shared" si="2"/>
        <v>0</v>
      </c>
      <c r="G43" s="1793">
        <f t="shared" si="3"/>
        <v>0</v>
      </c>
    </row>
    <row r="44" spans="1:7" x14ac:dyDescent="0.25">
      <c r="A44" s="1653"/>
      <c r="B44" s="1934"/>
      <c r="C44" s="1654"/>
      <c r="D44" s="1844"/>
      <c r="E44" s="1540">
        <f t="shared" si="1"/>
        <v>0</v>
      </c>
      <c r="F44" s="1936">
        <f t="shared" si="2"/>
        <v>0</v>
      </c>
      <c r="G44" s="1793">
        <f t="shared" si="3"/>
        <v>0</v>
      </c>
    </row>
    <row r="45" spans="1:7" x14ac:dyDescent="0.25">
      <c r="A45" s="1653"/>
      <c r="B45" s="1934"/>
      <c r="C45" s="1654"/>
      <c r="D45" s="1844"/>
      <c r="E45" s="1540">
        <f t="shared" si="1"/>
        <v>0</v>
      </c>
      <c r="F45" s="1936">
        <f t="shared" si="2"/>
        <v>0</v>
      </c>
      <c r="G45" s="1793">
        <f t="shared" si="3"/>
        <v>0</v>
      </c>
    </row>
    <row r="46" spans="1:7" x14ac:dyDescent="0.25">
      <c r="A46" s="1653"/>
      <c r="B46" s="1934"/>
      <c r="C46" s="1654"/>
      <c r="D46" s="1844"/>
      <c r="E46" s="1540">
        <f t="shared" si="1"/>
        <v>0</v>
      </c>
      <c r="F46" s="1936">
        <f t="shared" si="2"/>
        <v>0</v>
      </c>
      <c r="G46" s="1793">
        <f t="shared" si="3"/>
        <v>0</v>
      </c>
    </row>
    <row r="47" spans="1:7" x14ac:dyDescent="0.25">
      <c r="A47" s="1653"/>
      <c r="B47" s="1667"/>
      <c r="C47" s="1654"/>
      <c r="D47" s="1844"/>
      <c r="E47" s="1540">
        <f t="shared" si="1"/>
        <v>0</v>
      </c>
      <c r="F47" s="1936">
        <f t="shared" si="2"/>
        <v>0</v>
      </c>
      <c r="G47" s="1793">
        <f t="shared" si="3"/>
        <v>0</v>
      </c>
    </row>
    <row r="48" spans="1:7" x14ac:dyDescent="0.25">
      <c r="A48" s="1653"/>
      <c r="B48" s="1667"/>
      <c r="C48" s="1654"/>
      <c r="D48" s="1844"/>
      <c r="E48" s="1540">
        <f t="shared" si="1"/>
        <v>0</v>
      </c>
      <c r="F48" s="1936">
        <f t="shared" si="2"/>
        <v>0</v>
      </c>
      <c r="G48" s="1793">
        <f t="shared" si="3"/>
        <v>0</v>
      </c>
    </row>
    <row r="49" spans="1:7" x14ac:dyDescent="0.25">
      <c r="A49" s="1653"/>
      <c r="B49" s="1667"/>
      <c r="C49" s="1654"/>
      <c r="D49" s="1844"/>
      <c r="E49" s="1540">
        <f t="shared" si="1"/>
        <v>0</v>
      </c>
      <c r="F49" s="1936">
        <f t="shared" si="2"/>
        <v>0</v>
      </c>
      <c r="G49" s="1793">
        <f t="shared" si="3"/>
        <v>0</v>
      </c>
    </row>
    <row r="50" spans="1:7" x14ac:dyDescent="0.25">
      <c r="A50" s="1653"/>
      <c r="B50" s="1667"/>
      <c r="C50" s="1654"/>
      <c r="D50" s="1844"/>
      <c r="E50" s="1540">
        <f t="shared" si="1"/>
        <v>0</v>
      </c>
      <c r="F50" s="1936">
        <f t="shared" si="2"/>
        <v>0</v>
      </c>
      <c r="G50" s="1793">
        <f t="shared" si="3"/>
        <v>0</v>
      </c>
    </row>
    <row r="51" spans="1:7" x14ac:dyDescent="0.25">
      <c r="A51" s="1653"/>
      <c r="B51" s="1667"/>
      <c r="C51" s="1654"/>
      <c r="D51" s="1844"/>
      <c r="E51" s="1540">
        <f t="shared" si="1"/>
        <v>0</v>
      </c>
      <c r="F51" s="1936">
        <f t="shared" si="2"/>
        <v>0</v>
      </c>
      <c r="G51" s="1793">
        <f t="shared" si="3"/>
        <v>0</v>
      </c>
    </row>
    <row r="52" spans="1:7" x14ac:dyDescent="0.25">
      <c r="A52" s="1653"/>
      <c r="B52" s="1667"/>
      <c r="C52" s="1654"/>
      <c r="D52" s="1844"/>
      <c r="E52" s="1540">
        <f t="shared" si="1"/>
        <v>0</v>
      </c>
      <c r="F52" s="1936">
        <f t="shared" si="2"/>
        <v>0</v>
      </c>
      <c r="G52" s="1793">
        <f t="shared" si="3"/>
        <v>0</v>
      </c>
    </row>
    <row r="53" spans="1:7" x14ac:dyDescent="0.25">
      <c r="A53" s="1653"/>
      <c r="B53" s="1667"/>
      <c r="C53" s="1654"/>
      <c r="D53" s="1844"/>
      <c r="E53" s="1540">
        <f t="shared" si="1"/>
        <v>0</v>
      </c>
      <c r="F53" s="1936">
        <f t="shared" si="2"/>
        <v>0</v>
      </c>
      <c r="G53" s="1793">
        <f t="shared" si="3"/>
        <v>0</v>
      </c>
    </row>
    <row r="54" spans="1:7" x14ac:dyDescent="0.25">
      <c r="A54" s="1653"/>
      <c r="B54" s="1667"/>
      <c r="C54" s="1654"/>
      <c r="D54" s="1844"/>
      <c r="E54" s="1540">
        <f t="shared" si="1"/>
        <v>0</v>
      </c>
      <c r="F54" s="1936">
        <f t="shared" si="2"/>
        <v>0</v>
      </c>
      <c r="G54" s="1793">
        <f t="shared" si="3"/>
        <v>0</v>
      </c>
    </row>
    <row r="55" spans="1:7" x14ac:dyDescent="0.25">
      <c r="A55" s="1653"/>
      <c r="B55" s="1667"/>
      <c r="C55" s="1654"/>
      <c r="D55" s="1844"/>
      <c r="E55" s="1540">
        <f t="shared" si="1"/>
        <v>0</v>
      </c>
      <c r="F55" s="1936">
        <f t="shared" si="2"/>
        <v>0</v>
      </c>
      <c r="G55" s="1793">
        <f t="shared" si="3"/>
        <v>0</v>
      </c>
    </row>
    <row r="56" spans="1:7" x14ac:dyDescent="0.25">
      <c r="A56" s="1653"/>
      <c r="B56" s="1667"/>
      <c r="C56" s="1654"/>
      <c r="D56" s="1844"/>
      <c r="E56" s="1540">
        <f t="shared" si="1"/>
        <v>0</v>
      </c>
      <c r="F56" s="1936">
        <f t="shared" si="2"/>
        <v>0</v>
      </c>
      <c r="G56" s="1793">
        <f t="shared" si="3"/>
        <v>0</v>
      </c>
    </row>
    <row r="57" spans="1:7" x14ac:dyDescent="0.25">
      <c r="A57" s="1653"/>
      <c r="B57" s="1667"/>
      <c r="C57" s="1654"/>
      <c r="D57" s="1844"/>
      <c r="E57" s="1540">
        <f t="shared" si="1"/>
        <v>0</v>
      </c>
      <c r="F57" s="1936">
        <f t="shared" si="2"/>
        <v>0</v>
      </c>
      <c r="G57" s="1793">
        <f t="shared" si="3"/>
        <v>0</v>
      </c>
    </row>
    <row r="58" spans="1:7" x14ac:dyDescent="0.25">
      <c r="A58" s="1653"/>
      <c r="B58" s="1667"/>
      <c r="C58" s="1654"/>
      <c r="D58" s="1844"/>
      <c r="E58" s="1540">
        <f t="shared" si="1"/>
        <v>0</v>
      </c>
      <c r="F58" s="1936">
        <f t="shared" si="2"/>
        <v>0</v>
      </c>
      <c r="G58" s="1793">
        <f t="shared" si="3"/>
        <v>0</v>
      </c>
    </row>
    <row r="59" spans="1:7" x14ac:dyDescent="0.25">
      <c r="A59" s="1653"/>
      <c r="B59" s="1667"/>
      <c r="C59" s="1654"/>
      <c r="D59" s="1844"/>
      <c r="E59" s="1540">
        <f t="shared" si="1"/>
        <v>0</v>
      </c>
      <c r="F59" s="1936">
        <f t="shared" si="2"/>
        <v>0</v>
      </c>
      <c r="G59" s="1793">
        <f t="shared" si="3"/>
        <v>0</v>
      </c>
    </row>
    <row r="60" spans="1:7" x14ac:dyDescent="0.25">
      <c r="A60" s="1653"/>
      <c r="B60" s="1667"/>
      <c r="C60" s="1654"/>
      <c r="D60" s="1844"/>
      <c r="E60" s="1540">
        <f t="shared" si="1"/>
        <v>0</v>
      </c>
      <c r="F60" s="1936">
        <f t="shared" si="2"/>
        <v>0</v>
      </c>
      <c r="G60" s="1793">
        <f t="shared" si="3"/>
        <v>0</v>
      </c>
    </row>
    <row r="61" spans="1:7" x14ac:dyDescent="0.25">
      <c r="A61" s="1653"/>
      <c r="B61" s="1667"/>
      <c r="C61" s="1654"/>
      <c r="D61" s="1844"/>
      <c r="E61" s="1540">
        <f t="shared" si="1"/>
        <v>0</v>
      </c>
      <c r="F61" s="1936">
        <f t="shared" si="2"/>
        <v>0</v>
      </c>
      <c r="G61" s="1793">
        <f t="shared" si="3"/>
        <v>0</v>
      </c>
    </row>
    <row r="62" spans="1:7" x14ac:dyDescent="0.25">
      <c r="A62" s="1653"/>
      <c r="B62" s="1667"/>
      <c r="C62" s="1654"/>
      <c r="D62" s="1844"/>
      <c r="E62" s="1540">
        <f t="shared" si="1"/>
        <v>0</v>
      </c>
      <c r="F62" s="1936">
        <f t="shared" si="2"/>
        <v>0</v>
      </c>
      <c r="G62" s="1793">
        <f t="shared" si="3"/>
        <v>0</v>
      </c>
    </row>
    <row r="63" spans="1:7" x14ac:dyDescent="0.25">
      <c r="A63" s="1653"/>
      <c r="B63" s="1667"/>
      <c r="C63" s="1654"/>
      <c r="D63" s="1844"/>
      <c r="E63" s="1540">
        <f t="shared" si="1"/>
        <v>0</v>
      </c>
      <c r="F63" s="1936">
        <f t="shared" si="2"/>
        <v>0</v>
      </c>
      <c r="G63" s="1793">
        <f t="shared" si="3"/>
        <v>0</v>
      </c>
    </row>
    <row r="64" spans="1:7" x14ac:dyDescent="0.25">
      <c r="A64" s="1653"/>
      <c r="B64" s="1667"/>
      <c r="C64" s="1654"/>
      <c r="D64" s="1844"/>
      <c r="E64" s="1540">
        <f t="shared" si="1"/>
        <v>0</v>
      </c>
      <c r="F64" s="1936">
        <f t="shared" si="2"/>
        <v>0</v>
      </c>
      <c r="G64" s="1793">
        <f t="shared" si="3"/>
        <v>0</v>
      </c>
    </row>
    <row r="65" spans="1:7" x14ac:dyDescent="0.25">
      <c r="A65" s="1655"/>
      <c r="B65" s="1667"/>
      <c r="C65" s="1656"/>
      <c r="D65" s="1844"/>
      <c r="E65" s="1540">
        <f t="shared" si="1"/>
        <v>0</v>
      </c>
      <c r="F65" s="1936">
        <f t="shared" si="2"/>
        <v>0</v>
      </c>
      <c r="G65" s="1793">
        <f t="shared" si="3"/>
        <v>0</v>
      </c>
    </row>
    <row r="66" spans="1:7" x14ac:dyDescent="0.25">
      <c r="A66" s="1653"/>
      <c r="B66" s="1667"/>
      <c r="C66" s="1654"/>
      <c r="D66" s="1844"/>
      <c r="E66" s="1540">
        <f t="shared" si="1"/>
        <v>0</v>
      </c>
      <c r="F66" s="1936">
        <f t="shared" si="2"/>
        <v>0</v>
      </c>
      <c r="G66" s="1793">
        <f t="shared" si="3"/>
        <v>0</v>
      </c>
    </row>
    <row r="67" spans="1:7" x14ac:dyDescent="0.25">
      <c r="A67" s="1653"/>
      <c r="B67" s="1667"/>
      <c r="C67" s="1654"/>
      <c r="D67" s="1844"/>
      <c r="E67" s="1540">
        <f t="shared" si="1"/>
        <v>0</v>
      </c>
      <c r="F67" s="1936">
        <f t="shared" si="2"/>
        <v>0</v>
      </c>
      <c r="G67" s="1793">
        <f t="shared" si="3"/>
        <v>0</v>
      </c>
    </row>
    <row r="68" spans="1:7" x14ac:dyDescent="0.25">
      <c r="A68" s="1653"/>
      <c r="B68" s="1667"/>
      <c r="C68" s="1654"/>
      <c r="D68" s="1844"/>
      <c r="E68" s="1540">
        <f t="shared" si="1"/>
        <v>0</v>
      </c>
      <c r="F68" s="1936">
        <f t="shared" si="2"/>
        <v>0</v>
      </c>
      <c r="G68" s="1793">
        <f t="shared" si="3"/>
        <v>0</v>
      </c>
    </row>
    <row r="69" spans="1:7" x14ac:dyDescent="0.25">
      <c r="A69" s="1653"/>
      <c r="B69" s="1667"/>
      <c r="C69" s="1654"/>
      <c r="D69" s="1844"/>
      <c r="E69" s="1540">
        <f t="shared" si="1"/>
        <v>0</v>
      </c>
      <c r="F69" s="1936">
        <f t="shared" si="2"/>
        <v>0</v>
      </c>
      <c r="G69" s="1793">
        <f t="shared" si="3"/>
        <v>0</v>
      </c>
    </row>
    <row r="70" spans="1:7" x14ac:dyDescent="0.25">
      <c r="A70" s="1653"/>
      <c r="B70" s="1667"/>
      <c r="C70" s="1654"/>
      <c r="D70" s="1844"/>
      <c r="E70" s="1540">
        <f t="shared" si="1"/>
        <v>0</v>
      </c>
      <c r="F70" s="1936">
        <f t="shared" si="2"/>
        <v>0</v>
      </c>
      <c r="G70" s="1793">
        <f t="shared" si="3"/>
        <v>0</v>
      </c>
    </row>
    <row r="71" spans="1:7" x14ac:dyDescent="0.25">
      <c r="A71" s="1653"/>
      <c r="B71" s="1667"/>
      <c r="C71" s="1654"/>
      <c r="D71" s="1844"/>
      <c r="E71" s="1540">
        <f t="shared" si="1"/>
        <v>0</v>
      </c>
      <c r="F71" s="1936">
        <f t="shared" si="2"/>
        <v>0</v>
      </c>
      <c r="G71" s="1793">
        <f t="shared" si="3"/>
        <v>0</v>
      </c>
    </row>
    <row r="72" spans="1:7" x14ac:dyDescent="0.25">
      <c r="A72" s="1653"/>
      <c r="B72" s="1667"/>
      <c r="C72" s="1654"/>
      <c r="D72" s="1844"/>
      <c r="E72" s="1540">
        <f t="shared" si="1"/>
        <v>0</v>
      </c>
      <c r="F72" s="1936">
        <f t="shared" si="2"/>
        <v>0</v>
      </c>
      <c r="G72" s="1793">
        <f t="shared" si="3"/>
        <v>0</v>
      </c>
    </row>
    <row r="73" spans="1:7" x14ac:dyDescent="0.25">
      <c r="A73" s="1653"/>
      <c r="B73" s="1667"/>
      <c r="C73" s="1654"/>
      <c r="D73" s="1844"/>
      <c r="E73" s="1540">
        <f t="shared" si="1"/>
        <v>0</v>
      </c>
      <c r="F73" s="1936">
        <f t="shared" si="2"/>
        <v>0</v>
      </c>
      <c r="G73" s="1793">
        <f t="shared" si="3"/>
        <v>0</v>
      </c>
    </row>
    <row r="74" spans="1:7" x14ac:dyDescent="0.25">
      <c r="A74" s="1653"/>
      <c r="B74" s="1667"/>
      <c r="C74" s="1654"/>
      <c r="D74" s="1844"/>
      <c r="E74" s="1540">
        <f t="shared" ref="E74:E85" si="4">IF(D74&lt;=25000,D74,IF(D74&gt;25000,25000,0))</f>
        <v>0</v>
      </c>
      <c r="F74" s="1936">
        <f t="shared" si="2"/>
        <v>0</v>
      </c>
      <c r="G74" s="1793">
        <f t="shared" ref="G74:G85" si="5">IF(F74=0,0,D74-F74)</f>
        <v>0</v>
      </c>
    </row>
    <row r="75" spans="1:7" x14ac:dyDescent="0.25">
      <c r="A75" s="1653"/>
      <c r="B75" s="1667"/>
      <c r="C75" s="1654"/>
      <c r="D75" s="1844"/>
      <c r="E75" s="1540">
        <f t="shared" si="4"/>
        <v>0</v>
      </c>
      <c r="F75" s="1936">
        <f t="shared" si="2"/>
        <v>0</v>
      </c>
      <c r="G75" s="1793">
        <f t="shared" si="5"/>
        <v>0</v>
      </c>
    </row>
    <row r="76" spans="1:7" x14ac:dyDescent="0.25">
      <c r="A76" s="1653"/>
      <c r="B76" s="1667"/>
      <c r="C76" s="1654"/>
      <c r="D76" s="1844"/>
      <c r="E76" s="1540">
        <f t="shared" si="4"/>
        <v>0</v>
      </c>
      <c r="F76" s="1936">
        <f t="shared" si="2"/>
        <v>0</v>
      </c>
      <c r="G76" s="1793">
        <f t="shared" si="5"/>
        <v>0</v>
      </c>
    </row>
    <row r="77" spans="1:7" x14ac:dyDescent="0.25">
      <c r="A77" s="1653"/>
      <c r="B77" s="1667"/>
      <c r="C77" s="1654"/>
      <c r="D77" s="1844"/>
      <c r="E77" s="1540">
        <f t="shared" si="4"/>
        <v>0</v>
      </c>
      <c r="F77" s="1936">
        <f t="shared" si="2"/>
        <v>0</v>
      </c>
      <c r="G77" s="1793">
        <f t="shared" si="5"/>
        <v>0</v>
      </c>
    </row>
    <row r="78" spans="1:7" x14ac:dyDescent="0.25">
      <c r="A78" s="1653"/>
      <c r="B78" s="1667"/>
      <c r="C78" s="1654"/>
      <c r="D78" s="1844"/>
      <c r="E78" s="1540">
        <f t="shared" si="4"/>
        <v>0</v>
      </c>
      <c r="F78" s="1936">
        <f t="shared" si="2"/>
        <v>0</v>
      </c>
      <c r="G78" s="1793">
        <f t="shared" si="5"/>
        <v>0</v>
      </c>
    </row>
    <row r="79" spans="1:7" x14ac:dyDescent="0.25">
      <c r="A79" s="1653"/>
      <c r="B79" s="1667"/>
      <c r="C79" s="1654"/>
      <c r="D79" s="1844"/>
      <c r="E79" s="1540">
        <f t="shared" si="4"/>
        <v>0</v>
      </c>
      <c r="F79" s="1936">
        <f t="shared" si="2"/>
        <v>0</v>
      </c>
      <c r="G79" s="1793">
        <f t="shared" si="5"/>
        <v>0</v>
      </c>
    </row>
    <row r="80" spans="1:7" x14ac:dyDescent="0.25">
      <c r="A80" s="1653"/>
      <c r="B80" s="1667"/>
      <c r="C80" s="1654"/>
      <c r="D80" s="1844"/>
      <c r="E80" s="1540">
        <f t="shared" si="4"/>
        <v>0</v>
      </c>
      <c r="F80" s="1936">
        <f t="shared" si="2"/>
        <v>0</v>
      </c>
      <c r="G80" s="1793">
        <f t="shared" si="5"/>
        <v>0</v>
      </c>
    </row>
    <row r="81" spans="1:7" x14ac:dyDescent="0.25">
      <c r="A81" s="1653"/>
      <c r="B81" s="1667"/>
      <c r="C81" s="1654"/>
      <c r="D81" s="1844"/>
      <c r="E81" s="1540">
        <f t="shared" si="4"/>
        <v>0</v>
      </c>
      <c r="F81" s="1936">
        <f t="shared" si="2"/>
        <v>0</v>
      </c>
      <c r="G81" s="1793">
        <f t="shared" si="5"/>
        <v>0</v>
      </c>
    </row>
    <row r="82" spans="1:7" x14ac:dyDescent="0.25">
      <c r="A82" s="1653"/>
      <c r="B82" s="1667"/>
      <c r="C82" s="1654"/>
      <c r="D82" s="1844"/>
      <c r="E82" s="1540">
        <f t="shared" si="4"/>
        <v>0</v>
      </c>
      <c r="F82" s="1936">
        <f t="shared" ref="F82:F141" si="6">(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93">
        <f t="shared" si="5"/>
        <v>0</v>
      </c>
    </row>
    <row r="83" spans="1:7" x14ac:dyDescent="0.25">
      <c r="A83" s="1653"/>
      <c r="B83" s="1667"/>
      <c r="C83" s="1654"/>
      <c r="D83" s="1844"/>
      <c r="E83" s="1540">
        <f t="shared" si="4"/>
        <v>0</v>
      </c>
      <c r="F83" s="1936">
        <f t="shared" si="6"/>
        <v>0</v>
      </c>
      <c r="G83" s="1793">
        <f t="shared" si="5"/>
        <v>0</v>
      </c>
    </row>
    <row r="84" spans="1:7" x14ac:dyDescent="0.25">
      <c r="A84" s="1653"/>
      <c r="B84" s="1667"/>
      <c r="C84" s="1654"/>
      <c r="D84" s="1844"/>
      <c r="E84" s="1540">
        <f t="shared" si="4"/>
        <v>0</v>
      </c>
      <c r="F84" s="1936">
        <f t="shared" si="6"/>
        <v>0</v>
      </c>
      <c r="G84" s="1793">
        <f t="shared" si="5"/>
        <v>0</v>
      </c>
    </row>
    <row r="85" spans="1:7" x14ac:dyDescent="0.25">
      <c r="A85" s="1653"/>
      <c r="B85" s="1667"/>
      <c r="C85" s="1654"/>
      <c r="D85" s="1844"/>
      <c r="E85" s="1540">
        <f t="shared" si="4"/>
        <v>0</v>
      </c>
      <c r="F85" s="1936">
        <f t="shared" si="6"/>
        <v>0</v>
      </c>
      <c r="G85" s="1793">
        <f t="shared" si="5"/>
        <v>0</v>
      </c>
    </row>
    <row r="86" spans="1:7" x14ac:dyDescent="0.25">
      <c r="A86" s="1653"/>
      <c r="B86" s="1667"/>
      <c r="C86" s="1654"/>
      <c r="D86" s="1844"/>
      <c r="E86" s="1540">
        <f t="shared" si="1"/>
        <v>0</v>
      </c>
      <c r="F86" s="1936">
        <f t="shared" si="6"/>
        <v>0</v>
      </c>
      <c r="G86" s="1793">
        <f t="shared" si="3"/>
        <v>0</v>
      </c>
    </row>
    <row r="87" spans="1:7" x14ac:dyDescent="0.25">
      <c r="A87" s="1653"/>
      <c r="B87" s="1667"/>
      <c r="C87" s="1654"/>
      <c r="D87" s="1844"/>
      <c r="E87" s="1540">
        <f t="shared" si="1"/>
        <v>0</v>
      </c>
      <c r="F87" s="1936">
        <f t="shared" si="6"/>
        <v>0</v>
      </c>
      <c r="G87" s="1793">
        <f t="shared" si="3"/>
        <v>0</v>
      </c>
    </row>
    <row r="88" spans="1:7" x14ac:dyDescent="0.25">
      <c r="A88" s="1653"/>
      <c r="B88" s="1667"/>
      <c r="C88" s="1654"/>
      <c r="D88" s="1844"/>
      <c r="E88" s="1540">
        <f t="shared" si="1"/>
        <v>0</v>
      </c>
      <c r="F88" s="1936">
        <f t="shared" si="6"/>
        <v>0</v>
      </c>
      <c r="G88" s="1793">
        <f t="shared" si="3"/>
        <v>0</v>
      </c>
    </row>
    <row r="89" spans="1:7" x14ac:dyDescent="0.25">
      <c r="A89" s="1653"/>
      <c r="B89" s="1667"/>
      <c r="C89" s="1654"/>
      <c r="D89" s="1844"/>
      <c r="E89" s="1540">
        <f t="shared" si="1"/>
        <v>0</v>
      </c>
      <c r="F89" s="1936">
        <f t="shared" si="6"/>
        <v>0</v>
      </c>
      <c r="G89" s="1793">
        <f t="shared" si="3"/>
        <v>0</v>
      </c>
    </row>
    <row r="90" spans="1:7" x14ac:dyDescent="0.25">
      <c r="A90" s="1653"/>
      <c r="B90" s="1667"/>
      <c r="C90" s="1654"/>
      <c r="D90" s="1844"/>
      <c r="E90" s="1540">
        <f t="shared" si="1"/>
        <v>0</v>
      </c>
      <c r="F90" s="1936">
        <f t="shared" si="6"/>
        <v>0</v>
      </c>
      <c r="G90" s="1793">
        <f t="shared" si="3"/>
        <v>0</v>
      </c>
    </row>
    <row r="91" spans="1:7" x14ac:dyDescent="0.25">
      <c r="A91" s="1653"/>
      <c r="B91" s="1667"/>
      <c r="C91" s="1654"/>
      <c r="D91" s="1844"/>
      <c r="E91" s="1540">
        <f t="shared" si="1"/>
        <v>0</v>
      </c>
      <c r="F91" s="1936">
        <f t="shared" si="6"/>
        <v>0</v>
      </c>
      <c r="G91" s="1793">
        <f t="shared" si="3"/>
        <v>0</v>
      </c>
    </row>
    <row r="92" spans="1:7" x14ac:dyDescent="0.25">
      <c r="A92" s="1653"/>
      <c r="B92" s="1667"/>
      <c r="C92" s="1654"/>
      <c r="D92" s="1844"/>
      <c r="E92" s="1540">
        <f t="shared" si="1"/>
        <v>0</v>
      </c>
      <c r="F92" s="1936">
        <f t="shared" si="6"/>
        <v>0</v>
      </c>
      <c r="G92" s="1793">
        <f t="shared" si="3"/>
        <v>0</v>
      </c>
    </row>
    <row r="93" spans="1:7" x14ac:dyDescent="0.25">
      <c r="A93" s="1653"/>
      <c r="B93" s="1667"/>
      <c r="C93" s="1654"/>
      <c r="D93" s="1844"/>
      <c r="E93" s="1540">
        <f t="shared" si="1"/>
        <v>0</v>
      </c>
      <c r="F93" s="1936">
        <f t="shared" si="6"/>
        <v>0</v>
      </c>
      <c r="G93" s="1793">
        <f t="shared" si="3"/>
        <v>0</v>
      </c>
    </row>
    <row r="94" spans="1:7" x14ac:dyDescent="0.25">
      <c r="A94" s="1653"/>
      <c r="B94" s="1667"/>
      <c r="C94" s="1654"/>
      <c r="D94" s="1844"/>
      <c r="E94" s="1540">
        <f t="shared" ref="E94" si="7">IF(D94&lt;=25000,D94,IF(D94&gt;25000,25000,0))</f>
        <v>0</v>
      </c>
      <c r="F94" s="1936">
        <f t="shared" si="6"/>
        <v>0</v>
      </c>
      <c r="G94" s="1793">
        <f t="shared" ref="G94" si="8">IF(F94=0,0,D94-F94)</f>
        <v>0</v>
      </c>
    </row>
    <row r="95" spans="1:7" x14ac:dyDescent="0.25">
      <c r="A95" s="1653"/>
      <c r="B95" s="1667"/>
      <c r="C95" s="1654"/>
      <c r="D95" s="1844"/>
      <c r="E95" s="1540">
        <f t="shared" si="1"/>
        <v>0</v>
      </c>
      <c r="F95" s="1936">
        <f t="shared" si="6"/>
        <v>0</v>
      </c>
      <c r="G95" s="1793">
        <f t="shared" si="3"/>
        <v>0</v>
      </c>
    </row>
    <row r="96" spans="1:7" x14ac:dyDescent="0.25">
      <c r="A96" s="1653"/>
      <c r="B96" s="1667"/>
      <c r="C96" s="1654"/>
      <c r="D96" s="1844"/>
      <c r="E96" s="1540">
        <f t="shared" ref="E96:E99" si="9">IF(D96&lt;=25000,D96,IF(D96&gt;25000,25000,0))</f>
        <v>0</v>
      </c>
      <c r="F96" s="1936">
        <f t="shared" si="6"/>
        <v>0</v>
      </c>
      <c r="G96" s="1793">
        <f t="shared" ref="G96:G99" si="10">IF(F96=0,0,D96-F96)</f>
        <v>0</v>
      </c>
    </row>
    <row r="97" spans="1:7" x14ac:dyDescent="0.25">
      <c r="A97" s="1653"/>
      <c r="B97" s="1667"/>
      <c r="C97" s="1654"/>
      <c r="D97" s="1844"/>
      <c r="E97" s="1540">
        <f t="shared" si="9"/>
        <v>0</v>
      </c>
      <c r="F97" s="1936">
        <f t="shared" si="6"/>
        <v>0</v>
      </c>
      <c r="G97" s="1793">
        <f t="shared" si="10"/>
        <v>0</v>
      </c>
    </row>
    <row r="98" spans="1:7" x14ac:dyDescent="0.25">
      <c r="A98" s="1653"/>
      <c r="B98" s="1667"/>
      <c r="C98" s="1654"/>
      <c r="D98" s="1844"/>
      <c r="E98" s="1540">
        <f t="shared" si="9"/>
        <v>0</v>
      </c>
      <c r="F98" s="1936">
        <f t="shared" si="6"/>
        <v>0</v>
      </c>
      <c r="G98" s="1793">
        <f t="shared" si="10"/>
        <v>0</v>
      </c>
    </row>
    <row r="99" spans="1:7" x14ac:dyDescent="0.25">
      <c r="A99" s="1653"/>
      <c r="B99" s="1667"/>
      <c r="C99" s="1654"/>
      <c r="D99" s="1844"/>
      <c r="E99" s="1540">
        <f t="shared" si="9"/>
        <v>0</v>
      </c>
      <c r="F99" s="1936">
        <f t="shared" si="6"/>
        <v>0</v>
      </c>
      <c r="G99" s="1793">
        <f t="shared" si="10"/>
        <v>0</v>
      </c>
    </row>
    <row r="100" spans="1:7" x14ac:dyDescent="0.25">
      <c r="A100" s="1653"/>
      <c r="B100" s="1667"/>
      <c r="C100" s="1654"/>
      <c r="D100" s="1844"/>
      <c r="E100" s="1540">
        <f t="shared" ref="E100" si="11">IF(D100&lt;=25000,D100,IF(D100&gt;25000,25000,0))</f>
        <v>0</v>
      </c>
      <c r="F100" s="1936">
        <f t="shared" si="6"/>
        <v>0</v>
      </c>
      <c r="G100" s="1793">
        <f t="shared" ref="G100" si="12">IF(F100=0,0,D100-F100)</f>
        <v>0</v>
      </c>
    </row>
    <row r="101" spans="1:7" x14ac:dyDescent="0.25">
      <c r="A101" s="1653"/>
      <c r="B101" s="1667"/>
      <c r="C101" s="1654"/>
      <c r="D101" s="1844"/>
      <c r="E101" s="1540">
        <f t="shared" ref="E101:E113" si="13">IF(D101&lt;=25000,D101,IF(D101&gt;25000,25000,0))</f>
        <v>0</v>
      </c>
      <c r="F101" s="1936">
        <f t="shared" si="6"/>
        <v>0</v>
      </c>
      <c r="G101" s="1793">
        <f t="shared" ref="G101:G113" si="14">IF(F101=0,0,D101-F101)</f>
        <v>0</v>
      </c>
    </row>
    <row r="102" spans="1:7" x14ac:dyDescent="0.25">
      <c r="A102" s="1653"/>
      <c r="B102" s="1667"/>
      <c r="C102" s="1654"/>
      <c r="D102" s="1844"/>
      <c r="E102" s="1540">
        <f t="shared" si="13"/>
        <v>0</v>
      </c>
      <c r="F102" s="1936">
        <f t="shared" si="6"/>
        <v>0</v>
      </c>
      <c r="G102" s="1793">
        <f t="shared" si="14"/>
        <v>0</v>
      </c>
    </row>
    <row r="103" spans="1:7" x14ac:dyDescent="0.25">
      <c r="A103" s="1653"/>
      <c r="B103" s="1667"/>
      <c r="C103" s="1654"/>
      <c r="D103" s="1844"/>
      <c r="E103" s="1540">
        <f t="shared" si="13"/>
        <v>0</v>
      </c>
      <c r="F103" s="1936">
        <f t="shared" si="6"/>
        <v>0</v>
      </c>
      <c r="G103" s="1793">
        <f t="shared" si="14"/>
        <v>0</v>
      </c>
    </row>
    <row r="104" spans="1:7" x14ac:dyDescent="0.25">
      <c r="A104" s="1653"/>
      <c r="B104" s="1667"/>
      <c r="C104" s="1654"/>
      <c r="D104" s="1844"/>
      <c r="E104" s="1540">
        <f t="shared" si="13"/>
        <v>0</v>
      </c>
      <c r="F104" s="1936">
        <f t="shared" si="6"/>
        <v>0</v>
      </c>
      <c r="G104" s="1793">
        <f t="shared" si="14"/>
        <v>0</v>
      </c>
    </row>
    <row r="105" spans="1:7" x14ac:dyDescent="0.25">
      <c r="A105" s="1653"/>
      <c r="B105" s="1667"/>
      <c r="C105" s="1654"/>
      <c r="D105" s="1844"/>
      <c r="E105" s="1540">
        <f t="shared" si="13"/>
        <v>0</v>
      </c>
      <c r="F105" s="1936">
        <f t="shared" si="6"/>
        <v>0</v>
      </c>
      <c r="G105" s="1793">
        <f t="shared" si="14"/>
        <v>0</v>
      </c>
    </row>
    <row r="106" spans="1:7" x14ac:dyDescent="0.25">
      <c r="A106" s="1653"/>
      <c r="B106" s="1667"/>
      <c r="C106" s="1654"/>
      <c r="D106" s="1844"/>
      <c r="E106" s="1540">
        <f t="shared" si="13"/>
        <v>0</v>
      </c>
      <c r="F106" s="1936">
        <f t="shared" si="6"/>
        <v>0</v>
      </c>
      <c r="G106" s="1793">
        <f t="shared" si="14"/>
        <v>0</v>
      </c>
    </row>
    <row r="107" spans="1:7" x14ac:dyDescent="0.25">
      <c r="A107" s="1653"/>
      <c r="B107" s="1667"/>
      <c r="C107" s="1654"/>
      <c r="D107" s="1844"/>
      <c r="E107" s="1540">
        <f t="shared" si="13"/>
        <v>0</v>
      </c>
      <c r="F107" s="1936">
        <f t="shared" si="6"/>
        <v>0</v>
      </c>
      <c r="G107" s="1793">
        <f t="shared" si="14"/>
        <v>0</v>
      </c>
    </row>
    <row r="108" spans="1:7" x14ac:dyDescent="0.25">
      <c r="A108" s="1653"/>
      <c r="B108" s="1667"/>
      <c r="C108" s="1654"/>
      <c r="D108" s="1844"/>
      <c r="E108" s="1540">
        <f t="shared" si="13"/>
        <v>0</v>
      </c>
      <c r="F108" s="1936">
        <f t="shared" si="6"/>
        <v>0</v>
      </c>
      <c r="G108" s="1793">
        <f t="shared" si="14"/>
        <v>0</v>
      </c>
    </row>
    <row r="109" spans="1:7" x14ac:dyDescent="0.25">
      <c r="A109" s="1653"/>
      <c r="B109" s="1667"/>
      <c r="C109" s="1654"/>
      <c r="D109" s="1844"/>
      <c r="E109" s="1540">
        <f t="shared" si="13"/>
        <v>0</v>
      </c>
      <c r="F109" s="1936">
        <f t="shared" si="6"/>
        <v>0</v>
      </c>
      <c r="G109" s="1793">
        <f t="shared" si="14"/>
        <v>0</v>
      </c>
    </row>
    <row r="110" spans="1:7" x14ac:dyDescent="0.25">
      <c r="A110" s="1653"/>
      <c r="B110" s="1667"/>
      <c r="C110" s="1654"/>
      <c r="D110" s="1844"/>
      <c r="E110" s="1540">
        <f t="shared" si="13"/>
        <v>0</v>
      </c>
      <c r="F110" s="1936">
        <f t="shared" si="6"/>
        <v>0</v>
      </c>
      <c r="G110" s="1793">
        <f t="shared" si="14"/>
        <v>0</v>
      </c>
    </row>
    <row r="111" spans="1:7" x14ac:dyDescent="0.25">
      <c r="A111" s="1653"/>
      <c r="B111" s="1667"/>
      <c r="C111" s="1654"/>
      <c r="D111" s="1844"/>
      <c r="E111" s="1540">
        <f t="shared" si="13"/>
        <v>0</v>
      </c>
      <c r="F111" s="1936">
        <f t="shared" si="6"/>
        <v>0</v>
      </c>
      <c r="G111" s="1793">
        <f t="shared" si="14"/>
        <v>0</v>
      </c>
    </row>
    <row r="112" spans="1:7" x14ac:dyDescent="0.25">
      <c r="A112" s="1653"/>
      <c r="B112" s="1667"/>
      <c r="C112" s="1654"/>
      <c r="D112" s="1844"/>
      <c r="E112" s="1540">
        <f t="shared" si="13"/>
        <v>0</v>
      </c>
      <c r="F112" s="1936">
        <f t="shared" si="6"/>
        <v>0</v>
      </c>
      <c r="G112" s="1793">
        <f t="shared" si="14"/>
        <v>0</v>
      </c>
    </row>
    <row r="113" spans="1:7" x14ac:dyDescent="0.25">
      <c r="A113" s="1653"/>
      <c r="B113" s="1667"/>
      <c r="C113" s="1654"/>
      <c r="D113" s="1844"/>
      <c r="E113" s="1540">
        <f t="shared" si="13"/>
        <v>0</v>
      </c>
      <c r="F113" s="1936">
        <f t="shared" si="6"/>
        <v>0</v>
      </c>
      <c r="G113" s="1793">
        <f t="shared" si="14"/>
        <v>0</v>
      </c>
    </row>
    <row r="114" spans="1:7" x14ac:dyDescent="0.25">
      <c r="A114" s="1653"/>
      <c r="B114" s="1667"/>
      <c r="C114" s="1654"/>
      <c r="D114" s="1844"/>
      <c r="E114" s="1540">
        <f t="shared" ref="E114:E126" si="15">IF(D114&lt;=25000,D114,IF(D114&gt;25000,25000,0))</f>
        <v>0</v>
      </c>
      <c r="F114" s="1936">
        <f t="shared" si="6"/>
        <v>0</v>
      </c>
      <c r="G114" s="1793">
        <f t="shared" ref="G114:G126" si="16">IF(F114=0,0,D114-F114)</f>
        <v>0</v>
      </c>
    </row>
    <row r="115" spans="1:7" x14ac:dyDescent="0.25">
      <c r="A115" s="1653"/>
      <c r="B115" s="1667"/>
      <c r="C115" s="1654"/>
      <c r="D115" s="1844"/>
      <c r="E115" s="1540">
        <f t="shared" si="15"/>
        <v>0</v>
      </c>
      <c r="F115" s="1936">
        <f t="shared" si="6"/>
        <v>0</v>
      </c>
      <c r="G115" s="1793">
        <f t="shared" si="16"/>
        <v>0</v>
      </c>
    </row>
    <row r="116" spans="1:7" x14ac:dyDescent="0.25">
      <c r="A116" s="1653"/>
      <c r="B116" s="1667"/>
      <c r="C116" s="1654"/>
      <c r="D116" s="1844"/>
      <c r="E116" s="1540">
        <f t="shared" si="15"/>
        <v>0</v>
      </c>
      <c r="F116" s="1936">
        <f t="shared" si="6"/>
        <v>0</v>
      </c>
      <c r="G116" s="1793">
        <f t="shared" si="16"/>
        <v>0</v>
      </c>
    </row>
    <row r="117" spans="1:7" x14ac:dyDescent="0.25">
      <c r="A117" s="1653"/>
      <c r="B117" s="1667"/>
      <c r="C117" s="1654"/>
      <c r="D117" s="1844"/>
      <c r="E117" s="1540">
        <f t="shared" si="15"/>
        <v>0</v>
      </c>
      <c r="F117" s="1936">
        <f t="shared" si="6"/>
        <v>0</v>
      </c>
      <c r="G117" s="1793">
        <f t="shared" si="16"/>
        <v>0</v>
      </c>
    </row>
    <row r="118" spans="1:7" x14ac:dyDescent="0.25">
      <c r="A118" s="1653"/>
      <c r="B118" s="1667"/>
      <c r="C118" s="1654"/>
      <c r="D118" s="1844"/>
      <c r="E118" s="1540">
        <f t="shared" si="15"/>
        <v>0</v>
      </c>
      <c r="F118" s="1936">
        <f t="shared" si="6"/>
        <v>0</v>
      </c>
      <c r="G118" s="1793">
        <f t="shared" si="16"/>
        <v>0</v>
      </c>
    </row>
    <row r="119" spans="1:7" x14ac:dyDescent="0.25">
      <c r="A119" s="1653"/>
      <c r="B119" s="1667"/>
      <c r="C119" s="1654"/>
      <c r="D119" s="1844"/>
      <c r="E119" s="1540">
        <f t="shared" si="15"/>
        <v>0</v>
      </c>
      <c r="F119" s="1936">
        <f t="shared" si="6"/>
        <v>0</v>
      </c>
      <c r="G119" s="1793">
        <f t="shared" si="16"/>
        <v>0</v>
      </c>
    </row>
    <row r="120" spans="1:7" x14ac:dyDescent="0.25">
      <c r="A120" s="1653"/>
      <c r="B120" s="1667"/>
      <c r="C120" s="1654"/>
      <c r="D120" s="1844"/>
      <c r="E120" s="1540">
        <f t="shared" si="15"/>
        <v>0</v>
      </c>
      <c r="F120" s="1936">
        <f t="shared" si="6"/>
        <v>0</v>
      </c>
      <c r="G120" s="1793">
        <f t="shared" si="16"/>
        <v>0</v>
      </c>
    </row>
    <row r="121" spans="1:7" x14ac:dyDescent="0.25">
      <c r="A121" s="1653"/>
      <c r="B121" s="1667"/>
      <c r="C121" s="1654"/>
      <c r="D121" s="1844"/>
      <c r="E121" s="1540">
        <f t="shared" si="15"/>
        <v>0</v>
      </c>
      <c r="F121" s="1936">
        <f t="shared" si="6"/>
        <v>0</v>
      </c>
      <c r="G121" s="1793">
        <f t="shared" si="16"/>
        <v>0</v>
      </c>
    </row>
    <row r="122" spans="1:7" x14ac:dyDescent="0.25">
      <c r="A122" s="1653"/>
      <c r="B122" s="1667"/>
      <c r="C122" s="1654"/>
      <c r="D122" s="1844"/>
      <c r="E122" s="1540">
        <f t="shared" si="15"/>
        <v>0</v>
      </c>
      <c r="F122" s="1936">
        <f t="shared" si="6"/>
        <v>0</v>
      </c>
      <c r="G122" s="1793">
        <f t="shared" si="16"/>
        <v>0</v>
      </c>
    </row>
    <row r="123" spans="1:7" x14ac:dyDescent="0.25">
      <c r="A123" s="1653"/>
      <c r="B123" s="1667"/>
      <c r="C123" s="1654"/>
      <c r="D123" s="1844"/>
      <c r="E123" s="1540">
        <f t="shared" si="15"/>
        <v>0</v>
      </c>
      <c r="F123" s="1936">
        <f t="shared" si="6"/>
        <v>0</v>
      </c>
      <c r="G123" s="1793">
        <f t="shared" si="16"/>
        <v>0</v>
      </c>
    </row>
    <row r="124" spans="1:7" x14ac:dyDescent="0.25">
      <c r="A124" s="1653"/>
      <c r="B124" s="1667"/>
      <c r="C124" s="1654"/>
      <c r="D124" s="1844"/>
      <c r="E124" s="1540">
        <f t="shared" si="15"/>
        <v>0</v>
      </c>
      <c r="F124" s="1936">
        <f t="shared" si="6"/>
        <v>0</v>
      </c>
      <c r="G124" s="1793">
        <f t="shared" si="16"/>
        <v>0</v>
      </c>
    </row>
    <row r="125" spans="1:7" x14ac:dyDescent="0.25">
      <c r="A125" s="1653"/>
      <c r="B125" s="1667"/>
      <c r="C125" s="1654"/>
      <c r="D125" s="1844"/>
      <c r="E125" s="1540">
        <f t="shared" si="15"/>
        <v>0</v>
      </c>
      <c r="F125" s="1936">
        <f t="shared" si="6"/>
        <v>0</v>
      </c>
      <c r="G125" s="1793">
        <f t="shared" si="16"/>
        <v>0</v>
      </c>
    </row>
    <row r="126" spans="1:7" x14ac:dyDescent="0.25">
      <c r="A126" s="1653"/>
      <c r="B126" s="1667"/>
      <c r="C126" s="1654"/>
      <c r="D126" s="1844"/>
      <c r="E126" s="1540">
        <f t="shared" si="15"/>
        <v>0</v>
      </c>
      <c r="F126" s="1936">
        <f t="shared" si="6"/>
        <v>0</v>
      </c>
      <c r="G126" s="1793">
        <f t="shared" si="16"/>
        <v>0</v>
      </c>
    </row>
    <row r="127" spans="1:7" x14ac:dyDescent="0.25">
      <c r="A127" s="1653"/>
      <c r="B127" s="1667"/>
      <c r="C127" s="1654"/>
      <c r="D127" s="1844"/>
      <c r="E127" s="1540">
        <f t="shared" ref="E127:E135" si="17">IF(D127&lt;=25000,D127,IF(D127&gt;25000,25000,0))</f>
        <v>0</v>
      </c>
      <c r="F127" s="1936">
        <f t="shared" si="6"/>
        <v>0</v>
      </c>
      <c r="G127" s="1793">
        <f t="shared" ref="G127:G135" si="18">IF(F127=0,0,D127-F127)</f>
        <v>0</v>
      </c>
    </row>
    <row r="128" spans="1:7" x14ac:dyDescent="0.25">
      <c r="A128" s="1653"/>
      <c r="B128" s="1667"/>
      <c r="C128" s="1654"/>
      <c r="D128" s="1844"/>
      <c r="E128" s="1540">
        <f t="shared" si="17"/>
        <v>0</v>
      </c>
      <c r="F128" s="1936">
        <f t="shared" si="6"/>
        <v>0</v>
      </c>
      <c r="G128" s="1793">
        <f t="shared" si="18"/>
        <v>0</v>
      </c>
    </row>
    <row r="129" spans="1:7" x14ac:dyDescent="0.25">
      <c r="A129" s="1653"/>
      <c r="B129" s="1667"/>
      <c r="C129" s="1654"/>
      <c r="D129" s="1844"/>
      <c r="E129" s="1540">
        <f t="shared" si="17"/>
        <v>0</v>
      </c>
      <c r="F129" s="1936">
        <f t="shared" si="6"/>
        <v>0</v>
      </c>
      <c r="G129" s="1793">
        <f t="shared" si="18"/>
        <v>0</v>
      </c>
    </row>
    <row r="130" spans="1:7" x14ac:dyDescent="0.25">
      <c r="A130" s="1653"/>
      <c r="B130" s="1667"/>
      <c r="C130" s="1654"/>
      <c r="D130" s="1844"/>
      <c r="E130" s="1540">
        <f t="shared" si="17"/>
        <v>0</v>
      </c>
      <c r="F130" s="1936">
        <f t="shared" si="6"/>
        <v>0</v>
      </c>
      <c r="G130" s="1793">
        <f t="shared" si="18"/>
        <v>0</v>
      </c>
    </row>
    <row r="131" spans="1:7" x14ac:dyDescent="0.25">
      <c r="A131" s="1653"/>
      <c r="B131" s="1667"/>
      <c r="C131" s="1654"/>
      <c r="D131" s="1844"/>
      <c r="E131" s="1540">
        <f t="shared" si="17"/>
        <v>0</v>
      </c>
      <c r="F131" s="1936">
        <f t="shared" si="6"/>
        <v>0</v>
      </c>
      <c r="G131" s="1793">
        <f t="shared" si="18"/>
        <v>0</v>
      </c>
    </row>
    <row r="132" spans="1:7" x14ac:dyDescent="0.25">
      <c r="A132" s="1653"/>
      <c r="B132" s="1837"/>
      <c r="C132" s="1654"/>
      <c r="D132" s="1844"/>
      <c r="E132" s="1540">
        <f t="shared" si="17"/>
        <v>0</v>
      </c>
      <c r="F132" s="1936">
        <f t="shared" si="6"/>
        <v>0</v>
      </c>
      <c r="G132" s="1793">
        <f t="shared" si="18"/>
        <v>0</v>
      </c>
    </row>
    <row r="133" spans="1:7" x14ac:dyDescent="0.25">
      <c r="A133" s="1653"/>
      <c r="B133" s="1837"/>
      <c r="C133" s="1654"/>
      <c r="D133" s="1844"/>
      <c r="E133" s="1540">
        <f t="shared" si="17"/>
        <v>0</v>
      </c>
      <c r="F133" s="1936">
        <f t="shared" si="6"/>
        <v>0</v>
      </c>
      <c r="G133" s="1793">
        <f t="shared" si="18"/>
        <v>0</v>
      </c>
    </row>
    <row r="134" spans="1:7" x14ac:dyDescent="0.25">
      <c r="A134" s="1653"/>
      <c r="B134" s="1667"/>
      <c r="C134" s="1654"/>
      <c r="D134" s="1844"/>
      <c r="E134" s="1540">
        <f t="shared" si="17"/>
        <v>0</v>
      </c>
      <c r="F134" s="1936">
        <f t="shared" si="6"/>
        <v>0</v>
      </c>
      <c r="G134" s="1793">
        <f t="shared" si="18"/>
        <v>0</v>
      </c>
    </row>
    <row r="135" spans="1:7" x14ac:dyDescent="0.25">
      <c r="A135" s="1653"/>
      <c r="B135" s="1667"/>
      <c r="C135" s="1654"/>
      <c r="D135" s="1844"/>
      <c r="E135" s="1540">
        <f t="shared" si="17"/>
        <v>0</v>
      </c>
      <c r="F135" s="1936">
        <f t="shared" si="6"/>
        <v>0</v>
      </c>
      <c r="G135" s="1793">
        <f t="shared" si="18"/>
        <v>0</v>
      </c>
    </row>
    <row r="136" spans="1:7" x14ac:dyDescent="0.25">
      <c r="A136" s="1653"/>
      <c r="B136" s="1667"/>
      <c r="C136" s="1654"/>
      <c r="D136" s="1844"/>
      <c r="E136" s="1540">
        <f t="shared" ref="E136:E140" si="19">IF(D136&lt;=25000,D136,IF(D136&gt;25000,25000,0))</f>
        <v>0</v>
      </c>
      <c r="F136" s="1936">
        <f t="shared" si="6"/>
        <v>0</v>
      </c>
      <c r="G136" s="1793">
        <f t="shared" ref="G136:G140" si="20">IF(F136=0,0,D136-F136)</f>
        <v>0</v>
      </c>
    </row>
    <row r="137" spans="1:7" x14ac:dyDescent="0.25">
      <c r="A137" s="1653"/>
      <c r="B137" s="1667"/>
      <c r="C137" s="1654"/>
      <c r="D137" s="1844"/>
      <c r="E137" s="1540">
        <f t="shared" si="19"/>
        <v>0</v>
      </c>
      <c r="F137" s="1936">
        <f t="shared" si="6"/>
        <v>0</v>
      </c>
      <c r="G137" s="1793">
        <f t="shared" si="20"/>
        <v>0</v>
      </c>
    </row>
    <row r="138" spans="1:7" x14ac:dyDescent="0.25">
      <c r="A138" s="1653"/>
      <c r="B138" s="1667"/>
      <c r="C138" s="1654"/>
      <c r="D138" s="1844"/>
      <c r="E138" s="1540">
        <f t="shared" si="19"/>
        <v>0</v>
      </c>
      <c r="F138" s="1936">
        <f t="shared" si="6"/>
        <v>0</v>
      </c>
      <c r="G138" s="1793">
        <f t="shared" si="20"/>
        <v>0</v>
      </c>
    </row>
    <row r="139" spans="1:7" x14ac:dyDescent="0.25">
      <c r="A139" s="1653"/>
      <c r="B139" s="1667"/>
      <c r="C139" s="1654"/>
      <c r="D139" s="1844"/>
      <c r="E139" s="1540">
        <f t="shared" si="19"/>
        <v>0</v>
      </c>
      <c r="F139" s="1936">
        <f t="shared" si="6"/>
        <v>0</v>
      </c>
      <c r="G139" s="1793">
        <f t="shared" si="20"/>
        <v>0</v>
      </c>
    </row>
    <row r="140" spans="1:7" x14ac:dyDescent="0.25">
      <c r="A140" s="1653"/>
      <c r="B140" s="1667"/>
      <c r="C140" s="1654"/>
      <c r="D140" s="1844"/>
      <c r="E140" s="1540">
        <f t="shared" si="19"/>
        <v>0</v>
      </c>
      <c r="F140" s="1936">
        <f t="shared" si="6"/>
        <v>0</v>
      </c>
      <c r="G140" s="1793">
        <f t="shared" si="20"/>
        <v>0</v>
      </c>
    </row>
    <row r="141" spans="1:7" x14ac:dyDescent="0.25">
      <c r="A141" s="1653"/>
      <c r="B141" s="1666"/>
      <c r="C141" s="1654"/>
      <c r="D141" s="1844"/>
      <c r="E141" s="1540">
        <f t="shared" si="1"/>
        <v>0</v>
      </c>
      <c r="F141" s="1936">
        <f t="shared" si="6"/>
        <v>0</v>
      </c>
      <c r="G141" s="1793">
        <f t="shared" si="3"/>
        <v>0</v>
      </c>
    </row>
    <row r="142" spans="1:7" x14ac:dyDescent="0.25">
      <c r="A142" s="1796" t="s">
        <v>156</v>
      </c>
      <c r="B142" s="1797"/>
      <c r="C142" s="1798"/>
      <c r="D142" s="1794">
        <f>SUM(D18:D141)</f>
        <v>20875</v>
      </c>
      <c r="E142" s="1541">
        <f t="shared" si="0"/>
        <v>20875</v>
      </c>
      <c r="F142" s="1932">
        <f>SUM(F18:F141)</f>
        <v>20875</v>
      </c>
      <c r="G142" s="1795">
        <f>SUM(G18:G141)</f>
        <v>0</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3" tint="0.59999389629810485"/>
  </sheetPr>
  <dimension ref="A1:I46"/>
  <sheetViews>
    <sheetView showGridLines="0" defaultGridColor="0" topLeftCell="A31"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9" t="s">
        <v>1679</v>
      </c>
      <c r="B5" s="2290"/>
      <c r="C5" s="2290"/>
      <c r="D5" s="2290"/>
      <c r="E5" s="2290"/>
      <c r="F5" s="2290"/>
      <c r="G5" s="2291"/>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1931</v>
      </c>
      <c r="B10" s="971"/>
      <c r="C10" s="976"/>
      <c r="D10" s="972"/>
      <c r="E10" s="973">
        <v>103796</v>
      </c>
      <c r="F10" s="974"/>
      <c r="G10" s="975"/>
      <c r="H10" s="162"/>
      <c r="I10" s="162"/>
    </row>
    <row r="11" spans="1:9" s="668" customFormat="1" ht="22.5" customHeight="1" x14ac:dyDescent="0.2">
      <c r="A11" s="2294" t="s">
        <v>1974</v>
      </c>
      <c r="B11" s="2295"/>
      <c r="C11" s="2295"/>
      <c r="D11" s="2296"/>
      <c r="E11" s="977">
        <v>8211</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1618973</v>
      </c>
      <c r="F19" s="1799"/>
      <c r="G19" s="1801">
        <f>'Expenditures 15-22'!K33-SUM('Expenditures 15-22'!G33,'Expenditures 15-22'!I33)+'Expenditures 15-22'!D229</f>
        <v>1618973</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112300</v>
      </c>
      <c r="F21" s="1802"/>
      <c r="G21" s="1805">
        <f>'Expenditures 15-22'!K42-SUM('Expenditures 15-22'!G42,'Expenditures 15-22'!I42)+'Expenditures 15-22'!K120-SUM('Expenditures 15-22'!G120,'Expenditures 15-22'!I120)+'Expenditures 15-22'!K180-SUM('Expenditures 15-22'!G180,'Expenditures 15-22'!I180)+'Expenditures 15-22'!D238</f>
        <v>112300</v>
      </c>
      <c r="H21" s="987"/>
      <c r="I21" s="162"/>
    </row>
    <row r="22" spans="1:9" s="668" customFormat="1" ht="12" customHeight="1" x14ac:dyDescent="0.2">
      <c r="A22" s="994" t="s">
        <v>564</v>
      </c>
      <c r="B22" s="995"/>
      <c r="C22" s="993">
        <v>2200</v>
      </c>
      <c r="D22" s="1802"/>
      <c r="E22" s="1804">
        <f>'Expenditures 15-22'!K47-SUM('Expenditures 15-22'!G47,'Expenditures 15-22'!I47)+'Expenditures 15-22'!D243</f>
        <v>150727</v>
      </c>
      <c r="F22" s="1802"/>
      <c r="G22" s="1805">
        <f>'Expenditures 15-22'!K47-SUM('Expenditures 15-22'!G47,'Expenditures 15-22'!I47)+'Expenditures 15-22'!D243</f>
        <v>150727</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300093</v>
      </c>
      <c r="F23" s="1802"/>
      <c r="G23" s="1804">
        <f>'Expenditures 15-22'!K53-SUM('Expenditures 15-22'!G53,'Expenditures 15-22'!I53)+'Expenditures 15-22'!D257+'Expenditures 15-22'!K330-SUM('Expenditures 15-22'!G330,'Expenditures 15-22'!I330)</f>
        <v>300093</v>
      </c>
      <c r="H23" s="987"/>
      <c r="I23" s="162"/>
    </row>
    <row r="24" spans="1:9" s="668" customFormat="1" ht="12" customHeight="1" x14ac:dyDescent="0.2">
      <c r="A24" s="994" t="s">
        <v>566</v>
      </c>
      <c r="B24" s="995"/>
      <c r="C24" s="993">
        <v>2400</v>
      </c>
      <c r="D24" s="1802"/>
      <c r="E24" s="1804">
        <f>'Expenditures 15-22'!K57-SUM('Expenditures 15-22'!G57,'Expenditures 15-22'!I57)+'Expenditures 15-22'!D261</f>
        <v>218267</v>
      </c>
      <c r="F24" s="1802"/>
      <c r="G24" s="1805">
        <f>'Expenditures 15-22'!K57-SUM('Expenditures 15-22'!G57,'Expenditures 15-22'!I57)+'Expenditures 15-22'!D261</f>
        <v>218267</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48351</v>
      </c>
      <c r="E27" s="1804">
        <f>E8</f>
        <v>0</v>
      </c>
      <c r="F27" s="1804">
        <f>'Expenditures 15-22'!K60-SUM('Expenditures 15-22'!G60,'Expenditures 15-22'!I60)+'Expenditures 15-22'!D264-E8</f>
        <v>48351</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387865</v>
      </c>
      <c r="F28" s="1806">
        <f>'Expenditures 15-22'!K61-SUM('Expenditures 15-22'!G61,'Expenditures 15-22'!I61)+'Expenditures 15-22'!K124-SUM('Expenditures 15-22'!G124,'Expenditures 15-22'!I124)+'Expenditures 15-22'!D266-E9</f>
        <v>387865</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140542</v>
      </c>
      <c r="F29" s="1802"/>
      <c r="G29" s="1805">
        <f>'Expenditures 15-22'!K62-SUM('Expenditures 15-22'!G62,'Expenditures 15-22'!I62)+'Expenditures 15-22'!K125-SUM('Expenditures 15-22'!G125,'Expenditures 15-22'!I125)+'Expenditures 15-22'!K182-SUM('Expenditures 15-22'!G182,'Expenditures 15-22'!I182)+'Expenditures 15-22'!D267</f>
        <v>140542</v>
      </c>
      <c r="H29" s="985"/>
    </row>
    <row r="30" spans="1:9" ht="12" customHeight="1" x14ac:dyDescent="0.2">
      <c r="A30" s="994" t="s">
        <v>100</v>
      </c>
      <c r="B30" s="997"/>
      <c r="C30" s="993">
        <v>2560</v>
      </c>
      <c r="D30" s="1802"/>
      <c r="E30" s="1804">
        <f>'Expenditures 15-22'!K63-SUM('Expenditures 15-22'!G63,'Expenditures 15-22'!I63)+'Expenditures 15-22'!D268-E10</f>
        <v>72989</v>
      </c>
      <c r="F30" s="1802"/>
      <c r="G30" s="1804">
        <f>'Expenditures 15-22'!K63-SUM('Expenditures 15-22'!G63,'Expenditures 15-22'!I63)+'Expenditures 15-22'!D268-E10</f>
        <v>72989</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7337</v>
      </c>
      <c r="E37" s="1804">
        <f>E14</f>
        <v>0</v>
      </c>
      <c r="F37" s="1804">
        <f>'Expenditures 15-22'!K71-SUM('Expenditures 15-22'!G71,'Expenditures 15-22'!I71)+'Expenditures 15-22'!D276-E14</f>
        <v>7337</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22</v>
      </c>
      <c r="F38" s="1802"/>
      <c r="G38" s="1804">
        <f>'Expenditures 15-22'!K73-SUM('Expenditures 15-22'!G73,'Expenditures 15-22'!I73)+'Expenditures 15-22'!K128-SUM('Expenditures 15-22'!G128,'Expenditures 15-22'!I128)+'Expenditures 15-22'!K183-SUM('Expenditures 15-22'!G183,'Expenditures 15-22'!I183)+'Expenditures 15-22'!D278</f>
        <v>22</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4975</v>
      </c>
      <c r="F39" s="1802"/>
      <c r="G39" s="1804">
        <f>'Expenditures 15-22'!K75-SUM('Expenditures 15-22'!G75,'Expenditures 15-22'!I75)+'Expenditures 15-22'!K130-SUM('Expenditures 15-22'!G130,'Expenditures 15-22'!I130)+'Expenditures 15-22'!K185-SUM('Expenditures 15-22'!G185,'Expenditures 15-22'!I185)+'Expenditures 15-22'!D280</f>
        <v>4975</v>
      </c>
    </row>
    <row r="40" spans="1:7" ht="12" customHeight="1" x14ac:dyDescent="0.2">
      <c r="A40" s="990" t="s">
        <v>1822</v>
      </c>
      <c r="B40" s="991"/>
      <c r="C40" s="993"/>
      <c r="D40" s="1802"/>
      <c r="E40" s="1806">
        <f>-'Contracts Paid in CY 29'!G142</f>
        <v>0</v>
      </c>
      <c r="F40" s="1802"/>
      <c r="G40" s="1806">
        <f>-'Contracts Paid in CY 29'!G142</f>
        <v>0</v>
      </c>
    </row>
    <row r="41" spans="1:7" ht="12" customHeight="1" x14ac:dyDescent="0.2">
      <c r="A41" s="998" t="s">
        <v>156</v>
      </c>
      <c r="B41" s="999"/>
      <c r="C41" s="1000"/>
      <c r="D41" s="1806">
        <f>SUM(D19:D39)</f>
        <v>55688</v>
      </c>
      <c r="E41" s="1806">
        <f>SUM(E19:E40)</f>
        <v>3006753</v>
      </c>
      <c r="F41" s="1806">
        <f>SUM(F19:F39)</f>
        <v>443553</v>
      </c>
      <c r="G41" s="1806">
        <f>SUM(G19:G40)</f>
        <v>2618888</v>
      </c>
    </row>
    <row r="42" spans="1:7" x14ac:dyDescent="0.2">
      <c r="A42" s="987"/>
      <c r="B42" s="162"/>
      <c r="C42" s="1001"/>
      <c r="D42" s="2292" t="s">
        <v>522</v>
      </c>
      <c r="E42" s="2293"/>
      <c r="F42" s="1002" t="s">
        <v>523</v>
      </c>
      <c r="G42" s="1003"/>
    </row>
    <row r="43" spans="1:7" ht="12" customHeight="1" x14ac:dyDescent="0.2">
      <c r="A43" s="987"/>
      <c r="B43" s="162"/>
      <c r="C43" s="1001"/>
      <c r="D43" s="1807" t="s">
        <v>473</v>
      </c>
      <c r="E43" s="1808">
        <f>D41</f>
        <v>55688</v>
      </c>
      <c r="F43" s="1807" t="s">
        <v>473</v>
      </c>
      <c r="G43" s="1808">
        <f>F41</f>
        <v>443553</v>
      </c>
    </row>
    <row r="44" spans="1:7" ht="12" customHeight="1" x14ac:dyDescent="0.2">
      <c r="A44" s="987"/>
      <c r="B44" s="162"/>
      <c r="C44" s="1001"/>
      <c r="D44" s="1807" t="s">
        <v>474</v>
      </c>
      <c r="E44" s="1808">
        <f>E41</f>
        <v>3006753</v>
      </c>
      <c r="F44" s="1807" t="s">
        <v>474</v>
      </c>
      <c r="G44" s="1808">
        <f>G41</f>
        <v>2618888</v>
      </c>
    </row>
    <row r="45" spans="1:7" ht="12" customHeight="1" x14ac:dyDescent="0.2">
      <c r="A45" s="987"/>
      <c r="B45" s="162"/>
      <c r="C45" s="162"/>
      <c r="D45" s="1809" t="s">
        <v>1006</v>
      </c>
      <c r="E45" s="1810">
        <f>(E43/E44)</f>
        <v>1.8520975949803658E-2</v>
      </c>
      <c r="F45" s="1809" t="s">
        <v>1006</v>
      </c>
      <c r="G45" s="1810">
        <f>(G43/G44)</f>
        <v>0.16936692214405502</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3" tint="0.59999389629810485"/>
  </sheetPr>
  <dimension ref="A1:L97"/>
  <sheetViews>
    <sheetView showGridLines="0" zoomScale="110" zoomScaleNormal="110" workbookViewId="0">
      <pane ySplit="4" topLeftCell="A5" activePane="bottomLeft" state="frozen"/>
      <selection activeCell="A47" sqref="A47"/>
      <selection pane="bottomLeft" activeCell="A37" sqref="A37:F37"/>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11" t="s">
        <v>1379</v>
      </c>
      <c r="B1" s="2311"/>
      <c r="C1" s="2311"/>
      <c r="D1" s="2311"/>
      <c r="E1" s="2311"/>
      <c r="F1" s="2311"/>
    </row>
    <row r="2" spans="1:10" x14ac:dyDescent="0.2">
      <c r="A2" s="1887" t="s">
        <v>1910</v>
      </c>
      <c r="B2" s="1848"/>
      <c r="C2" s="1887"/>
      <c r="D2" s="1848"/>
      <c r="E2" s="1848"/>
      <c r="F2" s="1849"/>
    </row>
    <row r="3" spans="1:10" x14ac:dyDescent="0.2">
      <c r="A3" s="1887" t="s">
        <v>1975</v>
      </c>
      <c r="B3" s="1848"/>
      <c r="C3" s="1887"/>
      <c r="D3" s="1848"/>
      <c r="E3" s="1848"/>
      <c r="F3" s="1849"/>
    </row>
    <row r="4" spans="1:10" ht="3.75" customHeight="1" x14ac:dyDescent="0.2">
      <c r="A4" s="1848"/>
      <c r="B4" s="1848"/>
      <c r="C4" s="1848"/>
      <c r="D4" s="1848"/>
      <c r="E4" s="1848"/>
      <c r="F4" s="1849"/>
    </row>
    <row r="5" spans="1:10" ht="15" x14ac:dyDescent="0.25">
      <c r="A5" s="2312" t="s">
        <v>1546</v>
      </c>
      <c r="B5" s="2313"/>
      <c r="C5" s="2314"/>
      <c r="D5" s="2314"/>
      <c r="E5" s="2314"/>
      <c r="F5" s="2314"/>
    </row>
    <row r="6" spans="1:10" ht="12" customHeight="1" x14ac:dyDescent="0.25">
      <c r="A6" s="1850"/>
      <c r="B6" s="1851"/>
      <c r="C6" s="2315" t="str">
        <f>COVER!A17</f>
        <v>Palestine CUSD 3</v>
      </c>
      <c r="D6" s="2315"/>
      <c r="E6" s="2315"/>
      <c r="F6" s="1852"/>
    </row>
    <row r="7" spans="1:10" ht="11.25" customHeight="1" thickBot="1" x14ac:dyDescent="0.3">
      <c r="A7" s="1850"/>
      <c r="B7" s="1851"/>
      <c r="C7" s="2316">
        <f>COVER!A13</f>
        <v>12017003026</v>
      </c>
      <c r="D7" s="2316"/>
      <c r="E7" s="2316"/>
      <c r="F7" s="1852"/>
    </row>
    <row r="8" spans="1:10" ht="25.5" customHeight="1" thickBot="1" x14ac:dyDescent="0.25">
      <c r="A8" s="1893" t="s">
        <v>1906</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t="s">
        <v>2064</v>
      </c>
      <c r="D25" s="1865" t="s">
        <v>2064</v>
      </c>
      <c r="E25" s="1868"/>
      <c r="F25" s="1867" t="s">
        <v>2085</v>
      </c>
      <c r="H25" s="1878">
        <f t="shared" si="0"/>
        <v>5</v>
      </c>
      <c r="I25" s="1878">
        <f t="shared" si="1"/>
        <v>5</v>
      </c>
      <c r="J25" s="1878">
        <f t="shared" si="2"/>
        <v>0</v>
      </c>
    </row>
    <row r="26" spans="1:12" ht="12" customHeight="1" x14ac:dyDescent="0.2">
      <c r="A26" s="1863" t="s">
        <v>1534</v>
      </c>
      <c r="B26" s="1864"/>
      <c r="C26" s="1865" t="s">
        <v>2064</v>
      </c>
      <c r="D26" s="1865" t="s">
        <v>2064</v>
      </c>
      <c r="E26" s="1868"/>
      <c r="F26" s="1867" t="s">
        <v>2086</v>
      </c>
      <c r="H26" s="1878">
        <f t="shared" si="0"/>
        <v>5</v>
      </c>
      <c r="I26" s="1878">
        <f t="shared" si="1"/>
        <v>5</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t="s">
        <v>2064</v>
      </c>
      <c r="D31" s="1865" t="s">
        <v>2064</v>
      </c>
      <c r="E31" s="1868"/>
      <c r="F31" s="1867" t="s">
        <v>2087</v>
      </c>
      <c r="H31" s="1878">
        <f t="shared" si="0"/>
        <v>5</v>
      </c>
      <c r="I31" s="1878">
        <f t="shared" si="1"/>
        <v>5</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15</v>
      </c>
      <c r="I34" s="1878">
        <f>SUM(I11:I32)</f>
        <v>15</v>
      </c>
      <c r="J34" s="1878">
        <f>SUM(J11:J32)</f>
        <v>0</v>
      </c>
      <c r="K34" s="1878">
        <f>SUM(H34:J34)</f>
        <v>30</v>
      </c>
    </row>
    <row r="35" spans="1:11" ht="12" customHeight="1" x14ac:dyDescent="0.2">
      <c r="A35" s="1871" t="s">
        <v>1392</v>
      </c>
      <c r="B35" s="1872"/>
      <c r="C35" s="2317"/>
      <c r="D35" s="2317"/>
      <c r="E35" s="2317"/>
      <c r="F35" s="2318"/>
    </row>
    <row r="36" spans="1:11" ht="12" customHeight="1" x14ac:dyDescent="0.2">
      <c r="A36" s="2300"/>
      <c r="B36" s="2301"/>
      <c r="C36" s="2301"/>
      <c r="D36" s="2301"/>
      <c r="E36" s="2301"/>
      <c r="F36" s="2302"/>
    </row>
    <row r="37" spans="1:11" ht="12" customHeight="1" x14ac:dyDescent="0.2">
      <c r="A37" s="2300"/>
      <c r="B37" s="2301"/>
      <c r="C37" s="2301"/>
      <c r="D37" s="2301"/>
      <c r="E37" s="2301"/>
      <c r="F37" s="2302"/>
    </row>
    <row r="38" spans="1:11" ht="12" customHeight="1" x14ac:dyDescent="0.2">
      <c r="A38" s="2303"/>
      <c r="B38" s="2304"/>
      <c r="C38" s="2304"/>
      <c r="D38" s="2304"/>
      <c r="E38" s="2304"/>
      <c r="F38" s="2305"/>
    </row>
    <row r="39" spans="1:11" ht="4.5" hidden="1" customHeight="1" x14ac:dyDescent="0.2">
      <c r="A39" s="1873"/>
      <c r="B39" s="1873"/>
      <c r="C39" s="1873"/>
      <c r="D39" s="1873"/>
      <c r="E39" s="1873"/>
      <c r="F39" s="1873"/>
    </row>
    <row r="40" spans="1:11" s="1870" customFormat="1" ht="12" customHeight="1" x14ac:dyDescent="0.25">
      <c r="A40" s="1874" t="s">
        <v>1391</v>
      </c>
      <c r="B40" s="1875"/>
      <c r="C40" s="2306"/>
      <c r="D40" s="2306"/>
      <c r="E40" s="2306"/>
      <c r="F40" s="2307"/>
      <c r="H40" s="1879"/>
      <c r="I40" s="1879"/>
      <c r="J40" s="1879"/>
      <c r="K40" s="1879"/>
    </row>
    <row r="41" spans="1:11" s="1870" customFormat="1" ht="12" customHeight="1" x14ac:dyDescent="0.25">
      <c r="A41" s="2308"/>
      <c r="B41" s="2309"/>
      <c r="C41" s="2309"/>
      <c r="D41" s="2309"/>
      <c r="E41" s="2309"/>
      <c r="F41" s="2310"/>
      <c r="H41" s="1879"/>
      <c r="I41" s="1879"/>
      <c r="J41" s="1879"/>
      <c r="K41" s="1879"/>
    </row>
    <row r="42" spans="1:11" s="1870" customFormat="1" ht="12" customHeight="1" x14ac:dyDescent="0.25">
      <c r="A42" s="2308"/>
      <c r="B42" s="2309"/>
      <c r="C42" s="2309"/>
      <c r="D42" s="2309"/>
      <c r="E42" s="2309"/>
      <c r="F42" s="2310"/>
      <c r="H42" s="1879"/>
      <c r="I42" s="1879"/>
      <c r="J42" s="1879"/>
      <c r="K42" s="1879"/>
    </row>
    <row r="43" spans="1:11" s="1870" customFormat="1" ht="15" x14ac:dyDescent="0.25">
      <c r="A43" s="2297"/>
      <c r="B43" s="2298"/>
      <c r="C43" s="2298"/>
      <c r="D43" s="2298"/>
      <c r="E43" s="2298"/>
      <c r="F43" s="2299"/>
      <c r="H43" s="1879"/>
      <c r="I43" s="1879"/>
      <c r="J43" s="1879"/>
      <c r="K43" s="1879"/>
    </row>
    <row r="44" spans="1:11" s="1870" customFormat="1" ht="12" hidden="1" customHeight="1" x14ac:dyDescent="0.25">
      <c r="A44" s="2297"/>
      <c r="B44" s="2298"/>
      <c r="C44" s="2298"/>
      <c r="D44" s="2298"/>
      <c r="E44" s="2298"/>
      <c r="F44" s="2299"/>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3" tint="0.59999389629810485"/>
  </sheetPr>
  <dimension ref="A1:Q40"/>
  <sheetViews>
    <sheetView showGridLines="0" defaultGridColor="0" colorId="8" zoomScale="110" zoomScaleNormal="110" workbookViewId="0">
      <selection activeCell="H14" sqref="H14"/>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24" t="str">
        <f>COVER!A17</f>
        <v>Palestine CUSD 3</v>
      </c>
      <c r="J6" s="2325"/>
      <c r="Q6" s="1664"/>
    </row>
    <row r="7" spans="1:17" x14ac:dyDescent="0.2">
      <c r="A7" s="2326" t="s">
        <v>869</v>
      </c>
      <c r="B7" s="2327"/>
      <c r="C7" s="2327"/>
      <c r="D7" s="2327"/>
      <c r="E7" s="2328"/>
      <c r="F7" s="1017"/>
      <c r="G7" s="1009"/>
      <c r="H7" s="1016" t="s">
        <v>372</v>
      </c>
      <c r="I7" s="2329">
        <f>COVER!A13</f>
        <v>12017003026</v>
      </c>
      <c r="J7" s="2329"/>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1976</v>
      </c>
      <c r="F9" s="1023"/>
      <c r="G9" s="1023"/>
      <c r="H9" s="1896" t="s">
        <v>1977</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30" t="s">
        <v>481</v>
      </c>
      <c r="B11" s="2331"/>
      <c r="C11" s="2332"/>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79108</v>
      </c>
      <c r="F12" s="1039"/>
      <c r="G12" s="1811">
        <f t="shared" ref="G12:G18" si="0">SUM(E12:F12)</f>
        <v>79108</v>
      </c>
      <c r="H12" s="1040">
        <v>71620</v>
      </c>
      <c r="I12" s="1039"/>
      <c r="J12" s="1811">
        <f t="shared" ref="J12:J18" si="1">SUM(H12:I12)</f>
        <v>71620</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33" t="s">
        <v>7</v>
      </c>
      <c r="C18" s="2334"/>
      <c r="D18" s="2335"/>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79108</v>
      </c>
      <c r="F19" s="1813">
        <f t="shared" si="2"/>
        <v>0</v>
      </c>
      <c r="G19" s="1813">
        <f t="shared" si="2"/>
        <v>79108</v>
      </c>
      <c r="H19" s="1813">
        <f t="shared" si="2"/>
        <v>71620</v>
      </c>
      <c r="I19" s="1813">
        <f t="shared" si="2"/>
        <v>0</v>
      </c>
      <c r="J19" s="1813">
        <f t="shared" si="2"/>
        <v>71620</v>
      </c>
    </row>
    <row r="20" spans="1:10" ht="13.5" thickTop="1" x14ac:dyDescent="0.2">
      <c r="A20" s="1035">
        <v>9</v>
      </c>
      <c r="B20" s="2336" t="s">
        <v>1978</v>
      </c>
      <c r="C20" s="2336"/>
      <c r="D20" s="2337"/>
      <c r="E20" s="1046"/>
      <c r="F20" s="1046"/>
      <c r="G20" s="1046"/>
      <c r="H20" s="1046"/>
      <c r="I20" s="1046"/>
      <c r="J20" s="1814">
        <f>IF(AND(G19&gt;0,J19&gt;0),(((J19-G19)/G19)),"Enter Budget Data")</f>
        <v>-9.4655407796935834E-2</v>
      </c>
    </row>
    <row r="21" spans="1:10" ht="9" customHeight="1" x14ac:dyDescent="0.2">
      <c r="B21" s="1047"/>
    </row>
    <row r="22" spans="1:10" x14ac:dyDescent="0.2">
      <c r="A22" s="1048" t="s">
        <v>133</v>
      </c>
      <c r="B22" s="1047"/>
    </row>
    <row r="23" spans="1:10" x14ac:dyDescent="0.2">
      <c r="A23" s="1011" t="s">
        <v>1979</v>
      </c>
      <c r="B23" s="1047"/>
    </row>
    <row r="24" spans="1:10" x14ac:dyDescent="0.2">
      <c r="A24" s="1011" t="s">
        <v>1992</v>
      </c>
      <c r="B24" s="1047"/>
    </row>
    <row r="25" spans="1:10" x14ac:dyDescent="0.2">
      <c r="A25" s="1049"/>
      <c r="B25" s="1047"/>
    </row>
    <row r="26" spans="1:10" ht="20.100000000000001" customHeight="1" x14ac:dyDescent="0.2">
      <c r="B26" s="1047"/>
      <c r="C26" s="2342"/>
      <c r="D26" s="2342"/>
      <c r="E26" s="1050"/>
      <c r="F26" s="2341"/>
      <c r="G26" s="2341"/>
    </row>
    <row r="27" spans="1:10" x14ac:dyDescent="0.2">
      <c r="B27" s="1047"/>
      <c r="C27" s="1051" t="s">
        <v>1033</v>
      </c>
      <c r="D27" s="1052"/>
      <c r="E27" s="1053"/>
      <c r="F27" s="2338" t="s">
        <v>1509</v>
      </c>
      <c r="G27" s="2338"/>
    </row>
    <row r="28" spans="1:10" ht="28.5" customHeight="1" x14ac:dyDescent="0.2">
      <c r="B28" s="1047"/>
      <c r="C28" s="2340"/>
      <c r="D28" s="2340"/>
      <c r="E28" s="1054"/>
      <c r="F28" s="2340"/>
      <c r="G28" s="2340"/>
    </row>
    <row r="29" spans="1:10" x14ac:dyDescent="0.2">
      <c r="B29" s="1047"/>
      <c r="C29" s="1055" t="s">
        <v>1561</v>
      </c>
      <c r="E29" s="1056"/>
      <c r="F29" s="2339" t="s">
        <v>1510</v>
      </c>
      <c r="G29" s="2339"/>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21" t="s">
        <v>132</v>
      </c>
      <c r="D33" s="2322"/>
      <c r="E33" s="2322"/>
      <c r="F33" s="2322"/>
      <c r="G33" s="2322"/>
      <c r="H33" s="2322"/>
      <c r="I33" s="2322"/>
    </row>
    <row r="34" spans="1:10" ht="10.35" customHeight="1" x14ac:dyDescent="0.2">
      <c r="C34" s="2322"/>
      <c r="D34" s="2322"/>
      <c r="E34" s="2322"/>
      <c r="F34" s="2322"/>
      <c r="G34" s="2322"/>
      <c r="H34" s="2322"/>
      <c r="I34" s="2322"/>
    </row>
    <row r="35" spans="1:10" ht="7.5" customHeight="1" x14ac:dyDescent="0.2">
      <c r="C35" s="1062"/>
    </row>
    <row r="36" spans="1:10" ht="13.5" customHeight="1" x14ac:dyDescent="0.2">
      <c r="B36" s="1061"/>
      <c r="C36" s="2323" t="s">
        <v>1980</v>
      </c>
      <c r="D36" s="2322"/>
      <c r="E36" s="2322"/>
      <c r="F36" s="2322"/>
      <c r="G36" s="2322"/>
      <c r="H36" s="2322"/>
      <c r="I36" s="2322"/>
      <c r="J36" s="1063"/>
    </row>
    <row r="37" spans="1:10" ht="22.5" customHeight="1" x14ac:dyDescent="0.2">
      <c r="C37" s="2322"/>
      <c r="D37" s="2322"/>
      <c r="E37" s="2322"/>
      <c r="F37" s="2322"/>
      <c r="G37" s="2322"/>
      <c r="H37" s="2322"/>
      <c r="I37" s="2322"/>
      <c r="J37" s="1063"/>
    </row>
    <row r="38" spans="1:10" ht="7.5" customHeight="1" x14ac:dyDescent="0.2">
      <c r="C38" s="1062"/>
      <c r="D38" s="1064"/>
      <c r="E38" s="1065"/>
      <c r="F38" s="1066"/>
      <c r="G38" s="1065"/>
    </row>
    <row r="39" spans="1:10" ht="13.5" customHeight="1" x14ac:dyDescent="0.2">
      <c r="B39" s="1061"/>
      <c r="C39" s="2319" t="s">
        <v>882</v>
      </c>
      <c r="D39" s="2320"/>
      <c r="E39" s="2320"/>
      <c r="F39" s="2320"/>
      <c r="G39" s="2320"/>
      <c r="H39" s="2320"/>
      <c r="I39" s="2320"/>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3" tint="0.59999389629810485"/>
  </sheetPr>
  <dimension ref="A2:B65"/>
  <sheetViews>
    <sheetView showGridLines="0" zoomScale="110" zoomScaleNormal="110" workbookViewId="0">
      <selection activeCell="B14" sqref="B14"/>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2088</v>
      </c>
    </row>
    <row r="6" spans="1:2" x14ac:dyDescent="0.2">
      <c r="A6" s="1068">
        <v>2</v>
      </c>
      <c r="B6" s="329" t="s">
        <v>2089</v>
      </c>
    </row>
    <row r="7" spans="1:2" x14ac:dyDescent="0.2">
      <c r="A7" s="1068">
        <v>3</v>
      </c>
      <c r="B7" s="329" t="s">
        <v>2090</v>
      </c>
    </row>
    <row r="8" spans="1:2" x14ac:dyDescent="0.2">
      <c r="A8" s="1068">
        <v>4</v>
      </c>
      <c r="B8" s="329" t="s">
        <v>2091</v>
      </c>
    </row>
    <row r="9" spans="1:2" x14ac:dyDescent="0.2">
      <c r="A9" s="1069">
        <v>5</v>
      </c>
      <c r="B9" s="329" t="s">
        <v>2092</v>
      </c>
    </row>
    <row r="10" spans="1:2" x14ac:dyDescent="0.2">
      <c r="A10" s="1069">
        <v>6</v>
      </c>
      <c r="B10" s="329" t="s">
        <v>2093</v>
      </c>
    </row>
    <row r="11" spans="1:2" x14ac:dyDescent="0.2">
      <c r="A11" s="1069">
        <v>7</v>
      </c>
      <c r="B11" s="329" t="s">
        <v>2094</v>
      </c>
    </row>
    <row r="12" spans="1:2" x14ac:dyDescent="0.2">
      <c r="A12" s="1069">
        <v>8</v>
      </c>
      <c r="B12" s="329" t="s">
        <v>2095</v>
      </c>
    </row>
    <row r="13" spans="1:2" x14ac:dyDescent="0.2">
      <c r="A13" s="1069">
        <v>9</v>
      </c>
      <c r="B13" s="329" t="s">
        <v>2123</v>
      </c>
    </row>
    <row r="14" spans="1:2" x14ac:dyDescent="0.2">
      <c r="A14" s="1069">
        <v>10</v>
      </c>
      <c r="B14" s="329" t="s">
        <v>2124</v>
      </c>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Palestine CUSD 3</v>
      </c>
    </row>
    <row r="65" spans="2:2" x14ac:dyDescent="0.2">
      <c r="B65" s="1070">
        <f>COVER!A13</f>
        <v>12017003026</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I84"/>
  <sheetViews>
    <sheetView showGridLines="0" zoomScale="110" zoomScaleNormal="110" workbookViewId="0">
      <selection activeCell="B90" sqref="B90"/>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1857</v>
      </c>
      <c r="C4" s="162" t="s">
        <v>1169</v>
      </c>
      <c r="D4" s="169" t="s">
        <v>10</v>
      </c>
      <c r="E4" s="170" t="s">
        <v>22</v>
      </c>
    </row>
    <row r="5" spans="1:5" x14ac:dyDescent="0.2">
      <c r="A5" s="168" t="s">
        <v>1859</v>
      </c>
      <c r="C5" s="162" t="s">
        <v>1169</v>
      </c>
      <c r="D5" s="169" t="s">
        <v>10</v>
      </c>
      <c r="E5" s="170" t="s">
        <v>22</v>
      </c>
    </row>
    <row r="6" spans="1:5" x14ac:dyDescent="0.2">
      <c r="A6" s="168" t="s">
        <v>1858</v>
      </c>
      <c r="C6" s="162" t="s">
        <v>1169</v>
      </c>
      <c r="D6" s="167" t="s">
        <v>11</v>
      </c>
      <c r="E6" s="170" t="s">
        <v>941</v>
      </c>
    </row>
    <row r="7" spans="1:5" x14ac:dyDescent="0.2">
      <c r="A7" s="168" t="s">
        <v>1860</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1861</v>
      </c>
      <c r="C11" s="162" t="s">
        <v>1169</v>
      </c>
      <c r="D11" s="169" t="s">
        <v>14</v>
      </c>
      <c r="E11" s="170" t="s">
        <v>1156</v>
      </c>
    </row>
    <row r="12" spans="1:5" x14ac:dyDescent="0.2">
      <c r="B12" s="169" t="s">
        <v>1862</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1863</v>
      </c>
      <c r="C15" s="162" t="s">
        <v>1169</v>
      </c>
      <c r="D15" s="169" t="s">
        <v>17</v>
      </c>
      <c r="E15" s="170" t="s">
        <v>636</v>
      </c>
    </row>
    <row r="16" spans="1:5" x14ac:dyDescent="0.2">
      <c r="A16" s="172"/>
      <c r="B16" s="162" t="s">
        <v>1864</v>
      </c>
      <c r="C16" s="162" t="s">
        <v>1169</v>
      </c>
      <c r="D16" s="169" t="s">
        <v>681</v>
      </c>
      <c r="E16" s="170" t="s">
        <v>1040</v>
      </c>
    </row>
    <row r="17" spans="1:5" x14ac:dyDescent="0.2">
      <c r="B17" s="167" t="s">
        <v>988</v>
      </c>
      <c r="C17" s="162" t="s">
        <v>1169</v>
      </c>
    </row>
    <row r="18" spans="1:5" x14ac:dyDescent="0.2">
      <c r="B18" s="167" t="s">
        <v>1870</v>
      </c>
      <c r="D18" s="169" t="s">
        <v>18</v>
      </c>
      <c r="E18" s="170" t="s">
        <v>1041</v>
      </c>
    </row>
    <row r="19" spans="1:5" x14ac:dyDescent="0.2">
      <c r="A19" s="168" t="s">
        <v>1099</v>
      </c>
      <c r="C19" s="162" t="s">
        <v>1169</v>
      </c>
      <c r="D19" s="169"/>
      <c r="E19" s="171"/>
    </row>
    <row r="20" spans="1:5" x14ac:dyDescent="0.2">
      <c r="B20" s="167" t="s">
        <v>1865</v>
      </c>
      <c r="C20" s="162" t="s">
        <v>1169</v>
      </c>
      <c r="D20" s="169" t="s">
        <v>19</v>
      </c>
      <c r="E20" s="170" t="s">
        <v>51</v>
      </c>
    </row>
    <row r="21" spans="1:5" x14ac:dyDescent="0.2">
      <c r="B21" s="167" t="s">
        <v>1866</v>
      </c>
      <c r="C21" s="162" t="s">
        <v>1169</v>
      </c>
      <c r="D21" s="169" t="s">
        <v>20</v>
      </c>
      <c r="E21" s="170" t="s">
        <v>1610</v>
      </c>
    </row>
    <row r="22" spans="1:5" x14ac:dyDescent="0.2">
      <c r="A22" s="168"/>
      <c r="B22" s="162" t="s">
        <v>1854</v>
      </c>
      <c r="C22" s="162" t="s">
        <v>1169</v>
      </c>
      <c r="D22" s="167" t="s">
        <v>1856</v>
      </c>
      <c r="E22" s="1836" t="s">
        <v>1611</v>
      </c>
    </row>
    <row r="23" spans="1:5" x14ac:dyDescent="0.2">
      <c r="A23" s="168"/>
      <c r="B23" s="162" t="s">
        <v>1855</v>
      </c>
      <c r="D23" s="167" t="s">
        <v>637</v>
      </c>
      <c r="E23" s="1836" t="s">
        <v>959</v>
      </c>
    </row>
    <row r="24" spans="1:5" x14ac:dyDescent="0.2">
      <c r="A24" s="168" t="s">
        <v>1609</v>
      </c>
      <c r="C24" s="162" t="s">
        <v>1169</v>
      </c>
      <c r="D24" s="167" t="s">
        <v>1393</v>
      </c>
      <c r="E24" s="170" t="s">
        <v>960</v>
      </c>
    </row>
    <row r="25" spans="1:5" x14ac:dyDescent="0.2">
      <c r="A25" s="168" t="s">
        <v>1867</v>
      </c>
      <c r="C25" s="162" t="s">
        <v>1169</v>
      </c>
      <c r="D25" s="169" t="s">
        <v>21</v>
      </c>
      <c r="E25" s="170" t="s">
        <v>1042</v>
      </c>
    </row>
    <row r="26" spans="1:5" x14ac:dyDescent="0.2">
      <c r="A26" s="168" t="s">
        <v>1868</v>
      </c>
      <c r="C26" s="162" t="s">
        <v>1169</v>
      </c>
      <c r="D26" s="169" t="s">
        <v>563</v>
      </c>
      <c r="E26" s="170" t="s">
        <v>1043</v>
      </c>
    </row>
    <row r="27" spans="1:5" x14ac:dyDescent="0.2">
      <c r="A27" s="168" t="s">
        <v>1869</v>
      </c>
      <c r="C27" s="162" t="s">
        <v>1169</v>
      </c>
      <c r="D27" s="169" t="s">
        <v>557</v>
      </c>
      <c r="E27" s="170" t="s">
        <v>683</v>
      </c>
    </row>
    <row r="28" spans="1:5" x14ac:dyDescent="0.2">
      <c r="A28" s="168" t="s">
        <v>1871</v>
      </c>
      <c r="D28" s="169" t="s">
        <v>684</v>
      </c>
      <c r="E28" s="170" t="s">
        <v>1366</v>
      </c>
    </row>
    <row r="29" spans="1:5" x14ac:dyDescent="0.2">
      <c r="A29" s="168" t="s">
        <v>1872</v>
      </c>
      <c r="D29" s="169" t="s">
        <v>1394</v>
      </c>
      <c r="E29" s="170" t="s">
        <v>1375</v>
      </c>
    </row>
    <row r="30" spans="1:5" x14ac:dyDescent="0.2">
      <c r="A30" s="173" t="s">
        <v>1873</v>
      </c>
      <c r="C30" s="162" t="s">
        <v>1169</v>
      </c>
      <c r="D30" s="169" t="s">
        <v>40</v>
      </c>
      <c r="E30" s="170" t="s">
        <v>982</v>
      </c>
    </row>
    <row r="31" spans="1:5" x14ac:dyDescent="0.2">
      <c r="A31" s="168" t="s">
        <v>1521</v>
      </c>
      <c r="C31" s="162" t="s">
        <v>1169</v>
      </c>
      <c r="D31" s="167"/>
      <c r="E31" s="171"/>
    </row>
    <row r="32" spans="1:5" x14ac:dyDescent="0.2">
      <c r="B32" s="167" t="s">
        <v>1874</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60" t="s">
        <v>1065</v>
      </c>
      <c r="B35" s="2060"/>
      <c r="C35" s="2060"/>
      <c r="D35" s="2060"/>
      <c r="E35" s="206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7" t="s">
        <v>691</v>
      </c>
      <c r="B40" s="2057"/>
      <c r="C40" s="2057"/>
      <c r="D40" s="2057"/>
      <c r="E40" s="2057"/>
    </row>
    <row r="41" spans="1:5" x14ac:dyDescent="0.2">
      <c r="A41" s="2058" t="s">
        <v>1608</v>
      </c>
      <c r="B41" s="2058"/>
      <c r="C41" s="2058"/>
      <c r="D41" s="2058"/>
      <c r="E41" s="2058"/>
    </row>
    <row r="42" spans="1:5" ht="12.75" customHeight="1" x14ac:dyDescent="0.2">
      <c r="A42" s="2059" t="s">
        <v>1022</v>
      </c>
      <c r="B42" s="2059"/>
      <c r="C42" s="2059"/>
      <c r="D42" s="2059"/>
      <c r="E42" s="2059"/>
    </row>
    <row r="43" spans="1:5" ht="6.75" customHeight="1" x14ac:dyDescent="0.2">
      <c r="A43" s="167"/>
      <c r="B43" s="176"/>
    </row>
    <row r="44" spans="1:5" x14ac:dyDescent="0.2">
      <c r="A44" s="185" t="s">
        <v>983</v>
      </c>
      <c r="B44" s="186" t="s">
        <v>1900</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1770</v>
      </c>
    </row>
    <row r="52" spans="1:3" x14ac:dyDescent="0.2">
      <c r="A52" s="190"/>
      <c r="B52" s="188" t="s">
        <v>1790</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1771</v>
      </c>
    </row>
    <row r="57" spans="1:3" x14ac:dyDescent="0.2">
      <c r="A57" s="193"/>
      <c r="B57" s="190" t="s">
        <v>1773</v>
      </c>
    </row>
    <row r="58" spans="1:3" x14ac:dyDescent="0.2">
      <c r="A58" s="194"/>
      <c r="B58" s="190" t="s">
        <v>1774</v>
      </c>
    </row>
    <row r="59" spans="1:3" x14ac:dyDescent="0.2">
      <c r="A59" s="195"/>
      <c r="B59" s="1485" t="s">
        <v>1775</v>
      </c>
    </row>
    <row r="60" spans="1:3" x14ac:dyDescent="0.2">
      <c r="A60" s="196"/>
      <c r="B60" s="1485" t="s">
        <v>1776</v>
      </c>
    </row>
    <row r="61" spans="1:3" ht="6" customHeight="1" x14ac:dyDescent="0.2">
      <c r="A61" s="197"/>
      <c r="B61" s="189"/>
    </row>
    <row r="62" spans="1:3" x14ac:dyDescent="0.2">
      <c r="A62" s="169" t="s">
        <v>1616</v>
      </c>
      <c r="B62" s="198" t="s">
        <v>1772</v>
      </c>
    </row>
    <row r="63" spans="1:3" x14ac:dyDescent="0.2">
      <c r="A63" s="188"/>
      <c r="B63" s="169" t="s">
        <v>1787</v>
      </c>
    </row>
    <row r="64" spans="1:3" x14ac:dyDescent="0.2">
      <c r="A64" s="195"/>
      <c r="B64" s="1487" t="s">
        <v>1777</v>
      </c>
    </row>
    <row r="65" spans="1:9" x14ac:dyDescent="0.2">
      <c r="A65" s="188"/>
      <c r="B65" s="169" t="s">
        <v>1788</v>
      </c>
    </row>
    <row r="66" spans="1:9" x14ac:dyDescent="0.2">
      <c r="A66" s="190"/>
      <c r="B66" s="190" t="s">
        <v>1778</v>
      </c>
    </row>
    <row r="67" spans="1:9" ht="12" customHeight="1" x14ac:dyDescent="0.2">
      <c r="A67" s="188"/>
      <c r="B67" s="169" t="s">
        <v>1789</v>
      </c>
    </row>
    <row r="68" spans="1:9" x14ac:dyDescent="0.2">
      <c r="A68" s="189"/>
      <c r="B68" s="190" t="s">
        <v>1779</v>
      </c>
    </row>
    <row r="69" spans="1:9" x14ac:dyDescent="0.2">
      <c r="A69" s="190"/>
      <c r="B69" s="188" t="s">
        <v>1780</v>
      </c>
    </row>
    <row r="70" spans="1:9" ht="13.5" customHeight="1" x14ac:dyDescent="0.2">
      <c r="A70" s="190"/>
      <c r="B70" s="188" t="s">
        <v>1781</v>
      </c>
    </row>
    <row r="71" spans="1:9" ht="12" customHeight="1" x14ac:dyDescent="0.2">
      <c r="A71" s="192"/>
      <c r="B71" s="1486" t="s">
        <v>1619</v>
      </c>
    </row>
    <row r="72" spans="1:9" ht="9" customHeight="1" x14ac:dyDescent="0.2">
      <c r="A72" s="192"/>
      <c r="B72" s="199"/>
    </row>
    <row r="73" spans="1:9" x14ac:dyDescent="0.2">
      <c r="A73" s="189" t="s">
        <v>1620</v>
      </c>
      <c r="B73" s="169" t="s">
        <v>1783</v>
      </c>
    </row>
    <row r="74" spans="1:9" x14ac:dyDescent="0.2">
      <c r="A74" s="189"/>
      <c r="B74" s="169" t="s">
        <v>1782</v>
      </c>
    </row>
    <row r="75" spans="1:9" ht="8.25" customHeight="1" x14ac:dyDescent="0.2">
      <c r="A75" s="189"/>
      <c r="B75" s="189"/>
    </row>
    <row r="76" spans="1:9" ht="12.2" customHeight="1" x14ac:dyDescent="0.2">
      <c r="A76" s="189" t="s">
        <v>1621</v>
      </c>
      <c r="B76" s="198" t="s">
        <v>1784</v>
      </c>
    </row>
    <row r="77" spans="1:9" ht="12.2" customHeight="1" x14ac:dyDescent="0.2">
      <c r="A77" s="190"/>
      <c r="B77" s="169" t="s">
        <v>1622</v>
      </c>
      <c r="C77" s="179"/>
      <c r="D77" s="180"/>
      <c r="E77" s="181"/>
      <c r="F77" s="181"/>
      <c r="G77" s="181"/>
      <c r="H77" s="181"/>
      <c r="I77" s="181"/>
    </row>
    <row r="78" spans="1:9" ht="11.25" customHeight="1" x14ac:dyDescent="0.2">
      <c r="A78" s="190"/>
      <c r="B78" s="190" t="s">
        <v>1786</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59999389629810485"/>
  </sheetPr>
  <dimension ref="A1:D19"/>
  <sheetViews>
    <sheetView showGridLines="0" defaultGridColor="0" colorId="8" zoomScale="110" zoomScaleNormal="110" workbookViewId="0">
      <selection activeCell="K33" sqref="K3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theme="3" tint="0.59999389629810485"/>
  </sheetPr>
  <dimension ref="A11:F18"/>
  <sheetViews>
    <sheetView showGridLines="0" zoomScale="110" zoomScaleNormal="110" workbookViewId="0">
      <selection activeCell="B11" sqref="B11"/>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43" t="s">
        <v>1685</v>
      </c>
      <c r="B18" s="2343"/>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Document.2015" dvAspect="DVASPECT_ICON" shapeId="36865" r:id="rId4">
          <objectPr defaultSize="0" r:id="rId5">
            <anchor moveWithCells="1">
              <from>
                <xdr:col>1</xdr:col>
                <xdr:colOff>0</xdr:colOff>
                <xdr:row>3</xdr:row>
                <xdr:rowOff>0</xdr:rowOff>
              </from>
              <to>
                <xdr:col>1</xdr:col>
                <xdr:colOff>914400</xdr:colOff>
                <xdr:row>7</xdr:row>
                <xdr:rowOff>38100</xdr:rowOff>
              </to>
            </anchor>
          </objectPr>
        </oleObject>
      </mc:Choice>
      <mc:Fallback>
        <oleObject progId="Acrobat.Document.2015" dvAspect="DVASPECT_ICON" shapeId="36865" r:id="rId4"/>
      </mc:Fallback>
    </mc:AlternateContent>
    <mc:AlternateContent xmlns:mc="http://schemas.openxmlformats.org/markup-compatibility/2006">
      <mc:Choice Requires="x14">
        <oleObject progId="Acrobat.Document.2015" dvAspect="DVASPECT_ICON" shapeId="36866" r:id="rId6">
          <objectPr defaultSize="0" r:id="rId7">
            <anchor moveWithCells="1">
              <from>
                <xdr:col>1</xdr:col>
                <xdr:colOff>1047750</xdr:colOff>
                <xdr:row>2</xdr:row>
                <xdr:rowOff>152400</xdr:rowOff>
              </from>
              <to>
                <xdr:col>1</xdr:col>
                <xdr:colOff>1962150</xdr:colOff>
                <xdr:row>7</xdr:row>
                <xdr:rowOff>28575</xdr:rowOff>
              </to>
            </anchor>
          </objectPr>
        </oleObject>
      </mc:Choice>
      <mc:Fallback>
        <oleObject progId="Acrobat.Document.2015" dvAspect="DVASPECT_ICON" shapeId="36866" r:id="rId6"/>
      </mc:Fallback>
    </mc:AlternateContent>
    <mc:AlternateContent xmlns:mc="http://schemas.openxmlformats.org/markup-compatibility/2006">
      <mc:Choice Requires="x14">
        <oleObject progId="Acrobat.Document.2015" dvAspect="DVASPECT_ICON" shapeId="36867" r:id="rId8">
          <objectPr defaultSize="0" r:id="rId9">
            <anchor moveWithCells="1">
              <from>
                <xdr:col>1</xdr:col>
                <xdr:colOff>2105025</xdr:colOff>
                <xdr:row>2</xdr:row>
                <xdr:rowOff>152400</xdr:rowOff>
              </from>
              <to>
                <xdr:col>1</xdr:col>
                <xdr:colOff>3019425</xdr:colOff>
                <xdr:row>7</xdr:row>
                <xdr:rowOff>28575</xdr:rowOff>
              </to>
            </anchor>
          </objectPr>
        </oleObject>
      </mc:Choice>
      <mc:Fallback>
        <oleObject progId="Acrobat.Document.2015" dvAspect="DVASPECT_ICON" shapeId="36867" r:id="rId8"/>
      </mc:Fallback>
    </mc:AlternateContent>
    <mc:AlternateContent xmlns:mc="http://schemas.openxmlformats.org/markup-compatibility/2006">
      <mc:Choice Requires="x14">
        <oleObject progId="Acrobat.Document.2015" dvAspect="DVASPECT_ICON" shapeId="36868" r:id="rId10">
          <objectPr defaultSize="0" r:id="rId11">
            <anchor moveWithCells="1">
              <from>
                <xdr:col>1</xdr:col>
                <xdr:colOff>3171825</xdr:colOff>
                <xdr:row>2</xdr:row>
                <xdr:rowOff>152400</xdr:rowOff>
              </from>
              <to>
                <xdr:col>2</xdr:col>
                <xdr:colOff>104775</xdr:colOff>
                <xdr:row>7</xdr:row>
                <xdr:rowOff>28575</xdr:rowOff>
              </to>
            </anchor>
          </objectPr>
        </oleObject>
      </mc:Choice>
      <mc:Fallback>
        <oleObject progId="Acrobat.Document.2015" dvAspect="DVASPECT_ICON" shapeId="36868"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3" tint="0.59999389629810485"/>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4" t="s">
        <v>1690</v>
      </c>
      <c r="B1" s="2345"/>
      <c r="C1" s="2345"/>
      <c r="D1" s="2345"/>
      <c r="E1" s="2345"/>
      <c r="F1" s="2346"/>
    </row>
    <row r="2" spans="1:8" ht="45" customHeight="1" x14ac:dyDescent="0.2">
      <c r="A2" s="2354" t="s">
        <v>1984</v>
      </c>
      <c r="B2" s="2355"/>
      <c r="C2" s="2355"/>
      <c r="D2" s="2355"/>
      <c r="E2" s="2355"/>
      <c r="F2" s="2356"/>
      <c r="G2" s="1074"/>
      <c r="H2" s="1074"/>
    </row>
    <row r="3" spans="1:8" ht="57" customHeight="1" x14ac:dyDescent="0.2">
      <c r="A3" s="2357" t="s">
        <v>1686</v>
      </c>
      <c r="B3" s="2358"/>
      <c r="C3" s="2358"/>
      <c r="D3" s="2358"/>
      <c r="E3" s="2358"/>
      <c r="F3" s="2359"/>
      <c r="G3" s="1074"/>
      <c r="H3" s="1074"/>
    </row>
    <row r="4" spans="1:8" ht="14.25" customHeight="1" x14ac:dyDescent="0.2">
      <c r="A4" s="2363" t="s">
        <v>1985</v>
      </c>
      <c r="B4" s="2364"/>
      <c r="C4" s="2364"/>
      <c r="D4" s="2364"/>
      <c r="E4" s="2364"/>
      <c r="F4" s="2365"/>
      <c r="G4" s="1074"/>
      <c r="H4" s="1074"/>
    </row>
    <row r="5" spans="1:8" ht="14.25" customHeight="1" x14ac:dyDescent="0.2">
      <c r="A5" s="2366" t="s">
        <v>1981</v>
      </c>
      <c r="B5" s="2367"/>
      <c r="C5" s="2367"/>
      <c r="D5" s="2367"/>
      <c r="E5" s="2367"/>
      <c r="F5" s="2368"/>
      <c r="G5" s="1074"/>
      <c r="H5" s="1074"/>
    </row>
    <row r="6" spans="1:8" s="1075" customFormat="1" ht="41.25" customHeight="1" x14ac:dyDescent="0.2">
      <c r="A6" s="2360" t="s">
        <v>1691</v>
      </c>
      <c r="B6" s="2361"/>
      <c r="C6" s="2361"/>
      <c r="D6" s="2361"/>
      <c r="E6" s="2361"/>
      <c r="F6" s="2362"/>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2648102</v>
      </c>
      <c r="C8" s="1815">
        <f>'Acct Summary 7-8'!D8</f>
        <v>173274</v>
      </c>
      <c r="D8" s="1815">
        <f>'Acct Summary 7-8'!F8</f>
        <v>142412</v>
      </c>
      <c r="E8" s="1815">
        <f>'Acct Summary 7-8'!I8</f>
        <v>17399</v>
      </c>
      <c r="F8" s="1815">
        <f>SUM(B8:E8)</f>
        <v>2981187</v>
      </c>
    </row>
    <row r="9" spans="1:8" s="1079" customFormat="1" ht="14.25" customHeight="1" thickBot="1" x14ac:dyDescent="0.25">
      <c r="A9" s="1078" t="s">
        <v>1369</v>
      </c>
      <c r="B9" s="1816">
        <f>'Acct Summary 7-8'!C17</f>
        <v>2659599</v>
      </c>
      <c r="C9" s="1816">
        <f>'Acct Summary 7-8'!D17</f>
        <v>264052</v>
      </c>
      <c r="D9" s="1816">
        <f>'Acct Summary 7-8'!F17</f>
        <v>249225</v>
      </c>
      <c r="E9" s="1815"/>
      <c r="F9" s="1815">
        <f>SUM(B9:E9)</f>
        <v>3172876</v>
      </c>
    </row>
    <row r="10" spans="1:8" s="1079" customFormat="1" ht="14.25" thickTop="1" thickBot="1" x14ac:dyDescent="0.25">
      <c r="A10" s="1080" t="s">
        <v>1370</v>
      </c>
      <c r="B10" s="1817">
        <f>(B8-B9)</f>
        <v>-11497</v>
      </c>
      <c r="C10" s="1817">
        <f>(C8-C9)</f>
        <v>-90778</v>
      </c>
      <c r="D10" s="1817">
        <f>(D8-D9)</f>
        <v>-106813</v>
      </c>
      <c r="E10" s="1816">
        <f>(E8-E9)</f>
        <v>17399</v>
      </c>
      <c r="F10" s="1818">
        <f>SUM(F8-F9)</f>
        <v>-191689</v>
      </c>
    </row>
    <row r="11" spans="1:8" s="1079" customFormat="1" ht="14.25" thickTop="1" thickBot="1" x14ac:dyDescent="0.25">
      <c r="A11" s="1081" t="s">
        <v>1982</v>
      </c>
      <c r="B11" s="1819">
        <f>'Acct Summary 7-8'!C81</f>
        <v>490691</v>
      </c>
      <c r="C11" s="1819">
        <f>'Acct Summary 7-8'!D81</f>
        <v>177810</v>
      </c>
      <c r="D11" s="1819">
        <f>'Acct Summary 7-8'!F81</f>
        <v>37208</v>
      </c>
      <c r="E11" s="1819">
        <f>'Acct Summary 7-8'!I81</f>
        <v>103085</v>
      </c>
      <c r="F11" s="1820">
        <f>SUM(B11:E11)</f>
        <v>808794</v>
      </c>
    </row>
    <row r="12" spans="1:8" ht="16.5" customHeight="1" thickTop="1" x14ac:dyDescent="0.2">
      <c r="A12" s="1082"/>
      <c r="B12" s="1083"/>
      <c r="C12" s="2348" t="str">
        <f>IF(AND(F10&lt;0,F11&gt;=0,ABS(F10*3)&gt;ABS(F11)),A16,IF(AND(F10&lt;0,F11&gt;0,ABS(F10*3)&lt;=ABS(F11)),A17,IF(AND(F10&lt;0,F11&lt;0),A16,IF(F11=0,A19,A18))))</f>
        <v>Unbalanced -  however, a deficit reduction plan is not required at this time.</v>
      </c>
      <c r="D12" s="2349"/>
      <c r="E12" s="2349"/>
      <c r="F12" s="2350"/>
    </row>
    <row r="13" spans="1:8" ht="19.5" customHeight="1" x14ac:dyDescent="0.2">
      <c r="A13" s="1084"/>
      <c r="B13" s="1085"/>
      <c r="C13" s="2348"/>
      <c r="D13" s="2349"/>
      <c r="E13" s="2349"/>
      <c r="F13" s="2350"/>
      <c r="H13" s="1074"/>
    </row>
    <row r="14" spans="1:8" ht="19.5" customHeight="1" x14ac:dyDescent="0.2">
      <c r="A14" s="1084"/>
      <c r="B14" s="1085"/>
      <c r="C14" s="2348"/>
      <c r="D14" s="2349"/>
      <c r="E14" s="2349"/>
      <c r="F14" s="2350"/>
      <c r="H14" s="1074"/>
    </row>
    <row r="15" spans="1:8" ht="17.25" customHeight="1" x14ac:dyDescent="0.2">
      <c r="A15" s="1084"/>
      <c r="B15" s="1085"/>
      <c r="C15" s="2351"/>
      <c r="D15" s="2352"/>
      <c r="E15" s="2352"/>
      <c r="F15" s="2353"/>
      <c r="H15" s="1074"/>
    </row>
    <row r="16" spans="1:8" s="310" customFormat="1" ht="51.75" hidden="1" customHeight="1" x14ac:dyDescent="0.2">
      <c r="A16" s="2347" t="s">
        <v>1687</v>
      </c>
      <c r="B16" s="2347"/>
      <c r="C16" s="2347"/>
      <c r="D16" s="2347"/>
      <c r="E16" s="2347"/>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35" colorId="8" zoomScale="110" zoomScaleNormal="110" workbookViewId="0">
      <selection activeCell="C36" sqref="C36"/>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9" t="s">
        <v>665</v>
      </c>
      <c r="B3" s="2370"/>
      <c r="C3" s="2370"/>
      <c r="D3" s="2371"/>
    </row>
    <row r="4" spans="1:4" x14ac:dyDescent="0.2">
      <c r="A4" s="1152" t="s">
        <v>1692</v>
      </c>
      <c r="B4" s="1153"/>
      <c r="C4" s="1154"/>
      <c r="D4" s="1155"/>
    </row>
    <row r="5" spans="1:4" ht="21" customHeight="1" x14ac:dyDescent="0.2">
      <c r="A5" s="1148"/>
      <c r="B5" s="1149">
        <v>1</v>
      </c>
      <c r="C5" s="1150" t="s">
        <v>1834</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80" t="s">
        <v>1504</v>
      </c>
      <c r="D7" s="2381"/>
    </row>
    <row r="8" spans="1:4" s="668" customFormat="1" ht="12.75" x14ac:dyDescent="0.2">
      <c r="A8" s="1138"/>
      <c r="B8" s="1093"/>
      <c r="C8" s="1096" t="s">
        <v>1503</v>
      </c>
      <c r="D8" s="1097"/>
    </row>
    <row r="9" spans="1:4" s="668" customFormat="1" ht="14.25" customHeight="1" x14ac:dyDescent="0.2">
      <c r="A9" s="1138"/>
      <c r="B9" s="1093">
        <f>B7+1</f>
        <v>4</v>
      </c>
      <c r="C9" s="1094" t="s">
        <v>1911</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72" t="s">
        <v>1008</v>
      </c>
      <c r="B15" s="2373"/>
      <c r="C15" s="2373"/>
      <c r="D15" s="2374"/>
    </row>
    <row r="16" spans="1:4" s="668" customFormat="1" ht="24" customHeight="1" x14ac:dyDescent="0.2">
      <c r="A16" s="2375" t="s">
        <v>663</v>
      </c>
      <c r="B16" s="2376"/>
      <c r="C16" s="2376"/>
      <c r="D16" s="2377"/>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84" t="s">
        <v>314</v>
      </c>
      <c r="D21" s="2385"/>
    </row>
    <row r="22" spans="1:10" ht="12.75" x14ac:dyDescent="0.2">
      <c r="A22" s="1139"/>
      <c r="B22" s="1140">
        <v>2</v>
      </c>
      <c r="C22" s="2382" t="s">
        <v>1524</v>
      </c>
      <c r="D22" s="2383"/>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PLEASE CHECK YES or NO.</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6" t="s">
        <v>536</v>
      </c>
      <c r="D43" s="2387"/>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8" t="s">
        <v>784</v>
      </c>
      <c r="D56" s="2379"/>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1912</v>
      </c>
      <c r="D66" s="1125"/>
    </row>
    <row r="67" spans="1:4" x14ac:dyDescent="0.2">
      <c r="A67" s="1119"/>
      <c r="B67" s="1140"/>
      <c r="C67" s="1147" t="s">
        <v>1021</v>
      </c>
      <c r="D67" s="1125"/>
    </row>
    <row r="68" spans="1:4" x14ac:dyDescent="0.2">
      <c r="A68" s="1100"/>
      <c r="B68" s="1110"/>
      <c r="C68" s="1102" t="s">
        <v>1913</v>
      </c>
      <c r="D68" s="1124" t="str">
        <f>IF('Short-Term Long-Term Debt 24'!F49=SUM(,'Acct Summary 7-8'!C33:K33),"OK","ERROR!")</f>
        <v>OK</v>
      </c>
    </row>
    <row r="69" spans="1:4" x14ac:dyDescent="0.2">
      <c r="A69" s="1100"/>
      <c r="B69" s="1110"/>
      <c r="C69" s="1102" t="s">
        <v>1914</v>
      </c>
      <c r="D69" s="1124" t="str">
        <f>IF('Expenditures 15-22'!H170&lt;&gt;'Short-Term Long-Term Debt 24'!H49,"ERROR!","OK")</f>
        <v>OK</v>
      </c>
    </row>
    <row r="70" spans="1:4" x14ac:dyDescent="0.2">
      <c r="A70" s="1098"/>
      <c r="B70" s="1120">
        <f>B66+1</f>
        <v>9</v>
      </c>
      <c r="C70" s="2378" t="s">
        <v>1696</v>
      </c>
      <c r="D70" s="2379"/>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1915</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1916</v>
      </c>
      <c r="D78" s="1124" t="str">
        <f>IF(ISNUMBER('Acct Summary 7-8'!C9),"OK","ENTRY IS REQUIRED!")</f>
        <v>OK</v>
      </c>
    </row>
    <row r="79" spans="1:4" x14ac:dyDescent="0.2">
      <c r="A79" s="1119"/>
      <c r="B79" s="1120">
        <f>B74+1+1</f>
        <v>12</v>
      </c>
      <c r="C79" s="1130" t="s">
        <v>1901</v>
      </c>
      <c r="D79" s="1131" t="str">
        <f>IF(OR(COVER!$B$6="X",'PCTC-OEPP 27-28'!F78&gt;0),"OK","PLEASE ENTER 9 MO ADA.")</f>
        <v>OK</v>
      </c>
    </row>
    <row r="80" spans="1:4" x14ac:dyDescent="0.2">
      <c r="A80" s="1098"/>
      <c r="B80" s="1120">
        <v>13</v>
      </c>
      <c r="C80" s="1130" t="s">
        <v>1917</v>
      </c>
      <c r="D80" s="1131" t="str">
        <f>IF('Contracts Paid in CY 29'!D142&gt;0,"OK","PLEASE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12017003026</v>
      </c>
    </row>
    <row r="3" spans="1:2" x14ac:dyDescent="0.2">
      <c r="A3" t="s">
        <v>956</v>
      </c>
      <c r="B3" s="138" t="str">
        <f>COVER!A15</f>
        <v>Crawford</v>
      </c>
    </row>
    <row r="4" spans="1:2" x14ac:dyDescent="0.2">
      <c r="A4" t="s">
        <v>1007</v>
      </c>
      <c r="B4" s="138" t="str">
        <f>COVER!A17</f>
        <v>Palestine CUSD 3</v>
      </c>
    </row>
    <row r="5" spans="1:2" x14ac:dyDescent="0.2">
      <c r="A5" t="s">
        <v>704</v>
      </c>
      <c r="B5" s="138" t="str">
        <f>COVER!A38</f>
        <v>Jo Campbell</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Yes</v>
      </c>
    </row>
    <row r="15" spans="1:2" x14ac:dyDescent="0.2">
      <c r="A15" t="s">
        <v>577</v>
      </c>
      <c r="B15" s="138" t="str">
        <f>COVER!T23</f>
        <v>066-003998</v>
      </c>
    </row>
    <row r="16" spans="1:2" x14ac:dyDescent="0.2">
      <c r="A16" t="s">
        <v>422</v>
      </c>
      <c r="B16" s="138" t="str">
        <f>COVER!T13</f>
        <v>Kemper CPA Group, LLP</v>
      </c>
    </row>
    <row r="17" spans="1:2" x14ac:dyDescent="0.2">
      <c r="A17" t="s">
        <v>884</v>
      </c>
      <c r="B17" s="138" t="str">
        <f>COVER!T15</f>
        <v>Jodi Truitt</v>
      </c>
    </row>
    <row r="18" spans="1:2" x14ac:dyDescent="0.2">
      <c r="A18" t="s">
        <v>1150</v>
      </c>
      <c r="B18" s="138" t="str">
        <f>COVER!T17</f>
        <v>P.O. Box 694</v>
      </c>
    </row>
    <row r="19" spans="1:2" x14ac:dyDescent="0.2">
      <c r="A19" t="s">
        <v>886</v>
      </c>
      <c r="B19" s="138" t="str">
        <f>COVER!T25</f>
        <v>jtruitt@kempercpa.com</v>
      </c>
    </row>
    <row r="20" spans="1:2" x14ac:dyDescent="0.2">
      <c r="A20" t="s">
        <v>887</v>
      </c>
      <c r="B20" s="138" t="str">
        <f>COVER!T19</f>
        <v>Robinson</v>
      </c>
    </row>
    <row r="21" spans="1:2" x14ac:dyDescent="0.2">
      <c r="A21" t="s">
        <v>479</v>
      </c>
      <c r="B21" s="138" t="str">
        <f>COVER!X19</f>
        <v>IL</v>
      </c>
    </row>
    <row r="22" spans="1:2" x14ac:dyDescent="0.2">
      <c r="A22" t="s">
        <v>888</v>
      </c>
      <c r="B22" s="138">
        <f>COVER!Z19</f>
        <v>62454</v>
      </c>
    </row>
    <row r="23" spans="1:2" x14ac:dyDescent="0.2">
      <c r="A23" t="s">
        <v>1152</v>
      </c>
      <c r="B23" s="138" t="str">
        <f>COVER!T21</f>
        <v>618-546-1502</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490691</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490691</v>
      </c>
      <c r="D92" s="2" t="str">
        <f t="shared" si="0"/>
        <v>Error?</v>
      </c>
    </row>
    <row r="93" spans="1:4" x14ac:dyDescent="0.2">
      <c r="A93" s="5">
        <v>32</v>
      </c>
      <c r="B93" s="138">
        <f>'Assets-Liab 5-6'!C41</f>
        <v>490691</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177810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177810</v>
      </c>
      <c r="D123" s="2" t="str">
        <f t="shared" si="0"/>
        <v>Error?</v>
      </c>
    </row>
    <row r="124" spans="1:4" x14ac:dyDescent="0.2">
      <c r="A124" s="5">
        <v>63</v>
      </c>
      <c r="B124" s="138">
        <f>'Assets-Liab 5-6'!D41</f>
        <v>177810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18822</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18822</v>
      </c>
      <c r="D140" s="2" t="str">
        <f t="shared" si="1"/>
        <v>Error?</v>
      </c>
    </row>
    <row r="141" spans="1:4" x14ac:dyDescent="0.2">
      <c r="A141" s="5">
        <v>80</v>
      </c>
      <c r="B141" s="138">
        <f>'Assets-Liab 5-6'!E41</f>
        <v>18822</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37208</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37208</v>
      </c>
      <c r="D170" s="2" t="str">
        <f t="shared" si="1"/>
        <v>Error?</v>
      </c>
    </row>
    <row r="171" spans="1:4" x14ac:dyDescent="0.2">
      <c r="A171" s="5">
        <v>110</v>
      </c>
      <c r="B171" s="138">
        <f>'Assets-Liab 5-6'!F41</f>
        <v>37208</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512989</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358720</v>
      </c>
      <c r="D189" s="2" t="str">
        <f t="shared" si="1"/>
        <v>Error?</v>
      </c>
    </row>
    <row r="190" spans="1:4" x14ac:dyDescent="0.2">
      <c r="A190" s="5">
        <v>129</v>
      </c>
      <c r="B190" s="138">
        <f>'Assets-Liab 5-6'!G41</f>
        <v>512989</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20000</v>
      </c>
      <c r="D273" s="2" t="str">
        <f t="shared" si="3"/>
        <v>Error?</v>
      </c>
    </row>
    <row r="274" spans="1:4" x14ac:dyDescent="0.2">
      <c r="A274" s="5">
        <v>213</v>
      </c>
      <c r="B274" s="138">
        <f>'Assets-Liab 5-6'!M17</f>
        <v>9435394</v>
      </c>
      <c r="D274" s="2" t="str">
        <f t="shared" si="3"/>
        <v>Error?</v>
      </c>
    </row>
    <row r="275" spans="1:4" x14ac:dyDescent="0.2">
      <c r="A275" s="5">
        <v>214</v>
      </c>
      <c r="B275" s="138">
        <f>'Assets-Liab 5-6'!M18</f>
        <v>0</v>
      </c>
      <c r="D275" s="2" t="str">
        <f t="shared" si="3"/>
        <v>Error?</v>
      </c>
    </row>
    <row r="276" spans="1:4" x14ac:dyDescent="0.2">
      <c r="A276" s="5">
        <v>215</v>
      </c>
      <c r="B276" s="138">
        <f>'Assets-Liab 5-6'!M19</f>
        <v>825339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10280733</v>
      </c>
      <c r="C279" s="2" t="s">
        <v>573</v>
      </c>
      <c r="D279" s="2" t="str">
        <f t="shared" si="3"/>
        <v>Error?</v>
      </c>
    </row>
    <row r="280" spans="1:4" x14ac:dyDescent="0.2">
      <c r="A280" s="5">
        <v>219</v>
      </c>
      <c r="B280" s="138">
        <f>'Assets-Liab 5-6'!M40</f>
        <v>10280733</v>
      </c>
      <c r="D280" s="2" t="str">
        <f t="shared" si="3"/>
        <v>Error?</v>
      </c>
    </row>
    <row r="281" spans="1:4" x14ac:dyDescent="0.2">
      <c r="A281" s="5">
        <v>220</v>
      </c>
      <c r="B281" s="138">
        <f>'Assets-Liab 5-6'!M41</f>
        <v>10280733</v>
      </c>
      <c r="C281" s="2" t="s">
        <v>573</v>
      </c>
      <c r="D281" s="2" t="str">
        <f t="shared" si="3"/>
        <v>Error?</v>
      </c>
    </row>
    <row r="282" spans="1:4" x14ac:dyDescent="0.2">
      <c r="A282" s="5">
        <v>221</v>
      </c>
      <c r="B282" s="138">
        <f>'Assets-Liab 5-6'!N21</f>
        <v>18822</v>
      </c>
      <c r="D282" s="2" t="str">
        <f t="shared" si="3"/>
        <v>Error?</v>
      </c>
    </row>
    <row r="283" spans="1:4" x14ac:dyDescent="0.2">
      <c r="A283" s="5">
        <v>222</v>
      </c>
      <c r="B283" s="138">
        <f>'Assets-Liab 5-6'!N22</f>
        <v>1039651</v>
      </c>
      <c r="D283" s="2" t="str">
        <f t="shared" si="3"/>
        <v>Error?</v>
      </c>
    </row>
    <row r="284" spans="1:4" x14ac:dyDescent="0.2">
      <c r="A284" s="5">
        <v>223</v>
      </c>
      <c r="B284" s="138">
        <f>'Assets-Liab 5-6'!N23</f>
        <v>1058473</v>
      </c>
      <c r="C284" s="2" t="s">
        <v>573</v>
      </c>
      <c r="D284" s="2" t="str">
        <f t="shared" si="3"/>
        <v>Error?</v>
      </c>
    </row>
    <row r="285" spans="1:4" x14ac:dyDescent="0.2">
      <c r="A285" s="5">
        <v>224</v>
      </c>
      <c r="B285" s="138">
        <f>'Assets-Liab 5-6'!N36</f>
        <v>1058473</v>
      </c>
      <c r="D285" s="2" t="str">
        <f t="shared" si="3"/>
        <v>Error?</v>
      </c>
    </row>
    <row r="286" spans="1:4" x14ac:dyDescent="0.2">
      <c r="A286" s="10">
        <v>225</v>
      </c>
      <c r="D286" s="2" t="str">
        <f t="shared" si="3"/>
        <v>OK</v>
      </c>
    </row>
    <row r="287" spans="1:4" x14ac:dyDescent="0.2">
      <c r="A287" s="5">
        <v>226</v>
      </c>
      <c r="B287" s="138">
        <f>'Assets-Liab 5-6'!N37</f>
        <v>1058473</v>
      </c>
      <c r="C287" s="2" t="s">
        <v>573</v>
      </c>
      <c r="D287" s="2" t="str">
        <f t="shared" si="3"/>
        <v>Error?</v>
      </c>
    </row>
    <row r="288" spans="1:4" x14ac:dyDescent="0.2">
      <c r="A288" s="5">
        <v>227</v>
      </c>
      <c r="B288" s="138">
        <f>'Assets-Liab 5-6'!N41</f>
        <v>1058473</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887699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92884</v>
      </c>
      <c r="D717" s="2" t="str">
        <f t="shared" si="10"/>
        <v>Error?</v>
      </c>
    </row>
    <row r="718" spans="1:4" x14ac:dyDescent="0.2">
      <c r="A718" s="5">
        <v>657</v>
      </c>
      <c r="B718" s="138">
        <f>'Expenditures 15-22'!C14</f>
        <v>31863</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1329967</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39379</v>
      </c>
      <c r="D722" s="2" t="str">
        <f t="shared" si="10"/>
        <v>Error?</v>
      </c>
    </row>
    <row r="723" spans="1:4" x14ac:dyDescent="0.2">
      <c r="A723" s="5">
        <v>662</v>
      </c>
      <c r="B723" s="138">
        <f>'Expenditures 15-22'!C38</f>
        <v>6060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36091</v>
      </c>
      <c r="D725" s="2" t="str">
        <f t="shared" si="10"/>
        <v>Error?</v>
      </c>
    </row>
    <row r="726" spans="1:4" x14ac:dyDescent="0.2">
      <c r="A726" s="5">
        <v>665</v>
      </c>
      <c r="B726" s="138">
        <f>'Expenditures 15-22'!C41</f>
        <v>0</v>
      </c>
      <c r="D726" s="2" t="str">
        <f t="shared" si="10"/>
        <v>Error?</v>
      </c>
    </row>
    <row r="727" spans="1:4" x14ac:dyDescent="0.2">
      <c r="A727" s="5">
        <v>666</v>
      </c>
      <c r="B727" s="138">
        <f>'Expenditures 15-22'!C42</f>
        <v>81530</v>
      </c>
      <c r="C727" s="2" t="s">
        <v>573</v>
      </c>
      <c r="D727" s="2" t="str">
        <f t="shared" si="10"/>
        <v>Error?</v>
      </c>
    </row>
    <row r="728" spans="1:4" x14ac:dyDescent="0.2">
      <c r="A728" s="5">
        <v>667</v>
      </c>
      <c r="B728" s="138">
        <f>'Expenditures 15-22'!C44</f>
        <v>3800</v>
      </c>
      <c r="D728" s="2" t="str">
        <f t="shared" si="10"/>
        <v>Error?</v>
      </c>
    </row>
    <row r="729" spans="1:4" x14ac:dyDescent="0.2">
      <c r="A729" s="5">
        <v>668</v>
      </c>
      <c r="B729" s="138">
        <f>'Expenditures 15-22'!C45</f>
        <v>32546</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36346</v>
      </c>
      <c r="C731" s="2" t="s">
        <v>573</v>
      </c>
      <c r="D731" s="2" t="str">
        <f t="shared" si="10"/>
        <v>Error?</v>
      </c>
    </row>
    <row r="732" spans="1:4" x14ac:dyDescent="0.2">
      <c r="A732" s="5">
        <v>671</v>
      </c>
      <c r="B732" s="138">
        <f>'Expenditures 15-22'!C49</f>
        <v>2955</v>
      </c>
      <c r="D732" s="2" t="str">
        <f t="shared" si="10"/>
        <v>Error?</v>
      </c>
    </row>
    <row r="733" spans="1:4" x14ac:dyDescent="0.2">
      <c r="A733" s="5">
        <v>672</v>
      </c>
      <c r="B733" s="138">
        <f>'Expenditures 15-22'!C50</f>
        <v>60824</v>
      </c>
      <c r="D733" s="2" t="str">
        <f t="shared" si="10"/>
        <v>Error?</v>
      </c>
    </row>
    <row r="734" spans="1:4" x14ac:dyDescent="0.2">
      <c r="A734" s="5">
        <v>673</v>
      </c>
      <c r="B734" s="138">
        <f>'Expenditures 15-22'!C53</f>
        <v>63779</v>
      </c>
      <c r="C734" s="2" t="s">
        <v>573</v>
      </c>
      <c r="D734" s="2" t="str">
        <f t="shared" si="10"/>
        <v>Error?</v>
      </c>
    </row>
    <row r="735" spans="1:4" x14ac:dyDescent="0.2">
      <c r="A735" s="5">
        <v>674</v>
      </c>
      <c r="B735" s="138">
        <f>'Expenditures 15-22'!C55</f>
        <v>182573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182573</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40764</v>
      </c>
      <c r="D739" s="2" t="str">
        <f t="shared" si="10"/>
        <v>Error?</v>
      </c>
    </row>
    <row r="740" spans="1:4" x14ac:dyDescent="0.2">
      <c r="A740" s="5">
        <v>679</v>
      </c>
      <c r="B740" s="138">
        <f>'Expenditures 15-22'!C61</f>
        <v>115746</v>
      </c>
      <c r="D740" s="2" t="str">
        <f t="shared" si="10"/>
        <v>Error?</v>
      </c>
    </row>
    <row r="741" spans="1:4" x14ac:dyDescent="0.2">
      <c r="A741" s="5">
        <v>680</v>
      </c>
      <c r="B741" s="138">
        <f>'Expenditures 15-22'!C62</f>
        <v>0</v>
      </c>
      <c r="D741" s="2" t="str">
        <f t="shared" si="10"/>
        <v>Error?</v>
      </c>
    </row>
    <row r="742" spans="1:4" x14ac:dyDescent="0.2">
      <c r="A742" s="5">
        <v>681</v>
      </c>
      <c r="B742" s="138">
        <f>'Expenditures 15-22'!C63</f>
        <v>55246</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211756</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688</v>
      </c>
      <c r="D751" s="2" t="str">
        <f t="shared" si="10"/>
        <v>Error?</v>
      </c>
    </row>
    <row r="752" spans="1:4" x14ac:dyDescent="0.2">
      <c r="A752" s="10">
        <v>691</v>
      </c>
      <c r="D752" s="2" t="str">
        <f t="shared" si="10"/>
        <v>OK</v>
      </c>
    </row>
    <row r="753" spans="1:4" x14ac:dyDescent="0.2">
      <c r="A753" s="5">
        <v>692</v>
      </c>
      <c r="B753" s="138">
        <f>'Expenditures 15-22'!C72</f>
        <v>688</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576672</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1906639</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100630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1524</v>
      </c>
      <c r="D775" s="2" t="str">
        <f t="shared" si="11"/>
        <v>Error?</v>
      </c>
    </row>
    <row r="776" spans="1:4" x14ac:dyDescent="0.2">
      <c r="A776" s="5">
        <v>715</v>
      </c>
      <c r="B776" s="138">
        <f>'Expenditures 15-22'!D14</f>
        <v>266</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129230</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6113</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6062</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12175</v>
      </c>
      <c r="C785" s="2" t="s">
        <v>573</v>
      </c>
      <c r="D785" s="2" t="str">
        <f t="shared" si="11"/>
        <v>Error?</v>
      </c>
    </row>
    <row r="786" spans="1:4" x14ac:dyDescent="0.2">
      <c r="A786" s="5">
        <v>725</v>
      </c>
      <c r="B786" s="138">
        <f>'Expenditures 15-22'!D44</f>
        <v>15</v>
      </c>
      <c r="D786" s="2" t="str">
        <f t="shared" si="11"/>
        <v>Error?</v>
      </c>
    </row>
    <row r="787" spans="1:4" x14ac:dyDescent="0.2">
      <c r="A787" s="5">
        <v>726</v>
      </c>
      <c r="B787" s="138">
        <f>'Expenditures 15-22'!D45</f>
        <v>490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505</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5520</v>
      </c>
      <c r="D791" s="2" t="str">
        <f t="shared" si="11"/>
        <v>Error?</v>
      </c>
    </row>
    <row r="792" spans="1:4" x14ac:dyDescent="0.2">
      <c r="A792" s="5">
        <v>731</v>
      </c>
      <c r="B792" s="138">
        <f>'Expenditures 15-22'!D53</f>
        <v>5520</v>
      </c>
      <c r="C792" s="2" t="s">
        <v>573</v>
      </c>
      <c r="D792" s="2" t="str">
        <f t="shared" si="11"/>
        <v>Error?</v>
      </c>
    </row>
    <row r="793" spans="1:4" x14ac:dyDescent="0.2">
      <c r="A793" s="5">
        <v>732</v>
      </c>
      <c r="B793" s="138">
        <f>'Expenditures 15-22'!D55</f>
        <v>8372</v>
      </c>
      <c r="D793" s="2" t="str">
        <f t="shared" si="11"/>
        <v>Error?</v>
      </c>
    </row>
    <row r="794" spans="1:4" x14ac:dyDescent="0.2">
      <c r="A794" s="5">
        <v>733</v>
      </c>
      <c r="B794" s="138">
        <f>'Expenditures 15-22'!D56</f>
        <v>0</v>
      </c>
      <c r="D794" s="2" t="str">
        <f t="shared" si="11"/>
        <v>Error?</v>
      </c>
    </row>
    <row r="795" spans="1:4" x14ac:dyDescent="0.2">
      <c r="A795" s="5">
        <v>734</v>
      </c>
      <c r="B795" s="138">
        <f>'Expenditures 15-22'!D57</f>
        <v>8372</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14260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8930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23190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10</v>
      </c>
      <c r="D809" s="2" t="str">
        <f t="shared" si="11"/>
        <v>Error?</v>
      </c>
    </row>
    <row r="810" spans="1:4" x14ac:dyDescent="0.2">
      <c r="A810" s="10">
        <v>749</v>
      </c>
      <c r="D810" s="2" t="str">
        <f t="shared" si="11"/>
        <v>OK</v>
      </c>
    </row>
    <row r="811" spans="1:4" x14ac:dyDescent="0.2">
      <c r="A811" s="5">
        <v>750</v>
      </c>
      <c r="B811" s="138">
        <f>'Expenditures 15-22'!D72</f>
        <v>10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49772</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179002</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1492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140</v>
      </c>
      <c r="D833" s="2" t="str">
        <f t="shared" si="12"/>
        <v>Error?</v>
      </c>
    </row>
    <row r="834" spans="1:4" x14ac:dyDescent="0.2">
      <c r="A834" s="5">
        <v>773</v>
      </c>
      <c r="B834" s="138">
        <f>'Expenditures 15-22'!E14</f>
        <v>7881</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15174</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530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530</v>
      </c>
      <c r="C843" s="2" t="s">
        <v>573</v>
      </c>
      <c r="D843" s="2" t="str">
        <f t="shared" si="12"/>
        <v>Error?</v>
      </c>
    </row>
    <row r="844" spans="1:4" x14ac:dyDescent="0.2">
      <c r="A844" s="5">
        <v>783</v>
      </c>
      <c r="B844" s="138">
        <f>'Expenditures 15-22'!E44</f>
        <v>15214</v>
      </c>
      <c r="D844" s="2" t="str">
        <f t="shared" si="12"/>
        <v>Error?</v>
      </c>
    </row>
    <row r="845" spans="1:4" x14ac:dyDescent="0.2">
      <c r="A845" s="5">
        <v>784</v>
      </c>
      <c r="B845" s="138">
        <f>'Expenditures 15-22'!E45</f>
        <v>19592</v>
      </c>
      <c r="D845" s="2" t="str">
        <f t="shared" si="12"/>
        <v>Error?</v>
      </c>
    </row>
    <row r="846" spans="1:4" x14ac:dyDescent="0.2">
      <c r="A846" s="5">
        <v>785</v>
      </c>
      <c r="B846" s="138">
        <f>'Expenditures 15-22'!E46</f>
        <v>0</v>
      </c>
      <c r="D846" s="2" t="str">
        <f t="shared" si="12"/>
        <v>Error?</v>
      </c>
    </row>
    <row r="847" spans="1:4" x14ac:dyDescent="0.2">
      <c r="A847" s="5">
        <v>786</v>
      </c>
      <c r="B847" s="138">
        <f>'Expenditures 15-22'!E47</f>
        <v>34806</v>
      </c>
      <c r="C847" s="2" t="s">
        <v>573</v>
      </c>
      <c r="D847" s="2" t="str">
        <f t="shared" si="12"/>
        <v>Error?</v>
      </c>
    </row>
    <row r="848" spans="1:4" x14ac:dyDescent="0.2">
      <c r="A848" s="5">
        <v>787</v>
      </c>
      <c r="B848" s="138">
        <f>'Expenditures 15-22'!E49</f>
        <v>11270</v>
      </c>
      <c r="D848" s="2" t="str">
        <f t="shared" si="12"/>
        <v>Error?</v>
      </c>
    </row>
    <row r="849" spans="1:4" x14ac:dyDescent="0.2">
      <c r="A849" s="5">
        <v>788</v>
      </c>
      <c r="B849" s="138">
        <f>'Expenditures 15-22'!E50</f>
        <v>10030</v>
      </c>
      <c r="D849" s="2" t="str">
        <f t="shared" si="12"/>
        <v>Error?</v>
      </c>
    </row>
    <row r="850" spans="1:4" x14ac:dyDescent="0.2">
      <c r="A850" s="5">
        <v>789</v>
      </c>
      <c r="B850" s="138">
        <f>'Expenditures 15-22'!E53</f>
        <v>21300</v>
      </c>
      <c r="C850" s="2" t="s">
        <v>573</v>
      </c>
      <c r="D850" s="2" t="str">
        <f t="shared" si="12"/>
        <v>Error?</v>
      </c>
    </row>
    <row r="851" spans="1:4" x14ac:dyDescent="0.2">
      <c r="A851" s="5">
        <v>790</v>
      </c>
      <c r="B851" s="138">
        <f>'Expenditures 15-22'!E55</f>
        <v>1325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1325</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18564</v>
      </c>
      <c r="D856" s="2" t="str">
        <f t="shared" si="12"/>
        <v>Error?</v>
      </c>
    </row>
    <row r="857" spans="1:4" x14ac:dyDescent="0.2">
      <c r="A857" s="5">
        <v>796</v>
      </c>
      <c r="B857" s="138">
        <f>'Expenditures 15-22'!E62</f>
        <v>0</v>
      </c>
      <c r="D857" s="2" t="str">
        <f t="shared" si="12"/>
        <v>Error?</v>
      </c>
    </row>
    <row r="858" spans="1:4" x14ac:dyDescent="0.2">
      <c r="A858" s="5">
        <v>797</v>
      </c>
      <c r="B858" s="138">
        <f>'Expenditures 15-22'!E63</f>
        <v>6226</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24790</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6630</v>
      </c>
      <c r="D867" s="2" t="str">
        <f t="shared" si="12"/>
        <v>Error?</v>
      </c>
    </row>
    <row r="868" spans="1:4" x14ac:dyDescent="0.2">
      <c r="A868" s="10">
        <v>807</v>
      </c>
      <c r="D868" s="2" t="str">
        <f t="shared" si="12"/>
        <v>OK</v>
      </c>
    </row>
    <row r="869" spans="1:4" x14ac:dyDescent="0.2">
      <c r="A869" s="5">
        <v>808</v>
      </c>
      <c r="B869" s="138">
        <f>'Expenditures 15-22'!E72</f>
        <v>6630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89381</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104555</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5583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7345</v>
      </c>
      <c r="D891" s="2" t="str">
        <f t="shared" si="12"/>
        <v>Error?</v>
      </c>
    </row>
    <row r="892" spans="1:4" x14ac:dyDescent="0.2">
      <c r="A892" s="5">
        <v>831</v>
      </c>
      <c r="B892" s="138">
        <f>'Expenditures 15-22'!F14</f>
        <v>8016</v>
      </c>
      <c r="D892" s="2" t="str">
        <f t="shared" si="12"/>
        <v>Error?</v>
      </c>
    </row>
    <row r="893" spans="1:4" x14ac:dyDescent="0.2">
      <c r="A893" s="5">
        <v>832</v>
      </c>
      <c r="B893" s="138">
        <f>'Expenditures 15-22'!F15</f>
        <v>0</v>
      </c>
      <c r="D893" s="2" t="str">
        <f t="shared" si="12"/>
        <v>Error?</v>
      </c>
    </row>
    <row r="894" spans="1:4" x14ac:dyDescent="0.2">
      <c r="A894" s="5">
        <v>833</v>
      </c>
      <c r="B894" s="138">
        <f>'Expenditures 15-22'!F33</f>
        <v>98859</v>
      </c>
      <c r="C894" s="2" t="s">
        <v>573</v>
      </c>
      <c r="D894" s="2" t="str">
        <f t="shared" si="12"/>
        <v>Error?</v>
      </c>
    </row>
    <row r="895" spans="1:4" x14ac:dyDescent="0.2">
      <c r="A895" s="5">
        <v>834</v>
      </c>
      <c r="B895" s="138">
        <f>'Expenditures 15-22'!F36</f>
        <v>8252</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1615</v>
      </c>
      <c r="D897" s="2" t="str">
        <f t="shared" si="13"/>
        <v>Error?</v>
      </c>
    </row>
    <row r="898" spans="1:4" x14ac:dyDescent="0.2">
      <c r="A898" s="5">
        <v>837</v>
      </c>
      <c r="B898" s="138">
        <f>'Expenditures 15-22'!F39</f>
        <v>0</v>
      </c>
      <c r="D898" s="2" t="str">
        <f t="shared" si="13"/>
        <v>Error?</v>
      </c>
    </row>
    <row r="899" spans="1:4" x14ac:dyDescent="0.2">
      <c r="A899" s="5">
        <v>838</v>
      </c>
      <c r="B899" s="138">
        <f>'Expenditures 15-22'!F40</f>
        <v>269</v>
      </c>
      <c r="D899" s="2" t="str">
        <f t="shared" si="13"/>
        <v>Error?</v>
      </c>
    </row>
    <row r="900" spans="1:4" x14ac:dyDescent="0.2">
      <c r="A900" s="5">
        <v>839</v>
      </c>
      <c r="B900" s="138">
        <f>'Expenditures 15-22'!F41</f>
        <v>2519</v>
      </c>
      <c r="D900" s="2" t="str">
        <f t="shared" si="13"/>
        <v>Error?</v>
      </c>
    </row>
    <row r="901" spans="1:4" x14ac:dyDescent="0.2">
      <c r="A901" s="5">
        <v>840</v>
      </c>
      <c r="B901" s="138">
        <f>'Expenditures 15-22'!F42</f>
        <v>12655</v>
      </c>
      <c r="C901" s="2" t="s">
        <v>573</v>
      </c>
      <c r="D901" s="2" t="str">
        <f t="shared" si="13"/>
        <v>Error?</v>
      </c>
    </row>
    <row r="902" spans="1:4" x14ac:dyDescent="0.2">
      <c r="A902" s="5">
        <v>841</v>
      </c>
      <c r="B902" s="138">
        <f>'Expenditures 15-22'!F44</f>
        <v>399</v>
      </c>
      <c r="D902" s="2" t="str">
        <f t="shared" si="13"/>
        <v>Error?</v>
      </c>
    </row>
    <row r="903" spans="1:4" x14ac:dyDescent="0.2">
      <c r="A903" s="5">
        <v>842</v>
      </c>
      <c r="B903" s="138">
        <f>'Expenditures 15-22'!F45</f>
        <v>23974</v>
      </c>
      <c r="D903" s="2" t="str">
        <f t="shared" si="13"/>
        <v>Error?</v>
      </c>
    </row>
    <row r="904" spans="1:4" x14ac:dyDescent="0.2">
      <c r="A904" s="5">
        <v>843</v>
      </c>
      <c r="B904" s="138">
        <f>'Expenditures 15-22'!F46</f>
        <v>899</v>
      </c>
      <c r="D904" s="2" t="str">
        <f t="shared" si="13"/>
        <v>Error?</v>
      </c>
    </row>
    <row r="905" spans="1:4" x14ac:dyDescent="0.2">
      <c r="A905" s="5">
        <v>844</v>
      </c>
      <c r="B905" s="138">
        <f>'Expenditures 15-22'!F47</f>
        <v>25272</v>
      </c>
      <c r="C905" s="2" t="s">
        <v>573</v>
      </c>
      <c r="D905" s="2" t="str">
        <f t="shared" si="13"/>
        <v>Error?</v>
      </c>
    </row>
    <row r="906" spans="1:4" x14ac:dyDescent="0.2">
      <c r="A906" s="5">
        <v>845</v>
      </c>
      <c r="B906" s="138">
        <f>'Expenditures 15-22'!F49</f>
        <v>2060</v>
      </c>
      <c r="D906" s="2" t="str">
        <f t="shared" si="13"/>
        <v>Error?</v>
      </c>
    </row>
    <row r="907" spans="1:4" x14ac:dyDescent="0.2">
      <c r="A907" s="5">
        <v>846</v>
      </c>
      <c r="B907" s="138">
        <f>'Expenditures 15-22'!F50</f>
        <v>2151</v>
      </c>
      <c r="D907" s="2" t="str">
        <f t="shared" si="13"/>
        <v>Error?</v>
      </c>
    </row>
    <row r="908" spans="1:4" x14ac:dyDescent="0.2">
      <c r="A908" s="5">
        <v>847</v>
      </c>
      <c r="B908" s="138">
        <f>'Expenditures 15-22'!F53</f>
        <v>4211</v>
      </c>
      <c r="C908" s="2" t="s">
        <v>573</v>
      </c>
      <c r="D908" s="2" t="str">
        <f t="shared" si="13"/>
        <v>Error?</v>
      </c>
    </row>
    <row r="909" spans="1:4" x14ac:dyDescent="0.2">
      <c r="A909" s="5">
        <v>848</v>
      </c>
      <c r="B909" s="138">
        <f>'Expenditures 15-22'!F55</f>
        <v>13539</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13539</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146</v>
      </c>
      <c r="D913" s="2" t="str">
        <f t="shared" si="13"/>
        <v>Error?</v>
      </c>
    </row>
    <row r="914" spans="1:4" x14ac:dyDescent="0.2">
      <c r="A914" s="5">
        <v>853</v>
      </c>
      <c r="B914" s="138">
        <f>'Expenditures 15-22'!F61</f>
        <v>22212</v>
      </c>
      <c r="D914" s="2" t="str">
        <f t="shared" si="13"/>
        <v>Error?</v>
      </c>
    </row>
    <row r="915" spans="1:4" x14ac:dyDescent="0.2">
      <c r="A915" s="5">
        <v>854</v>
      </c>
      <c r="B915" s="138">
        <f>'Expenditures 15-22'!F62</f>
        <v>0</v>
      </c>
      <c r="D915" s="2" t="str">
        <f t="shared" si="13"/>
        <v>Error?</v>
      </c>
    </row>
    <row r="916" spans="1:4" x14ac:dyDescent="0.2">
      <c r="A916" s="5">
        <v>855</v>
      </c>
      <c r="B916" s="138">
        <f>'Expenditures 15-22'!F63</f>
        <v>97569</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119927</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22</v>
      </c>
      <c r="D928" s="2" t="str">
        <f t="shared" si="13"/>
        <v>Error?</v>
      </c>
    </row>
    <row r="929" spans="1:4" x14ac:dyDescent="0.2">
      <c r="A929" s="5">
        <v>868</v>
      </c>
      <c r="B929" s="138">
        <f>'Expenditures 15-22'!F74</f>
        <v>175626</v>
      </c>
      <c r="C929" s="2" t="s">
        <v>573</v>
      </c>
      <c r="D929" s="2" t="str">
        <f t="shared" si="13"/>
        <v>Error?</v>
      </c>
    </row>
    <row r="930" spans="1:4" x14ac:dyDescent="0.2">
      <c r="A930" s="5">
        <v>869</v>
      </c>
      <c r="B930" s="138">
        <f>'Expenditures 15-22'!F75</f>
        <v>4975</v>
      </c>
      <c r="D930" s="2" t="str">
        <f t="shared" si="13"/>
        <v>Error?</v>
      </c>
    </row>
    <row r="931" spans="1:4" x14ac:dyDescent="0.2">
      <c r="A931" s="5">
        <v>870</v>
      </c>
      <c r="B931" s="138">
        <f>'Expenditures 15-22'!F114</f>
        <v>279460</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1450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11638</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17496</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17496</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3349</v>
      </c>
      <c r="D972" s="2" t="str">
        <f t="shared" si="14"/>
        <v>Error?</v>
      </c>
    </row>
    <row r="973" spans="1:4" x14ac:dyDescent="0.2">
      <c r="A973" s="5">
        <v>912</v>
      </c>
      <c r="B973" s="138">
        <f>'Expenditures 15-22'!G62</f>
        <v>0</v>
      </c>
      <c r="D973" s="2" t="str">
        <f t="shared" si="14"/>
        <v>Error?</v>
      </c>
    </row>
    <row r="974" spans="1:4" x14ac:dyDescent="0.2">
      <c r="A974" s="5">
        <v>913</v>
      </c>
      <c r="B974" s="138">
        <f>'Expenditures 15-22'!G63</f>
        <v>2138</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5487</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22983</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34621</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432</v>
      </c>
      <c r="D1007" s="2" t="str">
        <f t="shared" si="14"/>
        <v>Error?</v>
      </c>
    </row>
    <row r="1008" spans="1:4" x14ac:dyDescent="0.2">
      <c r="A1008" s="5">
        <v>947</v>
      </c>
      <c r="B1008" s="138">
        <f>'Expenditures 15-22'!H14</f>
        <v>4341</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4773</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1139</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1139</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53292</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53292</v>
      </c>
      <c r="C1021" s="2" t="s">
        <v>573</v>
      </c>
      <c r="D1021" s="2" t="str">
        <f t="shared" si="14"/>
        <v>Error?</v>
      </c>
    </row>
    <row r="1022" spans="1:4" x14ac:dyDescent="0.2">
      <c r="A1022" s="5">
        <v>961</v>
      </c>
      <c r="B1022" s="138">
        <f>'Expenditures 15-22'!H49</f>
        <v>9123</v>
      </c>
      <c r="D1022" s="2" t="str">
        <f t="shared" si="14"/>
        <v>Error?</v>
      </c>
    </row>
    <row r="1023" spans="1:4" x14ac:dyDescent="0.2">
      <c r="A1023" s="5">
        <v>962</v>
      </c>
      <c r="B1023" s="138">
        <f>'Expenditures 15-22'!H50</f>
        <v>583</v>
      </c>
      <c r="D1023" s="2" t="str">
        <f t="shared" ref="D1023:D1086" si="15">IF(ISBLANK(B1023),"OK",IF(A1023-B1023=0,"OK","Error?"))</f>
        <v>Error?</v>
      </c>
    </row>
    <row r="1024" spans="1:4" x14ac:dyDescent="0.2">
      <c r="A1024" s="5">
        <v>963</v>
      </c>
      <c r="B1024" s="138">
        <f>'Expenditures 15-22'!H53</f>
        <v>9706</v>
      </c>
      <c r="C1024" s="2" t="s">
        <v>573</v>
      </c>
      <c r="D1024" s="2" t="str">
        <f t="shared" si="15"/>
        <v>Error?</v>
      </c>
    </row>
    <row r="1025" spans="1:4" x14ac:dyDescent="0.2">
      <c r="A1025" s="5">
        <v>964</v>
      </c>
      <c r="B1025" s="138">
        <f>'Expenditures 15-22'!H55</f>
        <v>960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960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1350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1350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66447</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84102</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155322</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995404</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103775</v>
      </c>
      <c r="C1105" s="2" t="s">
        <v>573</v>
      </c>
      <c r="D1105" s="2" t="str">
        <f t="shared" si="16"/>
        <v>Error?</v>
      </c>
    </row>
    <row r="1106" spans="1:4" x14ac:dyDescent="0.2">
      <c r="A1106" s="5">
        <v>1045</v>
      </c>
      <c r="B1106" s="138">
        <f>'Expenditures 15-22'!K14</f>
        <v>52367</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1589641</v>
      </c>
      <c r="C1108" s="2" t="s">
        <v>573</v>
      </c>
      <c r="D1108" s="2" t="str">
        <f t="shared" si="16"/>
        <v>Error?</v>
      </c>
    </row>
    <row r="1109" spans="1:4" x14ac:dyDescent="0.2">
      <c r="A1109" s="5">
        <v>1048</v>
      </c>
      <c r="B1109" s="138">
        <f>'Expenditures 15-22'!K36</f>
        <v>8252</v>
      </c>
      <c r="C1109" s="2" t="s">
        <v>573</v>
      </c>
      <c r="D1109" s="2" t="str">
        <f t="shared" si="16"/>
        <v>Error?</v>
      </c>
    </row>
    <row r="1110" spans="1:4" x14ac:dyDescent="0.2">
      <c r="A1110" s="5">
        <v>1049</v>
      </c>
      <c r="B1110" s="138">
        <f>'Expenditures 15-22'!K37</f>
        <v>46022</v>
      </c>
      <c r="C1110" s="2" t="s">
        <v>573</v>
      </c>
      <c r="D1110" s="2" t="str">
        <f t="shared" si="16"/>
        <v>Error?</v>
      </c>
    </row>
    <row r="1111" spans="1:4" x14ac:dyDescent="0.2">
      <c r="A1111" s="5">
        <v>1050</v>
      </c>
      <c r="B1111" s="138">
        <f>'Expenditures 15-22'!K38</f>
        <v>8814</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42422</v>
      </c>
      <c r="C1113" s="2" t="s">
        <v>573</v>
      </c>
      <c r="D1113" s="2" t="str">
        <f t="shared" si="16"/>
        <v>Error?</v>
      </c>
    </row>
    <row r="1114" spans="1:4" x14ac:dyDescent="0.2">
      <c r="A1114" s="5">
        <v>1053</v>
      </c>
      <c r="B1114" s="138">
        <f>'Expenditures 15-22'!K41</f>
        <v>2519</v>
      </c>
      <c r="C1114" s="2" t="s">
        <v>573</v>
      </c>
      <c r="D1114" s="2" t="str">
        <f t="shared" si="16"/>
        <v>Error?</v>
      </c>
    </row>
    <row r="1115" spans="1:4" x14ac:dyDescent="0.2">
      <c r="A1115" s="5">
        <v>1054</v>
      </c>
      <c r="B1115" s="138">
        <f>'Expenditures 15-22'!K42</f>
        <v>108029</v>
      </c>
      <c r="C1115" s="2" t="s">
        <v>573</v>
      </c>
      <c r="D1115" s="2" t="str">
        <f t="shared" si="16"/>
        <v>Error?</v>
      </c>
    </row>
    <row r="1116" spans="1:4" x14ac:dyDescent="0.2">
      <c r="A1116" s="5">
        <v>1055</v>
      </c>
      <c r="B1116" s="138">
        <f>'Expenditures 15-22'!K44</f>
        <v>19428</v>
      </c>
      <c r="C1116" s="2" t="s">
        <v>573</v>
      </c>
      <c r="D1116" s="2" t="str">
        <f t="shared" si="16"/>
        <v>Error?</v>
      </c>
    </row>
    <row r="1117" spans="1:4" x14ac:dyDescent="0.2">
      <c r="A1117" s="5">
        <v>1056</v>
      </c>
      <c r="B1117" s="138">
        <f>'Expenditures 15-22'!K45</f>
        <v>147390</v>
      </c>
      <c r="C1117" s="2" t="s">
        <v>573</v>
      </c>
      <c r="D1117" s="2" t="str">
        <f t="shared" si="16"/>
        <v>Error?</v>
      </c>
    </row>
    <row r="1118" spans="1:4" x14ac:dyDescent="0.2">
      <c r="A1118" s="5">
        <v>1057</v>
      </c>
      <c r="B1118" s="138">
        <f>'Expenditures 15-22'!K46</f>
        <v>899</v>
      </c>
      <c r="C1118" s="2" t="s">
        <v>573</v>
      </c>
      <c r="D1118" s="2" t="str">
        <f t="shared" si="16"/>
        <v>Error?</v>
      </c>
    </row>
    <row r="1119" spans="1:4" x14ac:dyDescent="0.2">
      <c r="A1119" s="5">
        <v>1058</v>
      </c>
      <c r="B1119" s="138">
        <f>'Expenditures 15-22'!K47</f>
        <v>167717</v>
      </c>
      <c r="C1119" s="2" t="s">
        <v>573</v>
      </c>
      <c r="D1119" s="2" t="str">
        <f t="shared" si="16"/>
        <v>Error?</v>
      </c>
    </row>
    <row r="1120" spans="1:4" x14ac:dyDescent="0.2">
      <c r="A1120" s="5">
        <v>1059</v>
      </c>
      <c r="B1120" s="138">
        <f>'Expenditures 15-22'!K49</f>
        <v>25408</v>
      </c>
      <c r="C1120" s="2" t="s">
        <v>573</v>
      </c>
      <c r="D1120" s="2" t="str">
        <f t="shared" si="16"/>
        <v>Error?</v>
      </c>
    </row>
    <row r="1121" spans="1:4" x14ac:dyDescent="0.2">
      <c r="A1121" s="5">
        <v>1060</v>
      </c>
      <c r="B1121" s="138">
        <f>'Expenditures 15-22'!K50</f>
        <v>79108</v>
      </c>
      <c r="C1121" s="2" t="s">
        <v>573</v>
      </c>
      <c r="D1121" s="2" t="str">
        <f t="shared" si="16"/>
        <v>Error?</v>
      </c>
    </row>
    <row r="1122" spans="1:4" x14ac:dyDescent="0.2">
      <c r="A1122" s="5">
        <v>1061</v>
      </c>
      <c r="B1122" s="138">
        <f>'Expenditures 15-22'!K53</f>
        <v>104516</v>
      </c>
      <c r="C1122" s="2" t="s">
        <v>573</v>
      </c>
      <c r="D1122" s="2" t="str">
        <f t="shared" si="16"/>
        <v>Error?</v>
      </c>
    </row>
    <row r="1123" spans="1:4" x14ac:dyDescent="0.2">
      <c r="A1123" s="5">
        <v>1062</v>
      </c>
      <c r="B1123" s="138">
        <f>'Expenditures 15-22'!K55</f>
        <v>206769</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206769</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42260</v>
      </c>
      <c r="C1127" s="2" t="s">
        <v>573</v>
      </c>
      <c r="D1127" s="2" t="str">
        <f t="shared" si="16"/>
        <v>Error?</v>
      </c>
    </row>
    <row r="1128" spans="1:4" x14ac:dyDescent="0.2">
      <c r="A1128" s="5">
        <v>1067</v>
      </c>
      <c r="B1128" s="138">
        <f>'Expenditures 15-22'!K61</f>
        <v>174131</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170109</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386500</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7328</v>
      </c>
      <c r="C1139" s="2" t="s">
        <v>573</v>
      </c>
      <c r="D1139" s="2" t="str">
        <f t="shared" si="16"/>
        <v>Error?</v>
      </c>
    </row>
    <row r="1140" spans="1:4" x14ac:dyDescent="0.2">
      <c r="A1140" s="10">
        <v>1079</v>
      </c>
      <c r="D1140" s="2" t="str">
        <f t="shared" si="16"/>
        <v>OK</v>
      </c>
    </row>
    <row r="1141" spans="1:4" x14ac:dyDescent="0.2">
      <c r="A1141" s="5">
        <v>1080</v>
      </c>
      <c r="B1141" s="138">
        <f>'Expenditures 15-22'!K72</f>
        <v>7328</v>
      </c>
      <c r="C1141" s="2" t="s">
        <v>573</v>
      </c>
      <c r="D1141" s="2" t="str">
        <f t="shared" si="16"/>
        <v>Error?</v>
      </c>
    </row>
    <row r="1142" spans="1:4" x14ac:dyDescent="0.2">
      <c r="A1142" s="5">
        <v>1081</v>
      </c>
      <c r="B1142" s="138">
        <f>'Expenditures 15-22'!K73</f>
        <v>22</v>
      </c>
      <c r="C1142" s="2" t="s">
        <v>573</v>
      </c>
      <c r="D1142" s="2" t="str">
        <f t="shared" si="16"/>
        <v>Error?</v>
      </c>
    </row>
    <row r="1143" spans="1:4" x14ac:dyDescent="0.2">
      <c r="A1143" s="5">
        <v>1082</v>
      </c>
      <c r="B1143" s="138">
        <f>'Expenditures 15-22'!K74</f>
        <v>980881</v>
      </c>
      <c r="C1143" s="2" t="s">
        <v>573</v>
      </c>
      <c r="D1143" s="2" t="str">
        <f t="shared" si="16"/>
        <v>Error?</v>
      </c>
    </row>
    <row r="1144" spans="1:4" x14ac:dyDescent="0.2">
      <c r="A1144" s="5">
        <v>1083</v>
      </c>
      <c r="B1144" s="138">
        <f>'Expenditures 15-22'!K75</f>
        <v>4975</v>
      </c>
      <c r="C1144" s="2" t="s">
        <v>573</v>
      </c>
      <c r="D1144" s="2" t="str">
        <f t="shared" si="16"/>
        <v>Error?</v>
      </c>
    </row>
    <row r="1145" spans="1:4" x14ac:dyDescent="0.2">
      <c r="A1145" s="5">
        <v>1084</v>
      </c>
      <c r="B1145" s="138">
        <f>'Expenditures 15-22'!K102</f>
        <v>84102</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2659599</v>
      </c>
      <c r="C1152" s="2" t="s">
        <v>573</v>
      </c>
      <c r="D1152" s="2" t="str">
        <f t="shared" si="17"/>
        <v>Error?</v>
      </c>
    </row>
    <row r="1153" spans="1:4" x14ac:dyDescent="0.2">
      <c r="A1153" s="5">
        <v>1092</v>
      </c>
      <c r="B1153" s="138">
        <f>'Expenditures 15-22'!K115</f>
        <v>-11497</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2350</v>
      </c>
      <c r="D1236" s="2" t="str">
        <f t="shared" si="18"/>
        <v>Error?</v>
      </c>
    </row>
    <row r="1237" spans="1:4" x14ac:dyDescent="0.2">
      <c r="A1237" s="5">
        <v>1176</v>
      </c>
      <c r="B1237" s="138">
        <f>'Expenditures 15-22'!E124</f>
        <v>96495</v>
      </c>
      <c r="D1237" s="2" t="str">
        <f t="shared" si="18"/>
        <v>Error?</v>
      </c>
    </row>
    <row r="1238" spans="1:4" x14ac:dyDescent="0.2">
      <c r="A1238" s="10">
        <v>1177</v>
      </c>
      <c r="D1238" s="2" t="str">
        <f t="shared" si="18"/>
        <v>OK</v>
      </c>
    </row>
    <row r="1239" spans="1:4" x14ac:dyDescent="0.2">
      <c r="A1239" s="5">
        <v>1178</v>
      </c>
      <c r="B1239" s="138">
        <f>'Expenditures 15-22'!E127</f>
        <v>98845</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98845</v>
      </c>
      <c r="C1241" s="2" t="s">
        <v>573</v>
      </c>
      <c r="D1241" s="2" t="str">
        <f t="shared" si="18"/>
        <v>Error?</v>
      </c>
    </row>
    <row r="1242" spans="1:4" x14ac:dyDescent="0.2">
      <c r="A1242" s="5">
        <v>1181</v>
      </c>
      <c r="B1242" s="138">
        <f>'Expenditures 15-22'!E151</f>
        <v>98845</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99304</v>
      </c>
      <c r="D1245" s="2" t="str">
        <f t="shared" si="18"/>
        <v>Error?</v>
      </c>
    </row>
    <row r="1246" spans="1:4" x14ac:dyDescent="0.2">
      <c r="A1246" s="10">
        <v>1185</v>
      </c>
      <c r="D1246" s="2" t="str">
        <f t="shared" si="18"/>
        <v>OK</v>
      </c>
    </row>
    <row r="1247" spans="1:4" x14ac:dyDescent="0.2">
      <c r="A1247" s="5">
        <v>1186</v>
      </c>
      <c r="B1247" s="138">
        <f>'Expenditures 15-22'!F127</f>
        <v>99304</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99304</v>
      </c>
      <c r="C1249" s="2" t="s">
        <v>573</v>
      </c>
      <c r="D1249" s="2" t="str">
        <f t="shared" si="18"/>
        <v>Error?</v>
      </c>
    </row>
    <row r="1250" spans="1:4" x14ac:dyDescent="0.2">
      <c r="A1250" s="5">
        <v>1189</v>
      </c>
      <c r="B1250" s="138">
        <f>'Expenditures 15-22'!F151</f>
        <v>99304</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7990</v>
      </c>
      <c r="D1252" s="2" t="str">
        <f t="shared" si="18"/>
        <v>Error?</v>
      </c>
    </row>
    <row r="1253" spans="1:4" x14ac:dyDescent="0.2">
      <c r="A1253" s="5">
        <v>1192</v>
      </c>
      <c r="B1253" s="138">
        <f>'Expenditures 15-22'!G124</f>
        <v>57454</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65444</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65444</v>
      </c>
      <c r="C1258" s="2" t="s">
        <v>573</v>
      </c>
      <c r="D1258" s="2" t="str">
        <f t="shared" si="18"/>
        <v>Error?</v>
      </c>
    </row>
    <row r="1259" spans="1:4" x14ac:dyDescent="0.2">
      <c r="A1259" s="5">
        <v>1198</v>
      </c>
      <c r="B1259" s="138">
        <f>'Expenditures 15-22'!G151</f>
        <v>65444</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96</v>
      </c>
      <c r="D1262" s="2" t="str">
        <f t="shared" si="18"/>
        <v>Error?</v>
      </c>
    </row>
    <row r="1263" spans="1:4" x14ac:dyDescent="0.2">
      <c r="A1263" s="10">
        <v>1202</v>
      </c>
      <c r="D1263" s="2" t="str">
        <f t="shared" si="18"/>
        <v>OK</v>
      </c>
    </row>
    <row r="1264" spans="1:4" x14ac:dyDescent="0.2">
      <c r="A1264" s="5">
        <v>1203</v>
      </c>
      <c r="B1264" s="138">
        <f>'Expenditures 15-22'!H127</f>
        <v>96</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96</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363</v>
      </c>
      <c r="C1272" s="2" t="s">
        <v>573</v>
      </c>
      <c r="D1272" s="2" t="str">
        <f t="shared" si="18"/>
        <v>Error?</v>
      </c>
    </row>
    <row r="1273" spans="1:4" x14ac:dyDescent="0.2">
      <c r="A1273" s="5">
        <v>1212</v>
      </c>
      <c r="B1273" s="138">
        <f>'Expenditures 15-22'!H151</f>
        <v>459</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10340</v>
      </c>
      <c r="C1275" s="2" t="s">
        <v>573</v>
      </c>
      <c r="D1275" s="2" t="str">
        <f t="shared" si="18"/>
        <v>Error?</v>
      </c>
    </row>
    <row r="1276" spans="1:4" x14ac:dyDescent="0.2">
      <c r="A1276" s="5">
        <v>1215</v>
      </c>
      <c r="B1276" s="138">
        <f>'Expenditures 15-22'!K124</f>
        <v>253349</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263689</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263689</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363</v>
      </c>
      <c r="C1287" s="2" t="s">
        <v>573</v>
      </c>
      <c r="D1287" s="2" t="str">
        <f t="shared" si="19"/>
        <v>Error?</v>
      </c>
    </row>
    <row r="1288" spans="1:4" x14ac:dyDescent="0.2">
      <c r="A1288" s="5">
        <v>1227</v>
      </c>
      <c r="B1288" s="138">
        <f>'Expenditures 15-22'!K151</f>
        <v>264052</v>
      </c>
      <c r="C1288" s="2" t="s">
        <v>573</v>
      </c>
      <c r="D1288" s="2" t="str">
        <f t="shared" si="19"/>
        <v>Error?</v>
      </c>
    </row>
    <row r="1289" spans="1:4" x14ac:dyDescent="0.2">
      <c r="A1289" s="5">
        <v>1228</v>
      </c>
      <c r="B1289" s="138">
        <f>'Expenditures 15-22'!K152</f>
        <v>-90778</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35726</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212611</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248337</v>
      </c>
      <c r="C1317" s="2" t="s">
        <v>573</v>
      </c>
      <c r="D1317" s="2" t="str">
        <f t="shared" si="19"/>
        <v>Error?</v>
      </c>
    </row>
    <row r="1318" spans="1:4" x14ac:dyDescent="0.2">
      <c r="A1318" s="5">
        <v>1257</v>
      </c>
      <c r="B1318" s="138">
        <f>'Expenditures 15-22'!H174</f>
        <v>248337</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35726</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212611</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248337</v>
      </c>
      <c r="C1331" s="2" t="s">
        <v>573</v>
      </c>
      <c r="D1331" s="2" t="str">
        <f t="shared" si="19"/>
        <v>Error?</v>
      </c>
    </row>
    <row r="1332" spans="1:4" x14ac:dyDescent="0.2">
      <c r="A1332" s="5">
        <v>1271</v>
      </c>
      <c r="B1332" s="138">
        <f>'Expenditures 15-22'!K174</f>
        <v>248337</v>
      </c>
      <c r="C1332" s="2" t="s">
        <v>573</v>
      </c>
      <c r="D1332" s="2" t="str">
        <f t="shared" si="19"/>
        <v>Error?</v>
      </c>
    </row>
    <row r="1333" spans="1:4" x14ac:dyDescent="0.2">
      <c r="A1333" s="5">
        <v>1272</v>
      </c>
      <c r="B1333" s="138">
        <f>'Expenditures 15-22'!K175</f>
        <v>-9839</v>
      </c>
      <c r="C1333" s="2" t="s">
        <v>573</v>
      </c>
      <c r="D1333" s="2" t="str">
        <f t="shared" si="19"/>
        <v>Error?</v>
      </c>
    </row>
    <row r="1334" spans="1:4" x14ac:dyDescent="0.2">
      <c r="A1334" s="10">
        <v>1273</v>
      </c>
      <c r="D1334" s="2" t="str">
        <f t="shared" si="19"/>
        <v>OK</v>
      </c>
    </row>
    <row r="1335" spans="1:4" x14ac:dyDescent="0.2">
      <c r="A1335" s="5">
        <v>1274</v>
      </c>
      <c r="B1335" s="138">
        <f>'Expenditures 15-22'!C182</f>
        <v>73117</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73117</v>
      </c>
      <c r="C1339" s="2" t="s">
        <v>573</v>
      </c>
      <c r="D1339" s="2" t="str">
        <f t="shared" si="19"/>
        <v>Error?</v>
      </c>
    </row>
    <row r="1340" spans="1:4" x14ac:dyDescent="0.2">
      <c r="A1340" s="5">
        <v>1279</v>
      </c>
      <c r="B1340" s="138">
        <f>'Expenditures 15-22'!C210</f>
        <v>73117</v>
      </c>
      <c r="C1340" s="2" t="s">
        <v>573</v>
      </c>
      <c r="D1340" s="2" t="str">
        <f t="shared" si="19"/>
        <v>Error?</v>
      </c>
    </row>
    <row r="1341" spans="1:4" x14ac:dyDescent="0.2">
      <c r="A1341" s="5">
        <v>1280</v>
      </c>
      <c r="B1341" s="138">
        <f>'Expenditures 15-22'!D182</f>
        <v>1006</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1006</v>
      </c>
      <c r="C1345" s="2" t="s">
        <v>573</v>
      </c>
      <c r="D1345" s="2" t="str">
        <f t="shared" si="20"/>
        <v>Error?</v>
      </c>
    </row>
    <row r="1346" spans="1:4" x14ac:dyDescent="0.2">
      <c r="A1346" s="5">
        <v>1285</v>
      </c>
      <c r="B1346" s="138">
        <f>'Expenditures 15-22'!D210</f>
        <v>1006</v>
      </c>
      <c r="C1346" s="2" t="s">
        <v>573</v>
      </c>
      <c r="D1346" s="2" t="str">
        <f t="shared" si="20"/>
        <v>Error?</v>
      </c>
    </row>
    <row r="1347" spans="1:4" x14ac:dyDescent="0.2">
      <c r="A1347" s="5">
        <v>1286</v>
      </c>
      <c r="B1347" s="138">
        <f>'Expenditures 15-22'!E182</f>
        <v>30986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30986</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30986</v>
      </c>
      <c r="C1353" s="2" t="s">
        <v>573</v>
      </c>
      <c r="D1353" s="2" t="str">
        <f t="shared" si="20"/>
        <v>Error?</v>
      </c>
    </row>
    <row r="1354" spans="1:4" x14ac:dyDescent="0.2">
      <c r="A1354" s="5">
        <v>1293</v>
      </c>
      <c r="B1354" s="138">
        <f>'Expenditures 15-22'!F182</f>
        <v>27627</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27627</v>
      </c>
      <c r="C1358" s="2" t="s">
        <v>573</v>
      </c>
      <c r="D1358" s="2" t="str">
        <f t="shared" si="20"/>
        <v>Error?</v>
      </c>
    </row>
    <row r="1359" spans="1:4" x14ac:dyDescent="0.2">
      <c r="A1359" s="5">
        <v>1298</v>
      </c>
      <c r="B1359" s="138">
        <f>'Expenditures 15-22'!F210</f>
        <v>27627</v>
      </c>
      <c r="C1359" s="2" t="s">
        <v>573</v>
      </c>
      <c r="D1359" s="2" t="str">
        <f t="shared" si="20"/>
        <v>Error?</v>
      </c>
    </row>
    <row r="1360" spans="1:4" x14ac:dyDescent="0.2">
      <c r="A1360" s="5">
        <v>1299</v>
      </c>
      <c r="B1360" s="138">
        <f>'Expenditures 15-22'!G182</f>
        <v>90672</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90672</v>
      </c>
      <c r="C1364" s="2" t="s">
        <v>573</v>
      </c>
      <c r="D1364" s="2" t="str">
        <f t="shared" si="20"/>
        <v>Error?</v>
      </c>
    </row>
    <row r="1365" spans="1:4" x14ac:dyDescent="0.2">
      <c r="A1365" s="5">
        <v>1304</v>
      </c>
      <c r="B1365" s="138">
        <f>'Expenditures 15-22'!G210</f>
        <v>90672</v>
      </c>
      <c r="C1365" s="2" t="s">
        <v>573</v>
      </c>
      <c r="D1365" s="2" t="str">
        <f t="shared" si="20"/>
        <v>Error?</v>
      </c>
    </row>
    <row r="1366" spans="1:4" x14ac:dyDescent="0.2">
      <c r="A1366" s="5">
        <v>1305</v>
      </c>
      <c r="B1366" s="138">
        <f>'Expenditures 15-22'!H182</f>
        <v>5</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5</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25812</v>
      </c>
      <c r="C1375" s="2" t="s">
        <v>573</v>
      </c>
      <c r="D1375" s="2" t="str">
        <f t="shared" si="20"/>
        <v>Error?</v>
      </c>
    </row>
    <row r="1376" spans="1:4" x14ac:dyDescent="0.2">
      <c r="A1376" s="5">
        <v>1315</v>
      </c>
      <c r="B1376" s="138">
        <f>'Expenditures 15-22'!H210</f>
        <v>25817</v>
      </c>
      <c r="C1376" s="2" t="s">
        <v>573</v>
      </c>
      <c r="D1376" s="2" t="str">
        <f t="shared" si="20"/>
        <v>Error?</v>
      </c>
    </row>
    <row r="1377" spans="1:4" x14ac:dyDescent="0.2">
      <c r="A1377" s="5">
        <v>1316</v>
      </c>
      <c r="B1377" s="138">
        <f>'Expenditures 15-22'!K182</f>
        <v>223413</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223413</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25812</v>
      </c>
      <c r="C1387" s="2" t="s">
        <v>573</v>
      </c>
      <c r="D1387" s="2" t="str">
        <f t="shared" si="20"/>
        <v>Error?</v>
      </c>
    </row>
    <row r="1388" spans="1:4" x14ac:dyDescent="0.2">
      <c r="A1388" s="5">
        <v>1327</v>
      </c>
      <c r="B1388" s="138">
        <f>'Expenditures 15-22'!K210</f>
        <v>249225</v>
      </c>
      <c r="C1388" s="2" t="s">
        <v>573</v>
      </c>
      <c r="D1388" s="2" t="str">
        <f t="shared" si="20"/>
        <v>Error?</v>
      </c>
    </row>
    <row r="1389" spans="1:4" x14ac:dyDescent="0.2">
      <c r="A1389" s="5">
        <v>1328</v>
      </c>
      <c r="B1389" s="138">
        <f>'Expenditures 15-22'!K211</f>
        <v>-106813</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1285</v>
      </c>
      <c r="D1407" s="2" t="str">
        <f t="shared" ref="D1407:D1470" si="21">IF(ISBLANK(B1407),"OK",IF(A1407-B1407=0,"OK","Error?"))</f>
        <v>Error?</v>
      </c>
    </row>
    <row r="1408" spans="1:4" x14ac:dyDescent="0.2">
      <c r="A1408" s="5">
        <v>1347</v>
      </c>
      <c r="B1408" s="138">
        <f>'Expenditures 15-22'!D223</f>
        <v>1212</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40970</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548</v>
      </c>
      <c r="D1412" s="2" t="str">
        <f t="shared" si="21"/>
        <v>Error?</v>
      </c>
    </row>
    <row r="1413" spans="1:4" x14ac:dyDescent="0.2">
      <c r="A1413" s="5">
        <v>1352</v>
      </c>
      <c r="B1413" s="138">
        <f>'Expenditures 15-22'!D234</f>
        <v>3262</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461</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4271</v>
      </c>
      <c r="C1417" s="2" t="s">
        <v>573</v>
      </c>
      <c r="D1417" s="2" t="str">
        <f t="shared" si="21"/>
        <v>Error?</v>
      </c>
    </row>
    <row r="1418" spans="1:4" x14ac:dyDescent="0.2">
      <c r="A1418" s="5">
        <v>1357</v>
      </c>
      <c r="B1418" s="138">
        <f>'Expenditures 15-22'!D240</f>
        <v>52</v>
      </c>
      <c r="D1418" s="2" t="str">
        <f t="shared" si="21"/>
        <v>Error?</v>
      </c>
    </row>
    <row r="1419" spans="1:4" x14ac:dyDescent="0.2">
      <c r="A1419" s="5">
        <v>1358</v>
      </c>
      <c r="B1419" s="138">
        <f>'Expenditures 15-22'!D241</f>
        <v>454</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506</v>
      </c>
      <c r="C1421" s="2" t="s">
        <v>573</v>
      </c>
      <c r="D1421" s="2" t="str">
        <f t="shared" si="21"/>
        <v>Error?</v>
      </c>
    </row>
    <row r="1422" spans="1:4" x14ac:dyDescent="0.2">
      <c r="A1422" s="5">
        <v>1361</v>
      </c>
      <c r="B1422" s="138">
        <f>'Expenditures 15-22'!D245</f>
        <v>442</v>
      </c>
      <c r="D1422" s="2" t="str">
        <f t="shared" si="21"/>
        <v>Error?</v>
      </c>
    </row>
    <row r="1423" spans="1:4" x14ac:dyDescent="0.2">
      <c r="A1423" s="5">
        <v>1362</v>
      </c>
      <c r="B1423" s="138">
        <f>'Expenditures 15-22'!D246</f>
        <v>3038</v>
      </c>
      <c r="D1423" s="2" t="str">
        <f t="shared" si="21"/>
        <v>Error?</v>
      </c>
    </row>
    <row r="1424" spans="1:4" x14ac:dyDescent="0.2">
      <c r="A1424" s="5">
        <v>1363</v>
      </c>
      <c r="B1424" s="138">
        <f>'Expenditures 15-22'!D257</f>
        <v>3801</v>
      </c>
      <c r="C1424" s="2" t="s">
        <v>573</v>
      </c>
      <c r="D1424" s="2" t="str">
        <f t="shared" si="21"/>
        <v>Error?</v>
      </c>
    </row>
    <row r="1425" spans="1:4" x14ac:dyDescent="0.2">
      <c r="A1425" s="5">
        <v>1364</v>
      </c>
      <c r="B1425" s="138">
        <f>'Expenditures 15-22'!D259</f>
        <v>11498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11498</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6091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21188</v>
      </c>
      <c r="D1431" s="2" t="str">
        <f t="shared" si="21"/>
        <v>Error?</v>
      </c>
    </row>
    <row r="1432" spans="1:4" x14ac:dyDescent="0.2">
      <c r="A1432" s="5">
        <v>1371</v>
      </c>
      <c r="B1432" s="138">
        <f>'Expenditures 15-22'!D267</f>
        <v>7801</v>
      </c>
      <c r="D1432" s="2" t="str">
        <f t="shared" si="21"/>
        <v>Error?</v>
      </c>
    </row>
    <row r="1433" spans="1:4" x14ac:dyDescent="0.2">
      <c r="A1433" s="5">
        <v>1372</v>
      </c>
      <c r="B1433" s="138">
        <f>'Expenditures 15-22'!D268</f>
        <v>8814</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43894</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9</v>
      </c>
      <c r="D1442" s="2" t="str">
        <f t="shared" si="21"/>
        <v>Error?</v>
      </c>
    </row>
    <row r="1443" spans="1:4" x14ac:dyDescent="0.2">
      <c r="A1443" s="10">
        <v>1382</v>
      </c>
      <c r="D1443" s="2" t="str">
        <f t="shared" si="21"/>
        <v>OK</v>
      </c>
    </row>
    <row r="1444" spans="1:4" x14ac:dyDescent="0.2">
      <c r="A1444" s="5">
        <v>1383</v>
      </c>
      <c r="B1444" s="138">
        <f>'Expenditures 15-22'!D277</f>
        <v>9</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63979</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104949</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1285</v>
      </c>
      <c r="C1471" s="2" t="s">
        <v>573</v>
      </c>
      <c r="D1471" s="2" t="str">
        <f t="shared" ref="D1471:D1534" si="22">IF(ISBLANK(B1471),"OK",IF(A1471-B1471=0,"OK","Error?"))</f>
        <v>Error?</v>
      </c>
    </row>
    <row r="1472" spans="1:4" x14ac:dyDescent="0.2">
      <c r="A1472" s="5">
        <v>1411</v>
      </c>
      <c r="B1472" s="138">
        <f>'Expenditures 15-22'!K223</f>
        <v>1212</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40970</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548</v>
      </c>
      <c r="C1476" s="2" t="s">
        <v>573</v>
      </c>
      <c r="D1476" s="2" t="str">
        <f t="shared" si="22"/>
        <v>Error?</v>
      </c>
    </row>
    <row r="1477" spans="1:4" x14ac:dyDescent="0.2">
      <c r="A1477" s="5">
        <v>1416</v>
      </c>
      <c r="B1477" s="138">
        <f>'Expenditures 15-22'!K234</f>
        <v>3262</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461</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4271</v>
      </c>
      <c r="C1481" s="2" t="s">
        <v>573</v>
      </c>
      <c r="D1481" s="2" t="str">
        <f t="shared" si="22"/>
        <v>Error?</v>
      </c>
    </row>
    <row r="1482" spans="1:4" x14ac:dyDescent="0.2">
      <c r="A1482" s="5">
        <v>1421</v>
      </c>
      <c r="B1482" s="138">
        <f>'Expenditures 15-22'!K240</f>
        <v>52</v>
      </c>
      <c r="C1482" s="2" t="s">
        <v>573</v>
      </c>
      <c r="D1482" s="2" t="str">
        <f t="shared" si="22"/>
        <v>Error?</v>
      </c>
    </row>
    <row r="1483" spans="1:4" x14ac:dyDescent="0.2">
      <c r="A1483" s="5">
        <v>1422</v>
      </c>
      <c r="B1483" s="138">
        <f>'Expenditures 15-22'!K241</f>
        <v>454</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506</v>
      </c>
      <c r="C1485" s="2" t="s">
        <v>573</v>
      </c>
      <c r="D1485" s="2" t="str">
        <f t="shared" si="22"/>
        <v>Error?</v>
      </c>
    </row>
    <row r="1486" spans="1:4" x14ac:dyDescent="0.2">
      <c r="A1486" s="5">
        <v>1425</v>
      </c>
      <c r="B1486" s="138">
        <f>'Expenditures 15-22'!K245</f>
        <v>442</v>
      </c>
      <c r="C1486" s="2" t="s">
        <v>573</v>
      </c>
      <c r="D1486" s="2" t="str">
        <f t="shared" si="22"/>
        <v>Error?</v>
      </c>
    </row>
    <row r="1487" spans="1:4" x14ac:dyDescent="0.2">
      <c r="A1487" s="5">
        <v>1426</v>
      </c>
      <c r="B1487" s="138">
        <f>'Expenditures 15-22'!K246</f>
        <v>3038</v>
      </c>
      <c r="C1487" s="2" t="s">
        <v>573</v>
      </c>
      <c r="D1487" s="2" t="str">
        <f t="shared" si="22"/>
        <v>Error?</v>
      </c>
    </row>
    <row r="1488" spans="1:4" x14ac:dyDescent="0.2">
      <c r="A1488" s="5">
        <v>1427</v>
      </c>
      <c r="B1488" s="138">
        <f>'Expenditures 15-22'!K257</f>
        <v>3801</v>
      </c>
      <c r="C1488" s="2" t="s">
        <v>573</v>
      </c>
      <c r="D1488" s="2" t="str">
        <f t="shared" si="22"/>
        <v>Error?</v>
      </c>
    </row>
    <row r="1489" spans="1:4" x14ac:dyDescent="0.2">
      <c r="A1489" s="5">
        <v>1428</v>
      </c>
      <c r="B1489" s="138">
        <f>'Expenditures 15-22'!K259</f>
        <v>11498</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11498</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6091</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21188</v>
      </c>
      <c r="C1495" s="2" t="s">
        <v>573</v>
      </c>
      <c r="D1495" s="2" t="str">
        <f t="shared" si="22"/>
        <v>Error?</v>
      </c>
    </row>
    <row r="1496" spans="1:4" x14ac:dyDescent="0.2">
      <c r="A1496" s="5">
        <v>1435</v>
      </c>
      <c r="B1496" s="138">
        <f>'Expenditures 15-22'!K267</f>
        <v>7801</v>
      </c>
      <c r="C1496" s="2" t="s">
        <v>573</v>
      </c>
      <c r="D1496" s="2" t="str">
        <f t="shared" si="22"/>
        <v>Error?</v>
      </c>
    </row>
    <row r="1497" spans="1:4" x14ac:dyDescent="0.2">
      <c r="A1497" s="5">
        <v>1436</v>
      </c>
      <c r="B1497" s="138">
        <f>'Expenditures 15-22'!K268</f>
        <v>8814</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43894</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9</v>
      </c>
      <c r="C1506" s="2" t="s">
        <v>573</v>
      </c>
      <c r="D1506" s="2" t="str">
        <f t="shared" si="22"/>
        <v>Error?</v>
      </c>
    </row>
    <row r="1507" spans="1:4" x14ac:dyDescent="0.2">
      <c r="A1507" s="10">
        <v>1446</v>
      </c>
      <c r="D1507" s="2" t="str">
        <f t="shared" si="22"/>
        <v>OK</v>
      </c>
    </row>
    <row r="1508" spans="1:4" x14ac:dyDescent="0.2">
      <c r="A1508" s="5">
        <v>1447</v>
      </c>
      <c r="B1508" s="138">
        <f>'Expenditures 15-22'!K277</f>
        <v>9</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63979</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104949</v>
      </c>
      <c r="C1517" s="2" t="s">
        <v>573</v>
      </c>
      <c r="D1517" s="2" t="str">
        <f t="shared" si="22"/>
        <v>Error?</v>
      </c>
    </row>
    <row r="1518" spans="1:4" x14ac:dyDescent="0.2">
      <c r="A1518" s="5">
        <v>1457</v>
      </c>
      <c r="B1518" s="138">
        <f>'Expenditures 15-22'!K296</f>
        <v>91155</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510677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490691</v>
      </c>
      <c r="C1630" s="2" t="s">
        <v>573</v>
      </c>
      <c r="D1630" s="2" t="str">
        <f t="shared" si="24"/>
        <v>Error?</v>
      </c>
    </row>
    <row r="1631" spans="1:4" x14ac:dyDescent="0.2">
      <c r="A1631" s="5">
        <v>1570</v>
      </c>
      <c r="B1631" s="138">
        <f>'Acct Summary 7-8'!D79</f>
        <v>279623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177810</v>
      </c>
      <c r="C1644" s="2" t="s">
        <v>573</v>
      </c>
      <c r="D1644" s="2" t="str">
        <f t="shared" si="24"/>
        <v>Error?</v>
      </c>
    </row>
    <row r="1645" spans="1:4" x14ac:dyDescent="0.2">
      <c r="A1645" s="5">
        <v>1584</v>
      </c>
      <c r="B1645" s="138">
        <f>'Acct Summary 7-8'!E79</f>
        <v>14250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18822</v>
      </c>
      <c r="C1658" s="2" t="s">
        <v>573</v>
      </c>
      <c r="D1658" s="2" t="str">
        <f t="shared" si="24"/>
        <v>Error?</v>
      </c>
    </row>
    <row r="1659" spans="1:4" x14ac:dyDescent="0.2">
      <c r="A1659" s="5">
        <v>1598</v>
      </c>
      <c r="B1659" s="138">
        <f>'Acct Summary 7-8'!F79</f>
        <v>45242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37208</v>
      </c>
      <c r="C1672" s="2" t="s">
        <v>573</v>
      </c>
      <c r="D1672" s="2" t="str">
        <f t="shared" si="25"/>
        <v>Error?</v>
      </c>
    </row>
    <row r="1673" spans="1:4" x14ac:dyDescent="0.2">
      <c r="A1673" s="5">
        <v>1612</v>
      </c>
      <c r="B1673" s="138">
        <f>'Acct Summary 7-8'!G79</f>
        <v>421834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512989</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811057</v>
      </c>
      <c r="C1744" s="2" t="s">
        <v>573</v>
      </c>
      <c r="D1744" s="2" t="str">
        <f t="shared" si="26"/>
        <v>Error?</v>
      </c>
    </row>
    <row r="1745" spans="1:5" x14ac:dyDescent="0.2">
      <c r="A1745" s="5">
        <v>1684</v>
      </c>
      <c r="B1745" s="138">
        <f>'Tax Sched 23'!B5</f>
        <v>166202</v>
      </c>
      <c r="C1745" s="2" t="s">
        <v>573</v>
      </c>
      <c r="D1745" s="2" t="str">
        <f t="shared" si="26"/>
        <v>Error?</v>
      </c>
    </row>
    <row r="1746" spans="1:5" x14ac:dyDescent="0.2">
      <c r="A1746" s="5">
        <v>1685</v>
      </c>
      <c r="B1746" s="138">
        <f>'Tax Sched 23'!B6</f>
        <v>238000</v>
      </c>
      <c r="C1746" s="2" t="s">
        <v>573</v>
      </c>
      <c r="D1746" s="2" t="str">
        <f t="shared" si="26"/>
        <v>Error?</v>
      </c>
    </row>
    <row r="1747" spans="1:5" x14ac:dyDescent="0.2">
      <c r="A1747" s="5">
        <v>1686</v>
      </c>
      <c r="B1747" s="138">
        <f>'Tax Sched 23'!B7</f>
        <v>66481</v>
      </c>
      <c r="C1747" s="2" t="s">
        <v>573</v>
      </c>
      <c r="D1747" s="2" t="str">
        <f t="shared" si="26"/>
        <v>Error?</v>
      </c>
    </row>
    <row r="1748" spans="1:5" x14ac:dyDescent="0.2">
      <c r="A1748" s="5">
        <v>1687</v>
      </c>
      <c r="B1748" s="138">
        <f>'Tax Sched 23'!B8</f>
        <v>105770</v>
      </c>
      <c r="C1748" s="2" t="s">
        <v>573</v>
      </c>
      <c r="D1748" s="2" t="str">
        <f t="shared" si="26"/>
        <v>Error?</v>
      </c>
    </row>
    <row r="1749" spans="1:5" x14ac:dyDescent="0.2">
      <c r="A1749" s="5">
        <v>1688</v>
      </c>
      <c r="B1749" s="138">
        <f>'Tax Sched 23'!B10</f>
        <v>16621</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239064</v>
      </c>
      <c r="C1752" s="2" t="s">
        <v>573</v>
      </c>
      <c r="D1752" s="2" t="str">
        <f t="shared" si="26"/>
        <v>Error?</v>
      </c>
    </row>
    <row r="1753" spans="1:5" x14ac:dyDescent="0.2">
      <c r="A1753" s="5">
        <v>1692</v>
      </c>
      <c r="B1753" s="138">
        <f>'Tax Sched 23'!B12</f>
        <v>16621</v>
      </c>
      <c r="C1753" s="2" t="s">
        <v>573</v>
      </c>
      <c r="D1753" s="2" t="str">
        <f t="shared" si="26"/>
        <v>Error?</v>
      </c>
    </row>
    <row r="1754" spans="1:5" x14ac:dyDescent="0.2">
      <c r="A1754" s="5">
        <v>1693</v>
      </c>
      <c r="B1754" s="138">
        <f>'Tax Sched 23'!B14</f>
        <v>13296</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1773065</v>
      </c>
      <c r="C1759" s="2" t="s">
        <v>573</v>
      </c>
      <c r="D1759" s="2" t="str">
        <f t="shared" si="26"/>
        <v>Error?</v>
      </c>
    </row>
    <row r="1760" spans="1:5" x14ac:dyDescent="0.2">
      <c r="A1760" s="5">
        <v>1699</v>
      </c>
      <c r="B1760" s="138">
        <f>'Tax Sched 23'!D4</f>
        <v>811057</v>
      </c>
      <c r="C1760" s="2" t="s">
        <v>573</v>
      </c>
      <c r="D1760" s="2" t="str">
        <f t="shared" si="26"/>
        <v>Error?</v>
      </c>
    </row>
    <row r="1761" spans="1:5" x14ac:dyDescent="0.2">
      <c r="A1761" s="5">
        <v>1700</v>
      </c>
      <c r="B1761" s="138">
        <f>'Tax Sched 23'!D5</f>
        <v>166202</v>
      </c>
      <c r="C1761" s="2" t="s">
        <v>573</v>
      </c>
      <c r="D1761" s="2" t="str">
        <f t="shared" si="26"/>
        <v>Error?</v>
      </c>
    </row>
    <row r="1762" spans="1:5" s="8" customFormat="1" x14ac:dyDescent="0.2">
      <c r="A1762" s="5">
        <v>1701</v>
      </c>
      <c r="B1762" s="138">
        <f>'Tax Sched 23'!D6</f>
        <v>238000</v>
      </c>
      <c r="C1762" s="2" t="s">
        <v>573</v>
      </c>
      <c r="D1762" s="2" t="str">
        <f t="shared" si="26"/>
        <v>Error?</v>
      </c>
      <c r="E1762" s="9"/>
    </row>
    <row r="1763" spans="1:5" x14ac:dyDescent="0.2">
      <c r="A1763" s="5">
        <v>1702</v>
      </c>
      <c r="B1763" s="138">
        <f>'Tax Sched 23'!D7</f>
        <v>66481</v>
      </c>
      <c r="C1763" s="2" t="s">
        <v>573</v>
      </c>
      <c r="D1763" s="2" t="str">
        <f t="shared" si="26"/>
        <v>Error?</v>
      </c>
    </row>
    <row r="1764" spans="1:5" x14ac:dyDescent="0.2">
      <c r="A1764" s="5">
        <v>1703</v>
      </c>
      <c r="B1764" s="138">
        <f>'Tax Sched 23'!D8</f>
        <v>105770</v>
      </c>
      <c r="C1764" s="2" t="s">
        <v>573</v>
      </c>
      <c r="D1764" s="2" t="str">
        <f t="shared" si="26"/>
        <v>Error?</v>
      </c>
    </row>
    <row r="1765" spans="1:5" x14ac:dyDescent="0.2">
      <c r="A1765" s="5">
        <v>1704</v>
      </c>
      <c r="B1765" s="138">
        <f>'Tax Sched 23'!D10</f>
        <v>16621</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239064</v>
      </c>
      <c r="C1768" s="2" t="s">
        <v>573</v>
      </c>
      <c r="D1768" s="2" t="str">
        <f t="shared" si="26"/>
        <v>Error?</v>
      </c>
    </row>
    <row r="1769" spans="1:5" x14ac:dyDescent="0.2">
      <c r="A1769" s="5">
        <v>1708</v>
      </c>
      <c r="B1769" s="138">
        <f>'Tax Sched 23'!D12</f>
        <v>16621</v>
      </c>
      <c r="C1769" s="2" t="s">
        <v>573</v>
      </c>
      <c r="D1769" s="2" t="str">
        <f t="shared" si="26"/>
        <v>Error?</v>
      </c>
    </row>
    <row r="1770" spans="1:5" x14ac:dyDescent="0.2">
      <c r="A1770" s="5">
        <v>1709</v>
      </c>
      <c r="B1770" s="138">
        <f>'Tax Sched 23'!D14</f>
        <v>13296</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1773065</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835461</v>
      </c>
      <c r="C1792" s="2" t="s">
        <v>573</v>
      </c>
      <c r="D1792" s="2" t="str">
        <f t="shared" si="27"/>
        <v>Error?</v>
      </c>
    </row>
    <row r="1793" spans="1:4" x14ac:dyDescent="0.2">
      <c r="A1793" s="5">
        <v>1732</v>
      </c>
      <c r="B1793" s="138">
        <f>'Tax Sched 23'!F5</f>
        <v>171201</v>
      </c>
      <c r="C1793" s="2" t="s">
        <v>573</v>
      </c>
      <c r="D1793" s="2" t="str">
        <f t="shared" si="27"/>
        <v>Error?</v>
      </c>
    </row>
    <row r="1794" spans="1:4" x14ac:dyDescent="0.2">
      <c r="A1794" s="5">
        <v>1733</v>
      </c>
      <c r="B1794" s="138">
        <f>'Tax Sched 23'!F6</f>
        <v>234032</v>
      </c>
      <c r="C1794" s="2" t="s">
        <v>573</v>
      </c>
      <c r="D1794" s="2" t="str">
        <f t="shared" si="27"/>
        <v>Error?</v>
      </c>
    </row>
    <row r="1795" spans="1:4" x14ac:dyDescent="0.2">
      <c r="A1795" s="5">
        <v>1734</v>
      </c>
      <c r="B1795" s="138">
        <f>'Tax Sched 23'!F7</f>
        <v>68480</v>
      </c>
      <c r="C1795" s="2" t="s">
        <v>573</v>
      </c>
      <c r="D1795" s="2" t="str">
        <f t="shared" si="27"/>
        <v>Error?</v>
      </c>
    </row>
    <row r="1796" spans="1:4" x14ac:dyDescent="0.2">
      <c r="A1796" s="5">
        <v>1735</v>
      </c>
      <c r="B1796" s="138">
        <f>'Tax Sched 23'!F8</f>
        <v>109021</v>
      </c>
      <c r="C1796" s="2" t="s">
        <v>573</v>
      </c>
      <c r="D1796" s="2" t="str">
        <f t="shared" si="27"/>
        <v>Error?</v>
      </c>
    </row>
    <row r="1797" spans="1:4" x14ac:dyDescent="0.2">
      <c r="A1797" s="5">
        <v>1736</v>
      </c>
      <c r="B1797" s="138">
        <f>'Tax Sched 23'!F10</f>
        <v>17120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250022</v>
      </c>
      <c r="C1800" s="2" t="s">
        <v>573</v>
      </c>
      <c r="D1800" s="2" t="str">
        <f t="shared" si="27"/>
        <v>Error?</v>
      </c>
    </row>
    <row r="1801" spans="1:4" x14ac:dyDescent="0.2">
      <c r="A1801" s="5">
        <v>1740</v>
      </c>
      <c r="B1801" s="138">
        <f>'Tax Sched 23'!F12</f>
        <v>17120</v>
      </c>
      <c r="C1801" s="2" t="s">
        <v>573</v>
      </c>
      <c r="D1801" s="2" t="str">
        <f t="shared" si="27"/>
        <v>Error?</v>
      </c>
    </row>
    <row r="1802" spans="1:4" x14ac:dyDescent="0.2">
      <c r="A1802" s="5">
        <v>1741</v>
      </c>
      <c r="B1802" s="138">
        <f>'Tax Sched 23'!F14</f>
        <v>13696</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1820209</v>
      </c>
      <c r="C1807" s="2" t="s">
        <v>573</v>
      </c>
      <c r="D1807" s="2" t="str">
        <f t="shared" si="27"/>
        <v>Error?</v>
      </c>
    </row>
    <row r="1808" spans="1:4" x14ac:dyDescent="0.2">
      <c r="A1808" s="5">
        <v>1747</v>
      </c>
      <c r="B1808" s="138">
        <f>'Tax Sched 23'!E4</f>
        <v>835461</v>
      </c>
      <c r="D1808" s="2" t="str">
        <f t="shared" si="27"/>
        <v>Error?</v>
      </c>
    </row>
    <row r="1809" spans="1:4" x14ac:dyDescent="0.2">
      <c r="A1809" s="5">
        <v>1748</v>
      </c>
      <c r="B1809" s="138">
        <f>'Tax Sched 23'!E5</f>
        <v>171201</v>
      </c>
      <c r="D1809" s="2" t="str">
        <f t="shared" si="27"/>
        <v>Error?</v>
      </c>
    </row>
    <row r="1810" spans="1:4" x14ac:dyDescent="0.2">
      <c r="A1810" s="5">
        <v>1749</v>
      </c>
      <c r="B1810" s="138">
        <f>'Tax Sched 23'!E6</f>
        <v>234032</v>
      </c>
      <c r="D1810" s="2" t="str">
        <f t="shared" si="27"/>
        <v>Error?</v>
      </c>
    </row>
    <row r="1811" spans="1:4" x14ac:dyDescent="0.2">
      <c r="A1811" s="5">
        <v>1750</v>
      </c>
      <c r="B1811" s="138">
        <f>'Tax Sched 23'!E7</f>
        <v>68480</v>
      </c>
      <c r="D1811" s="2" t="str">
        <f t="shared" si="27"/>
        <v>Error?</v>
      </c>
    </row>
    <row r="1812" spans="1:4" x14ac:dyDescent="0.2">
      <c r="A1812" s="5">
        <v>1751</v>
      </c>
      <c r="B1812" s="138">
        <f>'Tax Sched 23'!E8</f>
        <v>109021</v>
      </c>
      <c r="D1812" s="2" t="str">
        <f t="shared" si="27"/>
        <v>Error?</v>
      </c>
    </row>
    <row r="1813" spans="1:4" x14ac:dyDescent="0.2">
      <c r="A1813" s="5">
        <v>1752</v>
      </c>
      <c r="B1813" s="138">
        <f>'Tax Sched 23'!E10</f>
        <v>17120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250022</v>
      </c>
      <c r="D1816" s="2" t="str">
        <f t="shared" si="27"/>
        <v>Error?</v>
      </c>
    </row>
    <row r="1817" spans="1:4" x14ac:dyDescent="0.2">
      <c r="A1817" s="5">
        <v>1756</v>
      </c>
      <c r="B1817" s="138">
        <f>'Tax Sched 23'!E12</f>
        <v>17120</v>
      </c>
      <c r="D1817" s="2" t="str">
        <f t="shared" si="27"/>
        <v>Error?</v>
      </c>
    </row>
    <row r="1818" spans="1:4" x14ac:dyDescent="0.2">
      <c r="A1818" s="5">
        <v>1757</v>
      </c>
      <c r="B1818" s="138">
        <f>'Tax Sched 23'!E14</f>
        <v>13696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1820209</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1206224</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13296</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13296</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13296</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20000</v>
      </c>
      <c r="D2008" s="2" t="str">
        <f t="shared" si="30"/>
        <v>Error?</v>
      </c>
    </row>
    <row r="2009" spans="1:4" x14ac:dyDescent="0.2">
      <c r="A2009" s="5">
        <v>1948</v>
      </c>
      <c r="B2009" s="138">
        <f>'Cap Outlay Deprec 26'!C8</f>
        <v>9409267</v>
      </c>
      <c r="D2009" s="2" t="str">
        <f t="shared" si="30"/>
        <v>Error?</v>
      </c>
    </row>
    <row r="2010" spans="1:4" x14ac:dyDescent="0.2">
      <c r="A2010" s="5">
        <v>1949</v>
      </c>
      <c r="B2010" s="138">
        <f>'Cap Outlay Deprec 26'!C10</f>
        <v>18751</v>
      </c>
      <c r="D2010" s="2" t="str">
        <f t="shared" si="30"/>
        <v>Error?</v>
      </c>
    </row>
    <row r="2011" spans="1:4" x14ac:dyDescent="0.2">
      <c r="A2011" s="5">
        <v>1950</v>
      </c>
      <c r="B2011" s="138">
        <f>'Cap Outlay Deprec 26'!C12</f>
        <v>318886</v>
      </c>
      <c r="D2011" s="2" t="str">
        <f t="shared" si="30"/>
        <v>Error?</v>
      </c>
    </row>
    <row r="2012" spans="1:4" x14ac:dyDescent="0.2">
      <c r="A2012" s="5">
        <v>1951</v>
      </c>
      <c r="B2012" s="138">
        <f>'Cap Outlay Deprec 26'!C13</f>
        <v>448218</v>
      </c>
      <c r="D2012" s="2" t="str">
        <f t="shared" si="30"/>
        <v>Error?</v>
      </c>
    </row>
    <row r="2013" spans="1:4" x14ac:dyDescent="0.2">
      <c r="A2013" s="5">
        <v>1952</v>
      </c>
      <c r="B2013" s="138">
        <f>'Cap Outlay Deprec 26'!C16</f>
        <v>10217101</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7376</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100065</v>
      </c>
      <c r="D2017" s="2" t="str">
        <f t="shared" si="30"/>
        <v>Error?</v>
      </c>
    </row>
    <row r="2018" spans="1:4" x14ac:dyDescent="0.2">
      <c r="A2018" s="5">
        <v>1957</v>
      </c>
      <c r="B2018" s="138">
        <f>'Cap Outlay Deprec 26'!D13</f>
        <v>90672</v>
      </c>
      <c r="D2018" s="2" t="str">
        <f t="shared" si="30"/>
        <v>Error?</v>
      </c>
    </row>
    <row r="2019" spans="1:4" x14ac:dyDescent="0.2">
      <c r="A2019" s="5">
        <v>1958</v>
      </c>
      <c r="B2019" s="138">
        <f>'Cap Outlay Deprec 26'!D16</f>
        <v>198113</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20228</v>
      </c>
      <c r="D2023" s="2" t="str">
        <f t="shared" si="30"/>
        <v>Error?</v>
      </c>
    </row>
    <row r="2024" spans="1:4" x14ac:dyDescent="0.2">
      <c r="A2024" s="5">
        <v>1963</v>
      </c>
      <c r="B2024" s="138">
        <f>'Cap Outlay Deprec 26'!E13</f>
        <v>114253</v>
      </c>
      <c r="D2024" s="2" t="str">
        <f t="shared" si="30"/>
        <v>Error?</v>
      </c>
    </row>
    <row r="2025" spans="1:4" x14ac:dyDescent="0.2">
      <c r="A2025" s="5">
        <v>1964</v>
      </c>
      <c r="B2025" s="138">
        <f>'Cap Outlay Deprec 26'!E16</f>
        <v>134481</v>
      </c>
      <c r="C2025" s="2" t="s">
        <v>573</v>
      </c>
      <c r="D2025" s="2" t="str">
        <f t="shared" si="30"/>
        <v>Error?</v>
      </c>
    </row>
    <row r="2026" spans="1:4" x14ac:dyDescent="0.2">
      <c r="A2026" s="5">
        <v>1965</v>
      </c>
      <c r="B2026" s="138">
        <f>'Cap Outlay Deprec 26'!F5</f>
        <v>20000</v>
      </c>
      <c r="C2026" s="2" t="s">
        <v>573</v>
      </c>
      <c r="D2026" s="2" t="str">
        <f t="shared" si="30"/>
        <v>Error?</v>
      </c>
    </row>
    <row r="2027" spans="1:4" x14ac:dyDescent="0.2">
      <c r="A2027" s="5">
        <v>1966</v>
      </c>
      <c r="B2027" s="138">
        <f>'Cap Outlay Deprec 26'!F8</f>
        <v>9416643</v>
      </c>
      <c r="C2027" s="2" t="s">
        <v>573</v>
      </c>
      <c r="D2027" s="2" t="str">
        <f t="shared" si="30"/>
        <v>Error?</v>
      </c>
    </row>
    <row r="2028" spans="1:4" x14ac:dyDescent="0.2">
      <c r="A2028" s="5">
        <v>1967</v>
      </c>
      <c r="B2028" s="138">
        <f>'Cap Outlay Deprec 26'!F10</f>
        <v>18751</v>
      </c>
      <c r="C2028" s="2" t="s">
        <v>573</v>
      </c>
      <c r="D2028" s="2" t="str">
        <f t="shared" si="30"/>
        <v>Error?</v>
      </c>
    </row>
    <row r="2029" spans="1:4" x14ac:dyDescent="0.2">
      <c r="A2029" s="5">
        <v>1968</v>
      </c>
      <c r="B2029" s="138">
        <f>'Cap Outlay Deprec 26'!F12</f>
        <v>398723</v>
      </c>
      <c r="C2029" s="2" t="s">
        <v>573</v>
      </c>
      <c r="D2029" s="2" t="str">
        <f t="shared" si="30"/>
        <v>Error?</v>
      </c>
    </row>
    <row r="2030" spans="1:4" x14ac:dyDescent="0.2">
      <c r="A2030" s="5">
        <v>1969</v>
      </c>
      <c r="B2030" s="138">
        <f>'Cap Outlay Deprec 26'!F13</f>
        <v>424637</v>
      </c>
      <c r="C2030" s="2" t="s">
        <v>573</v>
      </c>
      <c r="D2030" s="2" t="str">
        <f t="shared" si="30"/>
        <v>Error?</v>
      </c>
    </row>
    <row r="2031" spans="1:4" x14ac:dyDescent="0.2">
      <c r="A2031" s="5">
        <v>1970</v>
      </c>
      <c r="B2031" s="138">
        <f>'Cap Outlay Deprec 26'!F16</f>
        <v>10280733</v>
      </c>
      <c r="C2031" s="2" t="s">
        <v>573</v>
      </c>
      <c r="D2031" s="2" t="str">
        <f t="shared" si="30"/>
        <v>Error?</v>
      </c>
    </row>
    <row r="2032" spans="1:4" x14ac:dyDescent="0.2">
      <c r="A2032" s="10">
        <v>1971</v>
      </c>
      <c r="D2032" s="2" t="str">
        <f t="shared" si="30"/>
        <v>OK</v>
      </c>
    </row>
    <row r="2033" spans="1:4" x14ac:dyDescent="0.2">
      <c r="A2033" s="5">
        <v>1972</v>
      </c>
      <c r="B2033" s="138">
        <f>'Cap Outlay Deprec 26'!H8</f>
        <v>3017341</v>
      </c>
      <c r="D2033" s="2" t="str">
        <f t="shared" si="30"/>
        <v>Error?</v>
      </c>
    </row>
    <row r="2034" spans="1:4" x14ac:dyDescent="0.2">
      <c r="A2034" s="5">
        <v>1973</v>
      </c>
      <c r="B2034" s="138">
        <f>'Cap Outlay Deprec 26'!H10</f>
        <v>7028</v>
      </c>
      <c r="D2034" s="2" t="str">
        <f t="shared" si="30"/>
        <v>Error?</v>
      </c>
    </row>
    <row r="2035" spans="1:4" x14ac:dyDescent="0.2">
      <c r="A2035" s="5">
        <v>1974</v>
      </c>
      <c r="B2035" s="138">
        <f>'Cap Outlay Deprec 26'!H12</f>
        <v>96861</v>
      </c>
      <c r="D2035" s="2" t="str">
        <f t="shared" si="30"/>
        <v>Error?</v>
      </c>
    </row>
    <row r="2036" spans="1:4" x14ac:dyDescent="0.2">
      <c r="A2036" s="5">
        <v>1975</v>
      </c>
      <c r="B2036" s="138">
        <f>'Cap Outlay Deprec 26'!H13</f>
        <v>370657</v>
      </c>
      <c r="D2036" s="2" t="str">
        <f t="shared" si="30"/>
        <v>Error?</v>
      </c>
    </row>
    <row r="2037" spans="1:4" x14ac:dyDescent="0.2">
      <c r="A2037" s="5">
        <v>1976</v>
      </c>
      <c r="B2037" s="138">
        <f>'Cap Outlay Deprec 26'!H16</f>
        <v>3493866</v>
      </c>
      <c r="C2037" s="2" t="s">
        <v>573</v>
      </c>
      <c r="D2037" s="2" t="str">
        <f t="shared" si="30"/>
        <v>Error?</v>
      </c>
    </row>
    <row r="2038" spans="1:4" x14ac:dyDescent="0.2">
      <c r="A2038" s="10">
        <v>1977</v>
      </c>
      <c r="D2038" s="2" t="str">
        <f t="shared" si="30"/>
        <v>OK</v>
      </c>
    </row>
    <row r="2039" spans="1:4" x14ac:dyDescent="0.2">
      <c r="A2039" s="5">
        <v>1978</v>
      </c>
      <c r="B2039" s="138">
        <f>'Cap Outlay Deprec 26'!I8</f>
        <v>188210</v>
      </c>
      <c r="D2039" s="2" t="str">
        <f t="shared" si="30"/>
        <v>Error?</v>
      </c>
    </row>
    <row r="2040" spans="1:4" x14ac:dyDescent="0.2">
      <c r="A2040" s="5">
        <v>1979</v>
      </c>
      <c r="B2040" s="138">
        <f>'Cap Outlay Deprec 26'!I10</f>
        <v>938</v>
      </c>
      <c r="D2040" s="2" t="str">
        <f t="shared" si="30"/>
        <v>Error?</v>
      </c>
    </row>
    <row r="2041" spans="1:4" x14ac:dyDescent="0.2">
      <c r="A2041" s="5">
        <v>1980</v>
      </c>
      <c r="B2041" s="138">
        <f>'Cap Outlay Deprec 26'!I12</f>
        <v>36249</v>
      </c>
      <c r="D2041" s="2" t="str">
        <f t="shared" si="30"/>
        <v>Error?</v>
      </c>
    </row>
    <row r="2042" spans="1:4" x14ac:dyDescent="0.2">
      <c r="A2042" s="5">
        <v>1981</v>
      </c>
      <c r="B2042" s="138">
        <f>'Cap Outlay Deprec 26'!I13</f>
        <v>33284</v>
      </c>
      <c r="D2042" s="2" t="str">
        <f t="shared" si="30"/>
        <v>Error?</v>
      </c>
    </row>
    <row r="2043" spans="1:4" x14ac:dyDescent="0.2">
      <c r="A2043" s="5">
        <v>1982</v>
      </c>
      <c r="B2043" s="138">
        <f>'Cap Outlay Deprec 26'!I16</f>
        <v>258681</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20228</v>
      </c>
      <c r="D2047" s="2" t="str">
        <f t="shared" ref="D2047:D2110" si="31">IF(ISBLANK(B2047),"OK",IF(A2047-B2047=0,"OK","Error?"))</f>
        <v>Error?</v>
      </c>
    </row>
    <row r="2048" spans="1:4" x14ac:dyDescent="0.2">
      <c r="A2048" s="5">
        <v>1987</v>
      </c>
      <c r="B2048" s="138">
        <f>'Cap Outlay Deprec 26'!J13</f>
        <v>91811</v>
      </c>
      <c r="D2048" s="2" t="str">
        <f t="shared" si="31"/>
        <v>Error?</v>
      </c>
    </row>
    <row r="2049" spans="1:4" x14ac:dyDescent="0.2">
      <c r="A2049" s="5">
        <v>1988</v>
      </c>
      <c r="B2049" s="138">
        <f>'Cap Outlay Deprec 26'!J16</f>
        <v>112039</v>
      </c>
      <c r="C2049" s="2" t="s">
        <v>573</v>
      </c>
      <c r="D2049" s="2" t="str">
        <f t="shared" si="31"/>
        <v>Error?</v>
      </c>
    </row>
    <row r="2050" spans="1:4" x14ac:dyDescent="0.2">
      <c r="A2050" s="10">
        <v>1989</v>
      </c>
      <c r="D2050" s="2" t="str">
        <f t="shared" si="31"/>
        <v>OK</v>
      </c>
    </row>
    <row r="2051" spans="1:4" x14ac:dyDescent="0.2">
      <c r="A2051" s="5">
        <v>1990</v>
      </c>
      <c r="B2051" s="138">
        <f>'Cap Outlay Deprec 26'!K8</f>
        <v>3205551</v>
      </c>
      <c r="C2051" s="2" t="s">
        <v>573</v>
      </c>
      <c r="D2051" s="2" t="str">
        <f t="shared" si="31"/>
        <v>Error?</v>
      </c>
    </row>
    <row r="2052" spans="1:4" x14ac:dyDescent="0.2">
      <c r="A2052" s="5">
        <v>1991</v>
      </c>
      <c r="B2052" s="138">
        <f>'Cap Outlay Deprec 26'!K10</f>
        <v>7966</v>
      </c>
      <c r="C2052" s="2" t="s">
        <v>573</v>
      </c>
      <c r="D2052" s="2" t="str">
        <f t="shared" si="31"/>
        <v>Error?</v>
      </c>
    </row>
    <row r="2053" spans="1:4" x14ac:dyDescent="0.2">
      <c r="A2053" s="5">
        <v>1992</v>
      </c>
      <c r="B2053" s="138">
        <f>'Cap Outlay Deprec 26'!K12</f>
        <v>112882</v>
      </c>
      <c r="C2053" s="2" t="s">
        <v>573</v>
      </c>
      <c r="D2053" s="2" t="str">
        <f t="shared" si="31"/>
        <v>Error?</v>
      </c>
    </row>
    <row r="2054" spans="1:4" x14ac:dyDescent="0.2">
      <c r="A2054" s="5">
        <v>1993</v>
      </c>
      <c r="B2054" s="138">
        <f>'Cap Outlay Deprec 26'!K13</f>
        <v>312130</v>
      </c>
      <c r="C2054" s="2" t="s">
        <v>573</v>
      </c>
      <c r="D2054" s="2" t="str">
        <f t="shared" si="31"/>
        <v>Error?</v>
      </c>
    </row>
    <row r="2055" spans="1:4" x14ac:dyDescent="0.2">
      <c r="A2055" s="5">
        <v>1994</v>
      </c>
      <c r="B2055" s="138">
        <f>'Cap Outlay Deprec 26'!K16</f>
        <v>3640508</v>
      </c>
      <c r="C2055" s="2" t="s">
        <v>573</v>
      </c>
      <c r="D2055" s="2" t="str">
        <f t="shared" si="31"/>
        <v>Error?</v>
      </c>
    </row>
    <row r="2056" spans="1:4" x14ac:dyDescent="0.2">
      <c r="A2056" s="5">
        <v>1995</v>
      </c>
      <c r="B2056" s="138">
        <f>'Cap Outlay Deprec 26'!L5</f>
        <v>20000</v>
      </c>
      <c r="C2056" s="2" t="s">
        <v>573</v>
      </c>
      <c r="D2056" s="2" t="str">
        <f t="shared" si="31"/>
        <v>Error?</v>
      </c>
    </row>
    <row r="2057" spans="1:4" x14ac:dyDescent="0.2">
      <c r="A2057" s="5">
        <v>1996</v>
      </c>
      <c r="B2057" s="138">
        <f>'Cap Outlay Deprec 26'!L8</f>
        <v>6211092</v>
      </c>
      <c r="C2057" s="2" t="s">
        <v>573</v>
      </c>
      <c r="D2057" s="2" t="str">
        <f t="shared" si="31"/>
        <v>Error?</v>
      </c>
    </row>
    <row r="2058" spans="1:4" x14ac:dyDescent="0.2">
      <c r="A2058" s="5">
        <v>1997</v>
      </c>
      <c r="B2058" s="138">
        <f>'Cap Outlay Deprec 26'!L10</f>
        <v>10785</v>
      </c>
      <c r="C2058" s="2" t="s">
        <v>573</v>
      </c>
      <c r="D2058" s="2" t="str">
        <f t="shared" si="31"/>
        <v>Error?</v>
      </c>
    </row>
    <row r="2059" spans="1:4" x14ac:dyDescent="0.2">
      <c r="A2059" s="5">
        <v>1998</v>
      </c>
      <c r="B2059" s="138">
        <f>'Cap Outlay Deprec 26'!L12</f>
        <v>285841</v>
      </c>
      <c r="C2059" s="2" t="s">
        <v>573</v>
      </c>
      <c r="D2059" s="2" t="str">
        <f t="shared" si="31"/>
        <v>Error?</v>
      </c>
    </row>
    <row r="2060" spans="1:4" x14ac:dyDescent="0.2">
      <c r="A2060" s="5">
        <v>1999</v>
      </c>
      <c r="B2060" s="138">
        <f>'Cap Outlay Deprec 26'!L13</f>
        <v>112507</v>
      </c>
      <c r="C2060" s="2" t="s">
        <v>573</v>
      </c>
      <c r="D2060" s="2" t="str">
        <f t="shared" si="31"/>
        <v>Error?</v>
      </c>
    </row>
    <row r="2061" spans="1:4" x14ac:dyDescent="0.2">
      <c r="A2061" s="5">
        <v>2000</v>
      </c>
      <c r="B2061" s="138">
        <f>'Cap Outlay Deprec 26'!L16</f>
        <v>6640225</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84102</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84102</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154269</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997708</v>
      </c>
      <c r="C2551" s="2" t="s">
        <v>573</v>
      </c>
      <c r="D2551" s="2" t="str">
        <f t="shared" si="38"/>
        <v>Error?</v>
      </c>
    </row>
    <row r="2552" spans="1:4" x14ac:dyDescent="0.2">
      <c r="A2552" s="10">
        <v>2491</v>
      </c>
      <c r="D2552" s="2" t="str">
        <f t="shared" si="38"/>
        <v>OK</v>
      </c>
    </row>
    <row r="2553" spans="1:4" x14ac:dyDescent="0.2">
      <c r="A2553" s="5">
        <v>2492</v>
      </c>
      <c r="B2553" s="138">
        <f>'Acct Summary 7-8'!C6</f>
        <v>1306880</v>
      </c>
      <c r="C2553" s="2" t="s">
        <v>573</v>
      </c>
      <c r="D2553" s="2" t="str">
        <f t="shared" si="38"/>
        <v>Error?</v>
      </c>
    </row>
    <row r="2554" spans="1:4" x14ac:dyDescent="0.2">
      <c r="A2554" s="5">
        <v>2493</v>
      </c>
      <c r="B2554" s="138">
        <f>'Acct Summary 7-8'!C7</f>
        <v>343514</v>
      </c>
      <c r="C2554" s="2" t="s">
        <v>573</v>
      </c>
      <c r="D2554" s="2" t="str">
        <f t="shared" si="38"/>
        <v>Error?</v>
      </c>
    </row>
    <row r="2555" spans="1:4" x14ac:dyDescent="0.2">
      <c r="A2555" s="5">
        <v>2494</v>
      </c>
      <c r="B2555" s="138">
        <f>'Acct Summary 7-8'!C8</f>
        <v>2648102</v>
      </c>
      <c r="C2555" s="2" t="s">
        <v>573</v>
      </c>
      <c r="D2555" s="2" t="str">
        <f t="shared" si="38"/>
        <v>Error?</v>
      </c>
    </row>
    <row r="2556" spans="1:4" x14ac:dyDescent="0.2">
      <c r="A2556" s="5">
        <v>2495</v>
      </c>
      <c r="B2556" s="138">
        <f>'Acct Summary 7-8'!C12</f>
        <v>1589641</v>
      </c>
      <c r="C2556" s="2" t="s">
        <v>573</v>
      </c>
      <c r="D2556" s="2" t="str">
        <f t="shared" si="38"/>
        <v>Error?</v>
      </c>
    </row>
    <row r="2557" spans="1:4" x14ac:dyDescent="0.2">
      <c r="A2557" s="5">
        <v>2496</v>
      </c>
      <c r="B2557" s="138">
        <f>'Acct Summary 7-8'!C13</f>
        <v>980881</v>
      </c>
      <c r="C2557" s="2" t="s">
        <v>573</v>
      </c>
      <c r="D2557" s="2" t="str">
        <f t="shared" si="38"/>
        <v>Error?</v>
      </c>
    </row>
    <row r="2558" spans="1:4" x14ac:dyDescent="0.2">
      <c r="A2558" s="5">
        <v>2497</v>
      </c>
      <c r="B2558" s="138">
        <f>'Acct Summary 7-8'!C14</f>
        <v>4975</v>
      </c>
      <c r="C2558" s="2" t="s">
        <v>573</v>
      </c>
      <c r="D2558" s="2" t="str">
        <f t="shared" si="38"/>
        <v>Error?</v>
      </c>
    </row>
    <row r="2559" spans="1:4" x14ac:dyDescent="0.2">
      <c r="A2559" s="5">
        <v>2498</v>
      </c>
      <c r="B2559" s="138">
        <f>'Acct Summary 7-8'!C15</f>
        <v>84102</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2659599</v>
      </c>
      <c r="C2561" s="2" t="s">
        <v>573</v>
      </c>
      <c r="D2561" s="2" t="str">
        <f t="shared" si="39"/>
        <v>Error?</v>
      </c>
    </row>
    <row r="2562" spans="1:4" x14ac:dyDescent="0.2">
      <c r="A2562" s="5">
        <v>2501</v>
      </c>
      <c r="B2562" s="138">
        <f>'Acct Summary 7-8'!C20</f>
        <v>-11497</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173274</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173274</v>
      </c>
      <c r="C2568" s="2" t="s">
        <v>573</v>
      </c>
      <c r="D2568" s="2" t="str">
        <f t="shared" si="39"/>
        <v>Error?</v>
      </c>
    </row>
    <row r="2569" spans="1:4" x14ac:dyDescent="0.2">
      <c r="A2569" s="5">
        <v>2508</v>
      </c>
      <c r="B2569" s="138">
        <f>'Acct Summary 7-8'!D13</f>
        <v>263689</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363</v>
      </c>
      <c r="C2572" s="2" t="s">
        <v>573</v>
      </c>
      <c r="D2572" s="2" t="str">
        <f t="shared" si="39"/>
        <v>Error?</v>
      </c>
    </row>
    <row r="2573" spans="1:4" x14ac:dyDescent="0.2">
      <c r="A2573" s="5">
        <v>2512</v>
      </c>
      <c r="B2573" s="138">
        <f>'Acct Summary 7-8'!D17</f>
        <v>264052</v>
      </c>
      <c r="C2573" s="2" t="s">
        <v>573</v>
      </c>
      <c r="D2573" s="2" t="str">
        <f t="shared" si="39"/>
        <v>Error?</v>
      </c>
    </row>
    <row r="2574" spans="1:4" x14ac:dyDescent="0.2">
      <c r="A2574" s="5">
        <v>2513</v>
      </c>
      <c r="B2574" s="138">
        <f>'Acct Summary 7-8'!D20</f>
        <v>-90778</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69912</v>
      </c>
      <c r="C2591" s="2" t="s">
        <v>573</v>
      </c>
      <c r="D2591" s="2" t="str">
        <f t="shared" si="39"/>
        <v>Error?</v>
      </c>
    </row>
    <row r="2592" spans="1:4" x14ac:dyDescent="0.2">
      <c r="A2592" s="10">
        <v>2531</v>
      </c>
      <c r="D2592" s="2" t="str">
        <f t="shared" si="39"/>
        <v>OK</v>
      </c>
    </row>
    <row r="2593" spans="1:4" x14ac:dyDescent="0.2">
      <c r="A2593" s="5">
        <v>2532</v>
      </c>
      <c r="B2593" s="138">
        <f>'Acct Summary 7-8'!F6</f>
        <v>72500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142412</v>
      </c>
      <c r="C2595" s="2" t="s">
        <v>573</v>
      </c>
      <c r="D2595" s="2" t="str">
        <f t="shared" si="39"/>
        <v>Error?</v>
      </c>
    </row>
    <row r="2596" spans="1:4" x14ac:dyDescent="0.2">
      <c r="A2596" s="5">
        <v>2535</v>
      </c>
      <c r="B2596" s="138">
        <f>'Acct Summary 7-8'!F13</f>
        <v>223413</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25812</v>
      </c>
      <c r="C2599" s="2" t="s">
        <v>573</v>
      </c>
      <c r="D2599" s="2" t="str">
        <f t="shared" si="39"/>
        <v>Error?</v>
      </c>
    </row>
    <row r="2600" spans="1:4" x14ac:dyDescent="0.2">
      <c r="A2600" s="5">
        <v>2539</v>
      </c>
      <c r="B2600" s="138">
        <f>'Acct Summary 7-8'!F17</f>
        <v>249225</v>
      </c>
      <c r="C2600" s="2" t="s">
        <v>573</v>
      </c>
      <c r="D2600" s="2" t="str">
        <f t="shared" si="39"/>
        <v>Error?</v>
      </c>
    </row>
    <row r="2601" spans="1:4" x14ac:dyDescent="0.2">
      <c r="A2601" s="5">
        <v>2540</v>
      </c>
      <c r="B2601" s="138">
        <f>'Acct Summary 7-8'!F20</f>
        <v>-106813</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196104</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196104</v>
      </c>
      <c r="C2606" s="2" t="s">
        <v>573</v>
      </c>
      <c r="D2606" s="2" t="str">
        <f t="shared" si="39"/>
        <v>Error?</v>
      </c>
    </row>
    <row r="2607" spans="1:4" x14ac:dyDescent="0.2">
      <c r="A2607" s="5">
        <v>2546</v>
      </c>
      <c r="B2607" s="138">
        <f>'Acct Summary 7-8'!G12</f>
        <v>40970</v>
      </c>
      <c r="C2607" s="2" t="s">
        <v>573</v>
      </c>
      <c r="D2607" s="2" t="str">
        <f t="shared" si="39"/>
        <v>Error?</v>
      </c>
    </row>
    <row r="2608" spans="1:4" x14ac:dyDescent="0.2">
      <c r="A2608" s="5">
        <v>2547</v>
      </c>
      <c r="B2608" s="138">
        <f>'Acct Summary 7-8'!G13</f>
        <v>63979</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104949</v>
      </c>
      <c r="C2612" s="2" t="s">
        <v>573</v>
      </c>
      <c r="D2612" s="2" t="str">
        <f t="shared" si="39"/>
        <v>Error?</v>
      </c>
    </row>
    <row r="2613" spans="1:4" x14ac:dyDescent="0.2">
      <c r="A2613" s="5">
        <v>2552</v>
      </c>
      <c r="B2613" s="138">
        <f>'Acct Summary 7-8'!G20</f>
        <v>91155</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238498</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238498</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248337</v>
      </c>
      <c r="C2634" s="2" t="s">
        <v>573</v>
      </c>
      <c r="D2634" s="2" t="str">
        <f t="shared" si="40"/>
        <v>Error?</v>
      </c>
    </row>
    <row r="2635" spans="1:4" x14ac:dyDescent="0.2">
      <c r="A2635" s="5">
        <v>2574</v>
      </c>
      <c r="B2635" s="138">
        <f>'Acct Summary 7-8'!E17</f>
        <v>248337</v>
      </c>
      <c r="C2635" s="2" t="s">
        <v>573</v>
      </c>
      <c r="D2635" s="2" t="str">
        <f t="shared" si="40"/>
        <v>Error?</v>
      </c>
    </row>
    <row r="2636" spans="1:4" x14ac:dyDescent="0.2">
      <c r="A2636" s="5">
        <v>2575</v>
      </c>
      <c r="B2636" s="138">
        <f>'Acct Summary 7-8'!E20</f>
        <v>-9839</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103085</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77497</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103085</v>
      </c>
      <c r="D2912" s="2" t="str">
        <f t="shared" si="44"/>
        <v>Error?</v>
      </c>
    </row>
    <row r="2913" spans="1:4" x14ac:dyDescent="0.2">
      <c r="A2913" s="5">
        <v>2852</v>
      </c>
      <c r="B2913" s="138">
        <f>'Assets-Liab 5-6'!I41</f>
        <v>103085</v>
      </c>
      <c r="C2913" s="2" t="s">
        <v>573</v>
      </c>
      <c r="D2913" s="2" t="str">
        <f t="shared" si="44"/>
        <v>Error?</v>
      </c>
    </row>
    <row r="2914" spans="1:4" x14ac:dyDescent="0.2">
      <c r="A2914" s="5">
        <v>2853</v>
      </c>
      <c r="B2914" s="138">
        <f>'Assets-Liab 5-6'!L33</f>
        <v>77497</v>
      </c>
      <c r="D2914" s="2" t="str">
        <f t="shared" si="44"/>
        <v>Error?</v>
      </c>
    </row>
    <row r="2915" spans="1:4" x14ac:dyDescent="0.2">
      <c r="A2915" s="10">
        <v>2854</v>
      </c>
      <c r="D2915" s="2" t="str">
        <f t="shared" si="44"/>
        <v>OK</v>
      </c>
    </row>
    <row r="2916" spans="1:4" x14ac:dyDescent="0.2">
      <c r="A2916" s="5">
        <v>2855</v>
      </c>
      <c r="B2916" s="138">
        <f>'Assets-Liab 5-6'!L34</f>
        <v>77497</v>
      </c>
      <c r="C2916" s="2" t="s">
        <v>573</v>
      </c>
      <c r="D2916" s="2" t="str">
        <f t="shared" si="44"/>
        <v>Error?</v>
      </c>
    </row>
    <row r="2917" spans="1:4" x14ac:dyDescent="0.2">
      <c r="A2917" s="5">
        <v>2856</v>
      </c>
      <c r="B2917" s="138">
        <f>'Assets-Liab 5-6'!L41</f>
        <v>77497</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70258</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13844</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70258</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13844</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63110</v>
      </c>
      <c r="D3055" s="2" t="str">
        <f t="shared" si="46"/>
        <v>Error?</v>
      </c>
    </row>
    <row r="3056" spans="1:4" x14ac:dyDescent="0.2">
      <c r="A3056" s="5">
        <v>2995</v>
      </c>
      <c r="B3056" s="138">
        <f>'Expenditures 15-22'!D10</f>
        <v>6661</v>
      </c>
      <c r="D3056" s="2" t="str">
        <f t="shared" si="46"/>
        <v>Error?</v>
      </c>
    </row>
    <row r="3057" spans="1:4" x14ac:dyDescent="0.2">
      <c r="A3057" s="5">
        <v>2996</v>
      </c>
      <c r="B3057" s="138">
        <f>'Expenditures 15-22'!E10</f>
        <v>2700</v>
      </c>
      <c r="D3057" s="2" t="str">
        <f t="shared" si="46"/>
        <v>Error?</v>
      </c>
    </row>
    <row r="3058" spans="1:4" x14ac:dyDescent="0.2">
      <c r="A3058" s="5">
        <v>2997</v>
      </c>
      <c r="B3058" s="138">
        <f>'Expenditures 15-22'!F10</f>
        <v>71047</v>
      </c>
      <c r="D3058" s="2" t="str">
        <f t="shared" si="46"/>
        <v>Error?</v>
      </c>
    </row>
    <row r="3059" spans="1:4" x14ac:dyDescent="0.2">
      <c r="A3059" s="5">
        <v>2998</v>
      </c>
      <c r="B3059" s="138">
        <f>'Expenditures 15-22'!G10</f>
        <v>10188</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153706</v>
      </c>
      <c r="C3062" s="2" t="s">
        <v>573</v>
      </c>
      <c r="D3062" s="2" t="str">
        <f t="shared" si="46"/>
        <v>Error?</v>
      </c>
    </row>
    <row r="3063" spans="1:4" x14ac:dyDescent="0.2">
      <c r="A3063" s="10">
        <v>3002</v>
      </c>
      <c r="D3063" s="2" t="str">
        <f t="shared" si="46"/>
        <v>OK</v>
      </c>
    </row>
    <row r="3064" spans="1:4" x14ac:dyDescent="0.2">
      <c r="A3064" s="5">
        <v>3003</v>
      </c>
      <c r="B3064" s="138">
        <f>'Expenditures 15-22'!D219</f>
        <v>1047</v>
      </c>
      <c r="D3064" s="2" t="str">
        <f t="shared" si="46"/>
        <v>Error?</v>
      </c>
    </row>
    <row r="3065" spans="1:4" x14ac:dyDescent="0.2">
      <c r="A3065" s="5">
        <v>3004</v>
      </c>
      <c r="B3065" s="138">
        <f>'Expenditures 15-22'!K219</f>
        <v>1047</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17399</v>
      </c>
      <c r="C3225" s="2" t="s">
        <v>573</v>
      </c>
      <c r="D3225" s="2" t="str">
        <f t="shared" si="49"/>
        <v>Error?</v>
      </c>
    </row>
    <row r="3226" spans="1:4" x14ac:dyDescent="0.2">
      <c r="A3226" s="5">
        <v>3165</v>
      </c>
      <c r="B3226" s="138">
        <f>'Acct Summary 7-8'!I8</f>
        <v>17399</v>
      </c>
      <c r="C3226" s="2" t="s">
        <v>573</v>
      </c>
      <c r="D3226" s="2" t="str">
        <f t="shared" si="49"/>
        <v>Error?</v>
      </c>
    </row>
    <row r="3227" spans="1:4" x14ac:dyDescent="0.2">
      <c r="A3227" s="5">
        <v>3166</v>
      </c>
      <c r="B3227" s="138">
        <f>'Acct Summary 7-8'!I20</f>
        <v>17399</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8489</v>
      </c>
      <c r="D3230" s="2" t="str">
        <f t="shared" si="49"/>
        <v>Error?</v>
      </c>
    </row>
    <row r="3231" spans="1:4" x14ac:dyDescent="0.2">
      <c r="A3231" s="5">
        <v>3170</v>
      </c>
      <c r="B3231" s="138">
        <f>'Acct Summary 7-8'!C76</f>
        <v>8489</v>
      </c>
      <c r="C3231" s="2" t="s">
        <v>573</v>
      </c>
      <c r="D3231" s="2" t="str">
        <f t="shared" si="49"/>
        <v>Error?</v>
      </c>
    </row>
    <row r="3232" spans="1:4" x14ac:dyDescent="0.2">
      <c r="A3232" s="5">
        <v>3171</v>
      </c>
      <c r="B3232" s="138">
        <f>'Acct Summary 7-8'!C77</f>
        <v>-8489</v>
      </c>
      <c r="C3232" s="2" t="s">
        <v>573</v>
      </c>
      <c r="D3232" s="2" t="str">
        <f t="shared" si="49"/>
        <v>Error?</v>
      </c>
    </row>
    <row r="3233" spans="1:4" x14ac:dyDescent="0.2">
      <c r="A3233" s="5">
        <v>3172</v>
      </c>
      <c r="B3233" s="138">
        <f>'Acct Summary 7-8'!C78</f>
        <v>-19986</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3376</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14411</v>
      </c>
      <c r="C3237" s="2" t="s">
        <v>573</v>
      </c>
      <c r="D3237" s="2" t="str">
        <f t="shared" si="49"/>
        <v>Error?</v>
      </c>
    </row>
    <row r="3238" spans="1:4" x14ac:dyDescent="0.2">
      <c r="A3238" s="5">
        <v>3177</v>
      </c>
      <c r="B3238" s="138">
        <f>'Acct Summary 7-8'!D77</f>
        <v>-11035</v>
      </c>
      <c r="C3238" s="2" t="s">
        <v>573</v>
      </c>
      <c r="D3238" s="2" t="str">
        <f t="shared" si="49"/>
        <v>Error?</v>
      </c>
    </row>
    <row r="3239" spans="1:4" x14ac:dyDescent="0.2">
      <c r="A3239" s="5">
        <v>3178</v>
      </c>
      <c r="B3239" s="138">
        <f>'Acct Summary 7-8'!D78</f>
        <v>-101813</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90672</v>
      </c>
      <c r="D3251" s="2" t="str">
        <f t="shared" si="49"/>
        <v>Error?</v>
      </c>
    </row>
    <row r="3252" spans="1:4" x14ac:dyDescent="0.2">
      <c r="A3252" s="5">
        <v>3191</v>
      </c>
      <c r="B3252" s="138">
        <f>'Acct Summary 7-8'!F44</f>
        <v>98779</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98779</v>
      </c>
      <c r="C3255" s="2" t="s">
        <v>573</v>
      </c>
      <c r="D3255" s="2" t="str">
        <f t="shared" si="49"/>
        <v>Error?</v>
      </c>
    </row>
    <row r="3256" spans="1:4" x14ac:dyDescent="0.2">
      <c r="A3256" s="5">
        <v>3195</v>
      </c>
      <c r="B3256" s="138">
        <f>'Acct Summary 7-8'!F78</f>
        <v>-8034</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91155</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14411</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14411</v>
      </c>
      <c r="C3277" s="2" t="s">
        <v>573</v>
      </c>
      <c r="D3277" s="2" t="str">
        <f t="shared" si="50"/>
        <v>Error?</v>
      </c>
    </row>
    <row r="3278" spans="1:4" x14ac:dyDescent="0.2">
      <c r="A3278" s="5">
        <v>3217</v>
      </c>
      <c r="B3278" s="138">
        <f>'Acct Summary 7-8'!E78</f>
        <v>4572</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17399</v>
      </c>
      <c r="C3320" s="2" t="s">
        <v>573</v>
      </c>
      <c r="D3320" s="2" t="str">
        <f t="shared" si="50"/>
        <v>Error?</v>
      </c>
    </row>
    <row r="3321" spans="1:4" x14ac:dyDescent="0.2">
      <c r="A3321" s="5">
        <v>3260</v>
      </c>
      <c r="B3321" s="138">
        <f>'Acct Summary 7-8'!I79</f>
        <v>85686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103085</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192993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13933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123</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5336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212385</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17399</v>
      </c>
      <c r="D3387" s="2" t="str">
        <f t="shared" si="51"/>
        <v>Error?</v>
      </c>
    </row>
    <row r="3388" spans="1:4" x14ac:dyDescent="0.2">
      <c r="A3388" s="5">
        <v>3327</v>
      </c>
      <c r="B3388" s="138">
        <f>'Expenditures 15-22'!D217</f>
        <v>16883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17399</v>
      </c>
      <c r="C3390" s="2" t="s">
        <v>573</v>
      </c>
      <c r="D3390" s="2" t="str">
        <f t="shared" si="51"/>
        <v>Error?</v>
      </c>
    </row>
    <row r="3391" spans="1:4" x14ac:dyDescent="0.2">
      <c r="A3391" s="5">
        <v>3330</v>
      </c>
      <c r="B3391" s="138">
        <f>'Expenditures 15-22'!K217</f>
        <v>16883</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490691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177810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18822</v>
      </c>
      <c r="D3417" s="2" t="str">
        <f t="shared" si="52"/>
        <v>Error?</v>
      </c>
    </row>
    <row r="3418" spans="1:4" x14ac:dyDescent="0.2">
      <c r="A3418" s="10">
        <v>3357</v>
      </c>
      <c r="D3418" s="2" t="str">
        <f t="shared" si="52"/>
        <v>OK</v>
      </c>
    </row>
    <row r="3419" spans="1:4" x14ac:dyDescent="0.2">
      <c r="A3419" s="5">
        <v>3358</v>
      </c>
      <c r="B3419" s="138">
        <f>'Assets-Liab 5-6'!F4</f>
        <v>37208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512989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103085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77497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83332</v>
      </c>
      <c r="C3446" s="2" t="s">
        <v>573</v>
      </c>
      <c r="D3446" s="2" t="str">
        <f t="shared" si="52"/>
        <v>Error?</v>
      </c>
    </row>
    <row r="3447" spans="1:4" x14ac:dyDescent="0.2">
      <c r="A3447" s="5">
        <v>3386</v>
      </c>
      <c r="B3447" s="138">
        <f>'Tax Sched 23'!D16</f>
        <v>83332</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86936</v>
      </c>
      <c r="C3449" s="2" t="s">
        <v>573</v>
      </c>
      <c r="D3449" s="2" t="str">
        <f t="shared" si="52"/>
        <v>Error?</v>
      </c>
    </row>
    <row r="3450" spans="1:4" x14ac:dyDescent="0.2">
      <c r="A3450" s="5">
        <v>3389</v>
      </c>
      <c r="B3450" s="138">
        <f>'Tax Sched 23'!E16</f>
        <v>86936</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3376</v>
      </c>
      <c r="D3531" s="2" t="str">
        <f t="shared" si="54"/>
        <v>Error?</v>
      </c>
    </row>
    <row r="3532" spans="1:4" x14ac:dyDescent="0.2">
      <c r="A3532" s="5">
        <v>3471</v>
      </c>
      <c r="B3532" s="138">
        <f>'Acct Summary 7-8'!F36</f>
        <v>8107</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95</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95</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95</v>
      </c>
      <c r="D3567" s="2" t="str">
        <f t="shared" si="54"/>
        <v>Error?</v>
      </c>
    </row>
    <row r="3568" spans="1:4" x14ac:dyDescent="0.2">
      <c r="A3568" s="5">
        <v>3507</v>
      </c>
      <c r="B3568" s="138">
        <f>'Assets-Liab 5-6'!K41</f>
        <v>95</v>
      </c>
      <c r="C3568" s="2" t="s">
        <v>573</v>
      </c>
      <c r="D3568" s="2" t="str">
        <f t="shared" si="54"/>
        <v>Error?</v>
      </c>
    </row>
    <row r="3569" spans="1:4" x14ac:dyDescent="0.2">
      <c r="A3569" s="5">
        <v>3508</v>
      </c>
      <c r="B3569" s="138">
        <f>'Acct Summary 7-8'!K4</f>
        <v>16681</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16681</v>
      </c>
      <c r="C3571" s="2" t="s">
        <v>573</v>
      </c>
      <c r="D3571" s="2" t="str">
        <f t="shared" si="54"/>
        <v>Error?</v>
      </c>
    </row>
    <row r="3572" spans="1:4" x14ac:dyDescent="0.2">
      <c r="A3572" s="5">
        <v>3511</v>
      </c>
      <c r="B3572" s="138">
        <f>'Acct Summary 7-8'!K13</f>
        <v>19280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19280</v>
      </c>
      <c r="C3575" s="2" t="s">
        <v>573</v>
      </c>
      <c r="D3575" s="2" t="str">
        <f t="shared" si="54"/>
        <v>Error?</v>
      </c>
    </row>
    <row r="3576" spans="1:4" x14ac:dyDescent="0.2">
      <c r="A3576" s="5">
        <v>3515</v>
      </c>
      <c r="B3576" s="138">
        <f>'Acct Summary 7-8'!K20</f>
        <v>-2599</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-2599</v>
      </c>
      <c r="C3588" s="2" t="s">
        <v>573</v>
      </c>
      <c r="D3588" s="2" t="str">
        <f t="shared" si="55"/>
        <v>Error?</v>
      </c>
    </row>
    <row r="3589" spans="1:4" x14ac:dyDescent="0.2">
      <c r="A3589" s="5">
        <v>3528</v>
      </c>
      <c r="B3589" s="138">
        <f>'Acct Summary 7-8'!K79</f>
        <v>2694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95</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11904</v>
      </c>
      <c r="D3632" s="2" t="str">
        <f t="shared" si="55"/>
        <v>Error?</v>
      </c>
    </row>
    <row r="3633" spans="1:4" x14ac:dyDescent="0.2">
      <c r="A3633" s="5">
        <v>3572</v>
      </c>
      <c r="B3633" s="138">
        <f>'Expenditures 15-22'!E350</f>
        <v>11904</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11904</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7376</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7376</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7376</v>
      </c>
      <c r="C3649" s="2" t="s">
        <v>573</v>
      </c>
      <c r="D3649" s="2" t="str">
        <f t="shared" si="56"/>
        <v>Error?</v>
      </c>
    </row>
    <row r="3650" spans="1:4" x14ac:dyDescent="0.2">
      <c r="A3650" s="5">
        <v>3589</v>
      </c>
      <c r="B3650" s="138">
        <f>'Expenditures 15-22'!G367</f>
        <v>7376</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7376</v>
      </c>
      <c r="C3668" s="2" t="s">
        <v>573</v>
      </c>
      <c r="D3668" s="2" t="str">
        <f t="shared" si="56"/>
        <v>Error?</v>
      </c>
    </row>
    <row r="3669" spans="1:4" x14ac:dyDescent="0.2">
      <c r="A3669" s="5">
        <v>3608</v>
      </c>
      <c r="B3669" s="138">
        <f>'Expenditures 15-22'!K349</f>
        <v>11904</v>
      </c>
      <c r="C3669" s="2" t="s">
        <v>573</v>
      </c>
      <c r="D3669" s="2" t="str">
        <f t="shared" si="56"/>
        <v>Error?</v>
      </c>
    </row>
    <row r="3670" spans="1:4" x14ac:dyDescent="0.2">
      <c r="A3670" s="5">
        <v>3609</v>
      </c>
      <c r="B3670" s="138">
        <f>'Expenditures 15-22'!K350</f>
        <v>19280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19280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19280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-2599</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16621</v>
      </c>
      <c r="C3725" s="2" t="s">
        <v>573</v>
      </c>
      <c r="D3725" s="2" t="str">
        <f t="shared" si="57"/>
        <v>Error?</v>
      </c>
    </row>
    <row r="3726" spans="1:4" x14ac:dyDescent="0.2">
      <c r="A3726" s="5">
        <v>3665</v>
      </c>
      <c r="B3726" s="138">
        <f>'Tax Sched 23'!D13</f>
        <v>16621</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17120</v>
      </c>
      <c r="C3728" s="2" t="s">
        <v>573</v>
      </c>
      <c r="D3728" s="2" t="str">
        <f t="shared" si="57"/>
        <v>Error?</v>
      </c>
    </row>
    <row r="3729" spans="1:4" x14ac:dyDescent="0.2">
      <c r="A3729" s="5">
        <v>3668</v>
      </c>
      <c r="B3729" s="138">
        <f>'Tax Sched 23'!E13</f>
        <v>17120</v>
      </c>
      <c r="D3729" s="2" t="str">
        <f t="shared" si="57"/>
        <v>Error?</v>
      </c>
    </row>
    <row r="3730" spans="1:4" x14ac:dyDescent="0.2">
      <c r="A3730" s="5">
        <v>3669</v>
      </c>
      <c r="B3730" s="138">
        <f>'ICR Computation 30'!E10</f>
        <v>103796</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990121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3638223</v>
      </c>
      <c r="C4122" s="2" t="s">
        <v>573</v>
      </c>
      <c r="D4122" s="2" t="str">
        <f t="shared" si="63"/>
        <v>Error?</v>
      </c>
    </row>
    <row r="4123" spans="1:4" x14ac:dyDescent="0.2">
      <c r="A4123" s="5">
        <v>4062</v>
      </c>
      <c r="B4123" s="138">
        <f>'Acct Summary 7-8'!D10</f>
        <v>173274</v>
      </c>
      <c r="C4123" s="2" t="s">
        <v>573</v>
      </c>
      <c r="D4123" s="2" t="str">
        <f t="shared" si="63"/>
        <v>Error?</v>
      </c>
    </row>
    <row r="4124" spans="1:4" x14ac:dyDescent="0.2">
      <c r="A4124" s="5">
        <v>4063</v>
      </c>
      <c r="B4124" s="138">
        <f>'Acct Summary 7-8'!E10</f>
        <v>238498</v>
      </c>
      <c r="C4124" s="2" t="s">
        <v>573</v>
      </c>
      <c r="D4124" s="2" t="str">
        <f t="shared" si="63"/>
        <v>Error?</v>
      </c>
    </row>
    <row r="4125" spans="1:4" x14ac:dyDescent="0.2">
      <c r="A4125" s="5">
        <v>4064</v>
      </c>
      <c r="B4125" s="138">
        <f>'Acct Summary 7-8'!F10</f>
        <v>142412</v>
      </c>
      <c r="C4125" s="2" t="s">
        <v>573</v>
      </c>
      <c r="D4125" s="2" t="str">
        <f t="shared" si="63"/>
        <v>Error?</v>
      </c>
    </row>
    <row r="4126" spans="1:4" x14ac:dyDescent="0.2">
      <c r="A4126" s="5">
        <v>4065</v>
      </c>
      <c r="B4126" s="138">
        <f>'Acct Summary 7-8'!G10</f>
        <v>196104</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17399</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16681</v>
      </c>
      <c r="C4130" s="2" t="s">
        <v>573</v>
      </c>
      <c r="D4130" s="2" t="str">
        <f t="shared" si="63"/>
        <v>Error?</v>
      </c>
    </row>
    <row r="4131" spans="1:4" x14ac:dyDescent="0.2">
      <c r="A4131" s="5">
        <v>4070</v>
      </c>
      <c r="B4131" s="138">
        <f>'Acct Summary 7-8'!C18</f>
        <v>990121</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3649720</v>
      </c>
      <c r="C4136" s="2" t="s">
        <v>573</v>
      </c>
      <c r="D4136" s="2" t="str">
        <f t="shared" si="63"/>
        <v>Error?</v>
      </c>
    </row>
    <row r="4137" spans="1:4" x14ac:dyDescent="0.2">
      <c r="A4137" s="5">
        <v>4076</v>
      </c>
      <c r="B4137" s="138">
        <f>'Acct Summary 7-8'!D19</f>
        <v>264052</v>
      </c>
      <c r="C4137" s="2" t="s">
        <v>573</v>
      </c>
      <c r="D4137" s="2" t="str">
        <f t="shared" si="63"/>
        <v>Error?</v>
      </c>
    </row>
    <row r="4138" spans="1:4" x14ac:dyDescent="0.2">
      <c r="A4138" s="5">
        <v>4077</v>
      </c>
      <c r="B4138" s="138">
        <f>'Acct Summary 7-8'!E19</f>
        <v>248337</v>
      </c>
      <c r="C4138" s="2" t="s">
        <v>573</v>
      </c>
      <c r="D4138" s="2" t="str">
        <f t="shared" si="63"/>
        <v>Error?</v>
      </c>
    </row>
    <row r="4139" spans="1:4" x14ac:dyDescent="0.2">
      <c r="A4139" s="5">
        <v>4078</v>
      </c>
      <c r="B4139" s="138">
        <f>'Acct Summary 7-8'!F19</f>
        <v>249225</v>
      </c>
      <c r="C4139" s="2" t="s">
        <v>573</v>
      </c>
      <c r="D4139" s="2" t="str">
        <f t="shared" si="63"/>
        <v>Error?</v>
      </c>
    </row>
    <row r="4140" spans="1:4" x14ac:dyDescent="0.2">
      <c r="A4140" s="5">
        <v>4079</v>
      </c>
      <c r="B4140" s="138">
        <f>'Acct Summary 7-8'!G19</f>
        <v>104949</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19280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1058473</v>
      </c>
      <c r="C4171" s="2" t="s">
        <v>573</v>
      </c>
      <c r="D4171" s="2" t="str">
        <f t="shared" si="64"/>
        <v>Error?</v>
      </c>
    </row>
    <row r="4172" spans="1:4" x14ac:dyDescent="0.2">
      <c r="A4172" s="5">
        <v>4111</v>
      </c>
      <c r="B4172" s="138">
        <f>'Short-Term Long-Term Debt 24'!J49</f>
        <v>1039651</v>
      </c>
      <c r="C4172" s="2" t="s">
        <v>573</v>
      </c>
      <c r="D4172" s="2" t="str">
        <f t="shared" si="64"/>
        <v>Error?</v>
      </c>
    </row>
    <row r="4173" spans="1:4" x14ac:dyDescent="0.2">
      <c r="A4173" s="5">
        <v>4112</v>
      </c>
      <c r="B4173" s="138">
        <f>'Short-Term Long-Term Debt 24'!H49</f>
        <v>212611</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64860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25812</v>
      </c>
      <c r="D4210" s="2" t="str">
        <f t="shared" si="64"/>
        <v>Error?</v>
      </c>
    </row>
    <row r="4211" spans="1:4" x14ac:dyDescent="0.2">
      <c r="A4211" s="5">
        <v>4150</v>
      </c>
      <c r="B4211" s="138">
        <f>'Expenditures 15-22'!K206</f>
        <v>25812</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1937</v>
      </c>
    </row>
    <row r="4236" spans="1:5" x14ac:dyDescent="0.2">
      <c r="A4236" s="10">
        <v>4175</v>
      </c>
      <c r="D4236" s="2" t="str">
        <f t="shared" si="65"/>
        <v>OK</v>
      </c>
      <c r="E4236" s="4" t="s">
        <v>1937</v>
      </c>
    </row>
    <row r="4237" spans="1:5" x14ac:dyDescent="0.2">
      <c r="A4237" s="10">
        <v>4176</v>
      </c>
      <c r="D4237" s="2" t="str">
        <f t="shared" si="65"/>
        <v>OK</v>
      </c>
      <c r="E4237" s="4" t="s">
        <v>1937</v>
      </c>
    </row>
    <row r="4238" spans="1:5" x14ac:dyDescent="0.2">
      <c r="A4238" s="10">
        <v>4177</v>
      </c>
      <c r="D4238" s="2" t="str">
        <f t="shared" si="65"/>
        <v>OK</v>
      </c>
      <c r="E4238" s="4" t="s">
        <v>1937</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2440</v>
      </c>
      <c r="C4265" s="2" t="s">
        <v>573</v>
      </c>
      <c r="D4265" s="2" t="str">
        <f t="shared" si="65"/>
        <v>Error?</v>
      </c>
      <c r="E4265" s="128"/>
    </row>
    <row r="4266" spans="1:5" x14ac:dyDescent="0.2">
      <c r="A4266" s="12">
        <v>4205</v>
      </c>
      <c r="B4266" s="138">
        <f>('FP Info 3'!F10)*100000</f>
        <v>500</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3139.9999999999995</v>
      </c>
      <c r="C4268" s="2" t="s">
        <v>573</v>
      </c>
      <c r="D4268" s="2" t="str">
        <f t="shared" si="65"/>
        <v>Error?</v>
      </c>
    </row>
    <row r="4269" spans="1:5" x14ac:dyDescent="0.2">
      <c r="A4269" s="12">
        <v>4208</v>
      </c>
      <c r="B4269" s="138">
        <f>'FP Info 3'!J16</f>
        <v>808794</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14324</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3159</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1937</v>
      </c>
    </row>
    <row r="4400" spans="1:5" x14ac:dyDescent="0.2">
      <c r="A4400" s="10">
        <v>4339</v>
      </c>
      <c r="D4400" s="2" t="str">
        <f t="shared" si="67"/>
        <v>OK</v>
      </c>
      <c r="E4400" s="4" t="s">
        <v>1937</v>
      </c>
    </row>
    <row r="4401" spans="1:5" x14ac:dyDescent="0.2">
      <c r="A4401" s="10">
        <v>4340</v>
      </c>
      <c r="D4401" s="2" t="str">
        <f t="shared" si="67"/>
        <v>OK</v>
      </c>
      <c r="E4401" s="4" t="s">
        <v>1937</v>
      </c>
    </row>
    <row r="4402" spans="1:5" x14ac:dyDescent="0.2">
      <c r="A4402" s="10">
        <v>4341</v>
      </c>
      <c r="D4402" s="2" t="str">
        <f t="shared" si="67"/>
        <v>OK</v>
      </c>
      <c r="E4402" s="4" t="s">
        <v>1937</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57</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750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11368</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36097628</v>
      </c>
      <c r="D4995" s="2" t="str">
        <f t="shared" si="77"/>
        <v>Error?</v>
      </c>
    </row>
    <row r="4996" spans="1:4" x14ac:dyDescent="0.2">
      <c r="A4996" s="12">
        <v>4935</v>
      </c>
      <c r="B4996" s="138">
        <f>'FP Info 3'!H31</f>
        <v>4981472.6640000008</v>
      </c>
      <c r="D4996" s="2" t="str">
        <f t="shared" si="77"/>
        <v>Error?</v>
      </c>
    </row>
    <row r="4997" spans="1:4" x14ac:dyDescent="0.2">
      <c r="A4997" s="12">
        <v>4936</v>
      </c>
      <c r="B4997" s="138">
        <f>'FP Info 3'!H37</f>
        <v>1058473</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16621</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811057</v>
      </c>
      <c r="D5061" s="2" t="str">
        <f t="shared" si="78"/>
        <v>Error?</v>
      </c>
    </row>
    <row r="5062" spans="1:4" x14ac:dyDescent="0.2">
      <c r="A5062" s="10">
        <v>5001</v>
      </c>
      <c r="D5062" s="2" t="str">
        <f t="shared" si="78"/>
        <v>OK</v>
      </c>
    </row>
    <row r="5063" spans="1:4" x14ac:dyDescent="0.2">
      <c r="A5063" s="5">
        <v>5002</v>
      </c>
      <c r="B5063" s="138">
        <f>'Revenues 9-14'!C7</f>
        <v>13296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840974</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51624</v>
      </c>
      <c r="D5069" s="2" t="str">
        <f t="shared" si="78"/>
        <v>Error?</v>
      </c>
    </row>
    <row r="5070" spans="1:4" x14ac:dyDescent="0.2">
      <c r="A5070" s="5">
        <v>5009</v>
      </c>
      <c r="B5070" s="138">
        <f>'Revenues 9-14'!C17</f>
        <v>0</v>
      </c>
      <c r="D5070" s="2" t="str">
        <f t="shared" si="78"/>
        <v>Error?</v>
      </c>
    </row>
    <row r="5071" spans="1:4" x14ac:dyDescent="0.2">
      <c r="A5071" s="5">
        <v>5010</v>
      </c>
      <c r="B5071" s="138">
        <f>'Revenues 9-14'!C18</f>
        <v>51624</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5399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5399</v>
      </c>
      <c r="C5090" s="2" t="s">
        <v>573</v>
      </c>
      <c r="D5090" s="2" t="str">
        <f t="shared" si="78"/>
        <v>Error?</v>
      </c>
    </row>
    <row r="5091" spans="1:4" x14ac:dyDescent="0.2">
      <c r="A5091" s="5">
        <v>5030</v>
      </c>
      <c r="B5091" s="138">
        <f>'Revenues 9-14'!C70</f>
        <v>8728</v>
      </c>
      <c r="D5091" s="2" t="str">
        <f t="shared" si="78"/>
        <v>Error?</v>
      </c>
    </row>
    <row r="5092" spans="1:4" x14ac:dyDescent="0.2">
      <c r="A5092" s="5">
        <v>5031</v>
      </c>
      <c r="B5092" s="138">
        <f>'Revenues 9-14'!C71</f>
        <v>1215</v>
      </c>
      <c r="D5092" s="2" t="str">
        <f t="shared" si="78"/>
        <v>Error?</v>
      </c>
    </row>
    <row r="5093" spans="1:4" x14ac:dyDescent="0.2">
      <c r="A5093" s="5">
        <v>5032</v>
      </c>
      <c r="B5093" s="138">
        <f>'Revenues 9-14'!C72</f>
        <v>0</v>
      </c>
      <c r="D5093" s="2" t="str">
        <f t="shared" si="78"/>
        <v>Error?</v>
      </c>
    </row>
    <row r="5094" spans="1:4" x14ac:dyDescent="0.2">
      <c r="A5094" s="5">
        <v>5033</v>
      </c>
      <c r="B5094" s="138">
        <f>'Revenues 9-14'!C73</f>
        <v>7874</v>
      </c>
      <c r="D5094" s="2" t="str">
        <f t="shared" si="78"/>
        <v>Error?</v>
      </c>
    </row>
    <row r="5095" spans="1:4" x14ac:dyDescent="0.2">
      <c r="A5095" s="5">
        <v>5034</v>
      </c>
      <c r="B5095" s="138">
        <f>'Revenues 9-14'!C74</f>
        <v>0</v>
      </c>
      <c r="D5095" s="2" t="str">
        <f t="shared" si="78"/>
        <v>Error?</v>
      </c>
    </row>
    <row r="5096" spans="1:4" x14ac:dyDescent="0.2">
      <c r="A5096" s="5">
        <v>5035</v>
      </c>
      <c r="B5096" s="138">
        <f>'Revenues 9-14'!C75</f>
        <v>47341</v>
      </c>
      <c r="C5096" s="2" t="s">
        <v>573</v>
      </c>
      <c r="D5096" s="2" t="str">
        <f t="shared" si="78"/>
        <v>Error?</v>
      </c>
    </row>
    <row r="5097" spans="1:4" x14ac:dyDescent="0.2">
      <c r="A5097" s="5">
        <v>5036</v>
      </c>
      <c r="B5097" s="138">
        <f>'Revenues 9-14'!C77</f>
        <v>11723</v>
      </c>
      <c r="D5097" s="2" t="str">
        <f t="shared" si="78"/>
        <v>Error?</v>
      </c>
    </row>
    <row r="5098" spans="1:4" x14ac:dyDescent="0.2">
      <c r="A5098" s="5">
        <v>5037</v>
      </c>
      <c r="B5098" s="138">
        <f>'Revenues 9-14'!C78</f>
        <v>0</v>
      </c>
      <c r="D5098" s="2" t="str">
        <f t="shared" si="78"/>
        <v>Error?</v>
      </c>
    </row>
    <row r="5099" spans="1:4" x14ac:dyDescent="0.2">
      <c r="A5099" s="5">
        <v>5038</v>
      </c>
      <c r="B5099" s="138">
        <f>'Revenues 9-14'!C79</f>
        <v>6450</v>
      </c>
      <c r="D5099" s="2" t="str">
        <f t="shared" si="78"/>
        <v>Error?</v>
      </c>
    </row>
    <row r="5100" spans="1:4" x14ac:dyDescent="0.2">
      <c r="A5100" s="5">
        <v>5039</v>
      </c>
      <c r="B5100" s="138">
        <f>'Revenues 9-14'!C80</f>
        <v>1187</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19360</v>
      </c>
      <c r="C5102" s="2" t="s">
        <v>573</v>
      </c>
      <c r="D5102" s="2" t="str">
        <f t="shared" si="78"/>
        <v>Error?</v>
      </c>
    </row>
    <row r="5103" spans="1:4" x14ac:dyDescent="0.2">
      <c r="A5103" s="5">
        <v>5042</v>
      </c>
      <c r="B5103" s="138">
        <f>'Revenues 9-14'!C84</f>
        <v>11573</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25</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20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11618</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12639</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1996</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5052</v>
      </c>
      <c r="D5118" s="2" t="str">
        <f t="shared" si="78"/>
        <v>Error?</v>
      </c>
    </row>
    <row r="5119" spans="1:4" x14ac:dyDescent="0.2">
      <c r="A5119" s="5">
        <v>5058</v>
      </c>
      <c r="B5119" s="138">
        <f>'Revenues 9-14'!C107</f>
        <v>18</v>
      </c>
      <c r="D5119" s="2" t="str">
        <f t="shared" ref="D5119:D5182" si="79">IF(ISBLANK(B5119),"OK",IF(A5119-B5119=0,"OK","Error?"))</f>
        <v>Error?</v>
      </c>
    </row>
    <row r="5120" spans="1:4" x14ac:dyDescent="0.2">
      <c r="A5120" s="5">
        <v>5059</v>
      </c>
      <c r="B5120" s="138">
        <f>'Revenues 9-14'!C108</f>
        <v>21392</v>
      </c>
      <c r="C5120" s="2" t="s">
        <v>573</v>
      </c>
      <c r="D5120" s="2" t="str">
        <f t="shared" si="79"/>
        <v>Error?</v>
      </c>
    </row>
    <row r="5121" spans="1:4" x14ac:dyDescent="0.2">
      <c r="A5121" s="5">
        <v>5060</v>
      </c>
      <c r="B5121" s="138">
        <f>'Revenues 9-14'!C109</f>
        <v>997708</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1242083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1242083</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11597</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11597</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34016</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34016</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1034</v>
      </c>
      <c r="D5167" s="2" t="str">
        <f t="shared" si="79"/>
        <v>Error?</v>
      </c>
    </row>
    <row r="5168" spans="1:4" x14ac:dyDescent="0.2">
      <c r="A5168" s="5">
        <v>5107</v>
      </c>
      <c r="B5168" s="138">
        <f>'Revenues 9-14'!C148</f>
        <v>3894</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13506</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1937</v>
      </c>
    </row>
    <row r="5200" spans="1:5" x14ac:dyDescent="0.2">
      <c r="A5200" s="10">
        <v>5139</v>
      </c>
      <c r="D5200" s="2" t="str">
        <f t="shared" si="80"/>
        <v>OK</v>
      </c>
      <c r="E5200" s="4" t="s">
        <v>1937</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64797</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1306880</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47466</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18162</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65628</v>
      </c>
      <c r="C5246" s="2" t="s">
        <v>573</v>
      </c>
      <c r="D5246" s="2" t="str">
        <f t="shared" si="80"/>
        <v>Error?</v>
      </c>
    </row>
    <row r="5247" spans="1:4" x14ac:dyDescent="0.2">
      <c r="A5247" s="5">
        <v>5186</v>
      </c>
      <c r="B5247" s="138">
        <f>'Revenues 9-14'!C200</f>
        <v>246023</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1937</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246023</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2955</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2955</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1937</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343514</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343514</v>
      </c>
      <c r="C5326" s="2" t="s">
        <v>573</v>
      </c>
      <c r="D5326" s="2" t="str">
        <f t="shared" si="82"/>
        <v>Error?</v>
      </c>
    </row>
    <row r="5327" spans="1:5" x14ac:dyDescent="0.2">
      <c r="A5327" s="5">
        <v>5266</v>
      </c>
      <c r="B5327" s="138">
        <f>'Revenues 9-14'!C268</f>
        <v>2648102</v>
      </c>
      <c r="C5327" s="2" t="s">
        <v>573</v>
      </c>
      <c r="D5327" s="2" t="str">
        <f t="shared" si="82"/>
        <v>Error?</v>
      </c>
    </row>
    <row r="5328" spans="1:5" x14ac:dyDescent="0.2">
      <c r="A5328" s="5">
        <v>5267</v>
      </c>
      <c r="B5328" s="138">
        <f>'Revenues 9-14'!D5</f>
        <v>166202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166202</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2072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2072</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5000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5000</v>
      </c>
      <c r="C5355" s="2" t="s">
        <v>573</v>
      </c>
      <c r="D5355" s="2" t="str">
        <f t="shared" si="82"/>
        <v>Error?</v>
      </c>
    </row>
    <row r="5356" spans="1:4" x14ac:dyDescent="0.2">
      <c r="A5356" s="5">
        <v>5295</v>
      </c>
      <c r="B5356" s="138">
        <f>'Revenues 9-14'!D109</f>
        <v>173274</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1937</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173274</v>
      </c>
      <c r="C5508" s="2" t="s">
        <v>573</v>
      </c>
      <c r="D5508" s="2" t="str">
        <f t="shared" si="85"/>
        <v>Error?</v>
      </c>
    </row>
    <row r="5509" spans="1:4" x14ac:dyDescent="0.2">
      <c r="A5509" s="5">
        <v>5448</v>
      </c>
      <c r="B5509" s="138">
        <f>'Revenues 9-14'!E5</f>
        <v>238000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238000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498</v>
      </c>
      <c r="D5519" s="2" t="str">
        <f t="shared" si="85"/>
        <v>Error?</v>
      </c>
    </row>
    <row r="5520" spans="1:4" x14ac:dyDescent="0.2">
      <c r="A5520" s="5">
        <v>5459</v>
      </c>
      <c r="B5520" s="138">
        <f>'Revenues 9-14'!E66</f>
        <v>0</v>
      </c>
      <c r="D5520" s="2" t="str">
        <f t="shared" si="85"/>
        <v>Error?</v>
      </c>
    </row>
    <row r="5521" spans="1:4" x14ac:dyDescent="0.2">
      <c r="A5521" s="5">
        <v>5460</v>
      </c>
      <c r="B5521" s="138">
        <f>'Revenues 9-14'!E67</f>
        <v>498</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238498</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238498</v>
      </c>
      <c r="C5552" s="2" t="s">
        <v>573</v>
      </c>
      <c r="D5552" s="2" t="str">
        <f t="shared" si="85"/>
        <v>Error?</v>
      </c>
    </row>
    <row r="5553" spans="1:4" x14ac:dyDescent="0.2">
      <c r="A5553" s="5">
        <v>5492</v>
      </c>
      <c r="B5553" s="138">
        <f>'Revenues 9-14'!F5</f>
        <v>66481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66481</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396</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396</v>
      </c>
      <c r="C5582" s="2" t="s">
        <v>573</v>
      </c>
      <c r="D5582" s="2" t="str">
        <f t="shared" si="86"/>
        <v>Error?</v>
      </c>
    </row>
    <row r="5583" spans="1:4" x14ac:dyDescent="0.2">
      <c r="A5583" s="5">
        <v>5522</v>
      </c>
      <c r="B5583" s="138">
        <f>'Revenues 9-14'!F96</f>
        <v>3035</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3035</v>
      </c>
      <c r="C5587" s="2" t="s">
        <v>573</v>
      </c>
      <c r="D5587" s="2" t="str">
        <f t="shared" si="86"/>
        <v>Error?</v>
      </c>
    </row>
    <row r="5588" spans="1:4" x14ac:dyDescent="0.2">
      <c r="A5588" s="5">
        <v>5527</v>
      </c>
      <c r="B5588" s="138">
        <f>'Revenues 9-14'!F109</f>
        <v>69912</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39418</v>
      </c>
      <c r="D5615" s="2" t="str">
        <f t="shared" si="86"/>
        <v>Error?</v>
      </c>
    </row>
    <row r="5616" spans="1:4" x14ac:dyDescent="0.2">
      <c r="A5616" s="10">
        <v>5555</v>
      </c>
      <c r="D5616" s="2" t="str">
        <f t="shared" si="86"/>
        <v>OK</v>
      </c>
    </row>
    <row r="5617" spans="1:5" x14ac:dyDescent="0.2">
      <c r="A5617" s="5">
        <v>5556</v>
      </c>
      <c r="B5617" s="138">
        <f>'Revenues 9-14'!F153</f>
        <v>33082</v>
      </c>
      <c r="D5617" s="2" t="str">
        <f t="shared" si="86"/>
        <v>Error?</v>
      </c>
    </row>
    <row r="5618" spans="1:5" x14ac:dyDescent="0.2">
      <c r="A5618" s="5">
        <v>5557</v>
      </c>
      <c r="B5618" s="138">
        <f>'Revenues 9-14'!F155</f>
        <v>72500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1937</v>
      </c>
    </row>
    <row r="5631" spans="1:5" x14ac:dyDescent="0.2">
      <c r="A5631" s="10">
        <v>5570</v>
      </c>
      <c r="D5631" s="2" t="str">
        <f t="shared" ref="D5631:D5694" si="87">IF(ISBLANK(B5631),"OK",IF(A5631-B5631=0,"OK","Error?"))</f>
        <v>OK</v>
      </c>
      <c r="E5631" s="4" t="s">
        <v>1937</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72500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72500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1937</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1937</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142412</v>
      </c>
      <c r="C5720" s="2" t="s">
        <v>573</v>
      </c>
      <c r="D5720" s="2" t="str">
        <f t="shared" si="88"/>
        <v>Error?</v>
      </c>
    </row>
    <row r="5721" spans="1:4" x14ac:dyDescent="0.2">
      <c r="A5721" s="5">
        <v>5660</v>
      </c>
      <c r="B5721" s="138">
        <f>'Revenues 9-14'!G5</f>
        <v>105770</v>
      </c>
      <c r="D5721" s="2" t="str">
        <f t="shared" si="88"/>
        <v>Error?</v>
      </c>
    </row>
    <row r="5722" spans="1:4" x14ac:dyDescent="0.2">
      <c r="A5722" s="5">
        <v>5661</v>
      </c>
      <c r="B5722" s="138">
        <f>'Revenues 9-14'!G7</f>
        <v>0</v>
      </c>
      <c r="D5722" s="2" t="str">
        <f t="shared" si="88"/>
        <v>Error?</v>
      </c>
    </row>
    <row r="5723" spans="1:4" x14ac:dyDescent="0.2">
      <c r="A5723" s="5">
        <v>5662</v>
      </c>
      <c r="B5723" s="138">
        <f>'Revenues 9-14'!G8</f>
        <v>83332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189102</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3000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3000</v>
      </c>
      <c r="C5730" s="2" t="s">
        <v>573</v>
      </c>
      <c r="D5730" s="2" t="str">
        <f t="shared" si="88"/>
        <v>Error?</v>
      </c>
    </row>
    <row r="5731" spans="1:4" x14ac:dyDescent="0.2">
      <c r="A5731" s="5">
        <v>5670</v>
      </c>
      <c r="B5731" s="138">
        <f>'Revenues 9-14'!G65</f>
        <v>4002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4002</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1937</v>
      </c>
    </row>
    <row r="5768" spans="1:5" x14ac:dyDescent="0.2">
      <c r="A5768" s="10">
        <v>5707</v>
      </c>
      <c r="D5768" s="2" t="str">
        <f t="shared" si="89"/>
        <v>OK</v>
      </c>
      <c r="E5768" s="4" t="s">
        <v>1937</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1937</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1937</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196104</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16621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16621</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778</v>
      </c>
      <c r="D5924" s="2" t="str">
        <f t="shared" si="91"/>
        <v>Error?</v>
      </c>
    </row>
    <row r="5925" spans="1:4" x14ac:dyDescent="0.2">
      <c r="A5925" s="5">
        <v>5864</v>
      </c>
      <c r="B5925" s="138">
        <f>'Revenues 9-14'!I66</f>
        <v>0</v>
      </c>
      <c r="D5925" s="2" t="str">
        <f t="shared" si="91"/>
        <v>Error?</v>
      </c>
    </row>
    <row r="5926" spans="1:4" x14ac:dyDescent="0.2">
      <c r="A5926" s="5">
        <v>5865</v>
      </c>
      <c r="B5926" s="138">
        <f>'Revenues 9-14'!I67</f>
        <v>778</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17399</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16621</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16621</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60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60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16681</v>
      </c>
      <c r="C6023" s="2" t="s">
        <v>573</v>
      </c>
      <c r="D6023" s="2" t="str">
        <f t="shared" si="93"/>
        <v>Error?</v>
      </c>
    </row>
    <row r="6024" spans="1:5" x14ac:dyDescent="0.2">
      <c r="A6024" s="5">
        <v>5963</v>
      </c>
      <c r="B6024" s="138">
        <f>'Revenues 9-14'!G109</f>
        <v>196104</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17399</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16681</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29524</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8211</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256</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346541</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346541</v>
      </c>
      <c r="D6215" s="2" t="str">
        <f t="shared" si="96"/>
        <v>Error?</v>
      </c>
      <c r="E6215" s="2" t="s">
        <v>190</v>
      </c>
    </row>
    <row r="6216" spans="1:5" x14ac:dyDescent="0.2">
      <c r="A6216">
        <v>6155</v>
      </c>
      <c r="B6216" s="138">
        <f>'Assets-Liab 5-6'!J41</f>
        <v>346541</v>
      </c>
      <c r="D6216" s="2" t="str">
        <f t="shared" si="96"/>
        <v>Error?</v>
      </c>
      <c r="E6216" s="2" t="s">
        <v>190</v>
      </c>
    </row>
    <row r="6217" spans="1:5" x14ac:dyDescent="0.2">
      <c r="A6217">
        <v>6156</v>
      </c>
      <c r="B6217" s="138">
        <f>'Assets-Liab 5-6'!J4</f>
        <v>346541</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245439</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245439</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245439</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191776</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191776</v>
      </c>
      <c r="D6229" s="2" t="str">
        <f t="shared" si="96"/>
        <v>Error?</v>
      </c>
      <c r="E6229" s="2" t="s">
        <v>190</v>
      </c>
    </row>
    <row r="6230" spans="1:5" x14ac:dyDescent="0.2">
      <c r="A6230">
        <v>6169</v>
      </c>
      <c r="B6230" s="138">
        <f>'Acct Summary 7-8'!J20</f>
        <v>53663</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14411</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53663</v>
      </c>
      <c r="D6263" s="2" t="str">
        <f t="shared" si="96"/>
        <v>Error?</v>
      </c>
      <c r="E6263" s="2" t="s">
        <v>190</v>
      </c>
    </row>
    <row r="6264" spans="1:5" x14ac:dyDescent="0.2">
      <c r="A6264">
        <v>6203</v>
      </c>
      <c r="B6264" s="138">
        <f>'Acct Summary 7-8'!J79</f>
        <v>292878</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346541</v>
      </c>
      <c r="D6266" s="2" t="str">
        <f t="shared" si="96"/>
        <v>Error?</v>
      </c>
      <c r="E6266" s="2" t="s">
        <v>190</v>
      </c>
    </row>
    <row r="6267" spans="1:5" x14ac:dyDescent="0.2">
      <c r="A6267">
        <v>6206</v>
      </c>
      <c r="B6267" s="138">
        <f>'Acct Summary 7-8'!C82</f>
        <v>-19986</v>
      </c>
      <c r="D6267" s="2" t="str">
        <f t="shared" si="96"/>
        <v>Error?</v>
      </c>
      <c r="E6267" s="2" t="s">
        <v>190</v>
      </c>
    </row>
    <row r="6268" spans="1:5" x14ac:dyDescent="0.2">
      <c r="A6268">
        <v>6207</v>
      </c>
      <c r="B6268" s="138">
        <f>'Acct Summary 7-8'!D82</f>
        <v>-101813</v>
      </c>
      <c r="D6268" s="2" t="str">
        <f t="shared" si="96"/>
        <v>Error?</v>
      </c>
      <c r="E6268" s="2" t="s">
        <v>190</v>
      </c>
    </row>
    <row r="6269" spans="1:5" x14ac:dyDescent="0.2">
      <c r="A6269">
        <v>6208</v>
      </c>
      <c r="B6269" s="138">
        <f>'Acct Summary 7-8'!E82</f>
        <v>4572</v>
      </c>
      <c r="D6269" s="2" t="str">
        <f t="shared" si="96"/>
        <v>Error?</v>
      </c>
      <c r="E6269" s="2" t="s">
        <v>190</v>
      </c>
    </row>
    <row r="6270" spans="1:5" x14ac:dyDescent="0.2">
      <c r="A6270">
        <v>6209</v>
      </c>
      <c r="B6270" s="138">
        <f>'Acct Summary 7-8'!F82</f>
        <v>-8034</v>
      </c>
      <c r="D6270" s="2" t="str">
        <f t="shared" si="96"/>
        <v>Error?</v>
      </c>
      <c r="E6270" s="2" t="s">
        <v>190</v>
      </c>
    </row>
    <row r="6271" spans="1:5" x14ac:dyDescent="0.2">
      <c r="A6271">
        <v>6210</v>
      </c>
      <c r="B6271" s="138">
        <f>'Acct Summary 7-8'!G82</f>
        <v>91155</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17399</v>
      </c>
      <c r="D6273" s="2" t="str">
        <f t="shared" si="97"/>
        <v>Error?</v>
      </c>
      <c r="E6273" s="2" t="s">
        <v>190</v>
      </c>
    </row>
    <row r="6274" spans="1:5" x14ac:dyDescent="0.2">
      <c r="A6274">
        <v>6213</v>
      </c>
      <c r="B6274" s="138">
        <f>'Acct Summary 7-8'!J82</f>
        <v>53663</v>
      </c>
      <c r="D6274" s="2" t="str">
        <f t="shared" si="97"/>
        <v>Error?</v>
      </c>
      <c r="E6274" s="2" t="s">
        <v>190</v>
      </c>
    </row>
    <row r="6275" spans="1:5" x14ac:dyDescent="0.2">
      <c r="A6275">
        <v>6214</v>
      </c>
      <c r="B6275" s="138">
        <f>'Acct Summary 7-8'!K82</f>
        <v>-2599</v>
      </c>
      <c r="D6275" s="2" t="str">
        <f t="shared" si="97"/>
        <v>Error?</v>
      </c>
      <c r="E6275" s="2" t="s">
        <v>190</v>
      </c>
    </row>
    <row r="6276" spans="1:5" x14ac:dyDescent="0.2">
      <c r="A6276">
        <v>6215</v>
      </c>
      <c r="B6276" s="138">
        <f>'Acct Summary 7-8'!C83</f>
        <v>-4.0730317042701004E-2</v>
      </c>
      <c r="D6276" s="2" t="str">
        <f t="shared" si="97"/>
        <v>Error?</v>
      </c>
      <c r="E6276" s="2" t="s">
        <v>190</v>
      </c>
    </row>
    <row r="6277" spans="1:5" x14ac:dyDescent="0.2">
      <c r="A6277">
        <v>6216</v>
      </c>
      <c r="B6277" s="138">
        <f>'Acct Summary 7-8'!D83</f>
        <v>-0.57259434227546258</v>
      </c>
      <c r="D6277" s="2" t="str">
        <f t="shared" si="97"/>
        <v>Error?</v>
      </c>
      <c r="E6277" s="2" t="s">
        <v>190</v>
      </c>
    </row>
    <row r="6278" spans="1:5" x14ac:dyDescent="0.2">
      <c r="A6278">
        <v>6217</v>
      </c>
      <c r="B6278" s="138">
        <f>'Acct Summary 7-8'!E83</f>
        <v>0.2429072362129423</v>
      </c>
      <c r="D6278" s="2" t="str">
        <f t="shared" si="97"/>
        <v>Error?</v>
      </c>
      <c r="E6278" s="2" t="s">
        <v>190</v>
      </c>
    </row>
    <row r="6279" spans="1:5" x14ac:dyDescent="0.2">
      <c r="A6279">
        <v>6218</v>
      </c>
      <c r="B6279" s="138">
        <f>'Acct Summary 7-8'!F83</f>
        <v>-0.21592130724575359</v>
      </c>
      <c r="D6279" s="2" t="str">
        <f t="shared" si="97"/>
        <v>Error?</v>
      </c>
      <c r="E6279" s="2" t="s">
        <v>190</v>
      </c>
    </row>
    <row r="6280" spans="1:5" x14ac:dyDescent="0.2">
      <c r="A6280">
        <v>6219</v>
      </c>
      <c r="B6280" s="138">
        <f>'Acct Summary 7-8'!G83</f>
        <v>0.17769386867944537</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0.16878304311975553</v>
      </c>
      <c r="D6282" s="2" t="str">
        <f t="shared" si="97"/>
        <v>Error?</v>
      </c>
      <c r="E6282" s="2" t="s">
        <v>190</v>
      </c>
    </row>
    <row r="6283" spans="1:5" x14ac:dyDescent="0.2">
      <c r="A6283">
        <v>6222</v>
      </c>
      <c r="B6283" s="138">
        <f>'Acct Summary 7-8'!J83</f>
        <v>0.15485324968762715</v>
      </c>
      <c r="D6283" s="2" t="str">
        <f t="shared" si="97"/>
        <v>Error?</v>
      </c>
      <c r="E6283" s="2" t="s">
        <v>190</v>
      </c>
    </row>
    <row r="6284" spans="1:5" x14ac:dyDescent="0.2">
      <c r="A6284">
        <v>6223</v>
      </c>
      <c r="B6284" s="138">
        <f>'Acct Summary 7-8'!K83</f>
        <v>-27.357894736842105</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14411</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239064</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239064</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2898</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2898</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3477</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1687</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3477</v>
      </c>
      <c r="D6351" s="2" t="str">
        <f t="shared" si="98"/>
        <v>Error?</v>
      </c>
      <c r="E6351" s="2" t="s">
        <v>190</v>
      </c>
    </row>
    <row r="6352" spans="1:5" x14ac:dyDescent="0.2">
      <c r="A6352">
        <v>6291</v>
      </c>
      <c r="B6352" s="138">
        <f>'Revenues 9-14'!J109</f>
        <v>245439</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1936</v>
      </c>
    </row>
    <row r="6383" spans="1:6" x14ac:dyDescent="0.2">
      <c r="A6383" s="129">
        <v>6322</v>
      </c>
      <c r="D6383" s="2" t="str">
        <f t="shared" si="98"/>
        <v>OK</v>
      </c>
      <c r="E6383" s="2" t="s">
        <v>190</v>
      </c>
      <c r="F6383" s="1" t="s">
        <v>1936</v>
      </c>
    </row>
    <row r="6384" spans="1:6" x14ac:dyDescent="0.2">
      <c r="A6384" s="129">
        <v>6323</v>
      </c>
      <c r="D6384" s="2" t="str">
        <f t="shared" si="98"/>
        <v>OK</v>
      </c>
      <c r="E6384" s="2" t="s">
        <v>190</v>
      </c>
      <c r="F6384" s="1" t="s">
        <v>1936</v>
      </c>
    </row>
    <row r="6385" spans="1:6" x14ac:dyDescent="0.2">
      <c r="A6385" s="129">
        <v>6324</v>
      </c>
      <c r="D6385" s="2" t="str">
        <f t="shared" si="98"/>
        <v>OK</v>
      </c>
      <c r="E6385" s="2" t="s">
        <v>190</v>
      </c>
      <c r="F6385" s="1" t="s">
        <v>1936</v>
      </c>
    </row>
    <row r="6386" spans="1:6" x14ac:dyDescent="0.2">
      <c r="A6386" s="129">
        <v>6325</v>
      </c>
      <c r="D6386" s="2" t="str">
        <f t="shared" si="98"/>
        <v>OK</v>
      </c>
      <c r="E6386" s="2" t="s">
        <v>190</v>
      </c>
      <c r="F6386" s="1" t="s">
        <v>1936</v>
      </c>
    </row>
    <row r="6387" spans="1:6" x14ac:dyDescent="0.2">
      <c r="A6387" s="129">
        <v>6326</v>
      </c>
      <c r="D6387" s="2" t="str">
        <f t="shared" si="98"/>
        <v>OK</v>
      </c>
      <c r="E6387" s="2" t="s">
        <v>190</v>
      </c>
      <c r="F6387" s="1" t="s">
        <v>1936</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1936</v>
      </c>
    </row>
    <row r="6411" spans="1:6" x14ac:dyDescent="0.2">
      <c r="A6411" s="129">
        <v>6350</v>
      </c>
      <c r="D6411" s="2" t="str">
        <f t="shared" si="99"/>
        <v>OK</v>
      </c>
      <c r="E6411" s="2" t="s">
        <v>190</v>
      </c>
      <c r="F6411" s="1" t="s">
        <v>1936</v>
      </c>
    </row>
    <row r="6412" spans="1:6" x14ac:dyDescent="0.2">
      <c r="A6412" s="129">
        <v>6351</v>
      </c>
      <c r="D6412" s="2" t="str">
        <f t="shared" si="99"/>
        <v>OK</v>
      </c>
      <c r="E6412" s="2" t="s">
        <v>190</v>
      </c>
      <c r="F6412" s="1" t="s">
        <v>1936</v>
      </c>
    </row>
    <row r="6413" spans="1:6" x14ac:dyDescent="0.2">
      <c r="A6413" s="129">
        <v>6352</v>
      </c>
      <c r="D6413" s="2" t="str">
        <f t="shared" si="99"/>
        <v>OK</v>
      </c>
      <c r="E6413" s="2" t="s">
        <v>190</v>
      </c>
      <c r="F6413" s="1" t="s">
        <v>1936</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49783</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1936</v>
      </c>
    </row>
    <row r="6842" spans="1:5" x14ac:dyDescent="0.2">
      <c r="A6842" s="129">
        <v>6781</v>
      </c>
      <c r="D6842" s="2" t="str">
        <f t="shared" si="105"/>
        <v>OK</v>
      </c>
      <c r="E6842" s="1" t="s">
        <v>1936</v>
      </c>
    </row>
    <row r="6843" spans="1:5" x14ac:dyDescent="0.2">
      <c r="A6843" s="129">
        <v>6782</v>
      </c>
      <c r="D6843" s="2" t="str">
        <f t="shared" si="105"/>
        <v>OK</v>
      </c>
      <c r="E6843" s="1" t="s">
        <v>1936</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57005</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14999</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t="str">
        <f>'Expenditures 15-22'!I45</f>
        <v xml:space="preserve"> </v>
      </c>
      <c r="D6920" s="2" t="e">
        <f t="shared" si="107"/>
        <v>#VALUE!</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191776</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363</v>
      </c>
      <c r="D7049" s="2" t="str">
        <f t="shared" si="109"/>
        <v>Error?</v>
      </c>
    </row>
    <row r="7050" spans="1:5" x14ac:dyDescent="0.2">
      <c r="A7050">
        <v>6989</v>
      </c>
      <c r="B7050" s="138">
        <f>'Expenditures 15-22'!K148</f>
        <v>363</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245439</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2954</v>
      </c>
      <c r="D7073" s="2" t="str">
        <f t="shared" si="109"/>
        <v>Error?</v>
      </c>
    </row>
    <row r="7074" spans="1:4" x14ac:dyDescent="0.2">
      <c r="A7074">
        <v>7013</v>
      </c>
      <c r="B7074" s="138">
        <f>'Expenditures 15-22'!K216</f>
        <v>2954</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190</v>
      </c>
      <c r="D7079" s="2" t="str">
        <f t="shared" si="109"/>
        <v>Error?</v>
      </c>
    </row>
    <row r="7080" spans="1:4" x14ac:dyDescent="0.2">
      <c r="A7080">
        <v>7019</v>
      </c>
      <c r="B7080" s="138">
        <f>'Expenditures 15-22'!K226</f>
        <v>190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321</v>
      </c>
      <c r="D7089" s="2" t="str">
        <f t="shared" si="109"/>
        <v>Error?</v>
      </c>
    </row>
    <row r="7090" spans="1:4" x14ac:dyDescent="0.2">
      <c r="A7090">
        <v>7029</v>
      </c>
      <c r="B7090" s="138">
        <f>'Expenditures 15-22'!K252</f>
        <v>321</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38881</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38881</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9935</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9935</v>
      </c>
      <c r="D7153" s="2" t="str">
        <f t="shared" si="110"/>
        <v>Error?</v>
      </c>
    </row>
    <row r="7154" spans="1:4" x14ac:dyDescent="0.2">
      <c r="A7154">
        <v>7093</v>
      </c>
      <c r="B7154" s="138">
        <f>'Expenditures 15-22'!C323</f>
        <v>104069</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104069</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728</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728</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104069</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87707</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191776</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104069</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87707</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191776</v>
      </c>
      <c r="D7224" s="2" t="str">
        <f t="shared" si="111"/>
        <v>Error?</v>
      </c>
    </row>
    <row r="7225" spans="1:4" x14ac:dyDescent="0.2">
      <c r="A7225">
        <v>7164</v>
      </c>
      <c r="B7225" s="138">
        <f>'Expenditures 15-22'!K343</f>
        <v>53663</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6017</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1205</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11635</v>
      </c>
      <c r="D7263" s="2" t="str">
        <f t="shared" si="112"/>
        <v>Error?</v>
      </c>
    </row>
    <row r="7264" spans="1:4" x14ac:dyDescent="0.2">
      <c r="A7264">
        <f t="shared" si="113"/>
        <v>7203</v>
      </c>
      <c r="B7264" s="138">
        <f>'Expenditures 15-22'!D17</f>
        <v>199</v>
      </c>
      <c r="D7264" s="2" t="str">
        <f t="shared" si="112"/>
        <v>Error?</v>
      </c>
    </row>
    <row r="7265" spans="1:5" x14ac:dyDescent="0.2">
      <c r="A7265">
        <f t="shared" si="113"/>
        <v>7204</v>
      </c>
      <c r="B7265" s="138">
        <f>'Expenditures 15-22'!E17</f>
        <v>2838</v>
      </c>
      <c r="D7265" s="2" t="str">
        <f t="shared" si="112"/>
        <v>Error?</v>
      </c>
    </row>
    <row r="7266" spans="1:5" x14ac:dyDescent="0.2">
      <c r="A7266">
        <f t="shared" si="113"/>
        <v>7205</v>
      </c>
      <c r="B7266" s="138">
        <f>'Expenditures 15-22'!F17</f>
        <v>327</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1979</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1979</v>
      </c>
      <c r="D7618" s="2" t="str">
        <f t="shared" si="124"/>
        <v>Error?</v>
      </c>
      <c r="E7618" s="2" t="s">
        <v>19</v>
      </c>
    </row>
    <row r="7619" spans="1:5" x14ac:dyDescent="0.2">
      <c r="A7619">
        <f t="shared" si="123"/>
        <v>7558</v>
      </c>
      <c r="B7619" s="138">
        <f>'Cap Outlay Deprec 26'!H14</f>
        <v>1979</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1979</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258681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28392</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28392</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9771</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9771</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1687</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3894</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5581</v>
      </c>
      <c r="D7719" s="2" t="str">
        <f t="shared" si="126"/>
        <v>Error?</v>
      </c>
      <c r="E7719" s="2" t="s">
        <v>827</v>
      </c>
    </row>
    <row r="7720" spans="1:6" x14ac:dyDescent="0.2">
      <c r="A7720">
        <v>7659</v>
      </c>
      <c r="B7720" s="138">
        <f>'Rest Tax Levies-Tort Im 25'!H14</f>
        <v>13296</v>
      </c>
      <c r="D7720" s="2" t="str">
        <f t="shared" si="126"/>
        <v>Error?</v>
      </c>
      <c r="E7720" s="2" t="s">
        <v>827</v>
      </c>
    </row>
    <row r="7721" spans="1:6" x14ac:dyDescent="0.2">
      <c r="A7721">
        <v>7660</v>
      </c>
      <c r="B7721" s="138">
        <f>'Rest Tax Levies-Tort Im 25'!K14</f>
        <v>5581</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1853</v>
      </c>
    </row>
    <row r="7775" spans="1:5" x14ac:dyDescent="0.2">
      <c r="A7775">
        <v>7714</v>
      </c>
      <c r="B7775" s="138">
        <f>'Expenditures 15-22'!H133</f>
        <v>0</v>
      </c>
      <c r="D7775" s="2" t="str">
        <f t="shared" si="127"/>
        <v>Error?</v>
      </c>
      <c r="E7775" s="4" t="s">
        <v>1853</v>
      </c>
    </row>
    <row r="7776" spans="1:5" x14ac:dyDescent="0.2">
      <c r="A7776">
        <v>7715</v>
      </c>
      <c r="B7776" s="138">
        <f>'Expenditures 15-22'!K133</f>
        <v>0</v>
      </c>
      <c r="D7776" s="2" t="str">
        <f t="shared" si="127"/>
        <v>Error?</v>
      </c>
      <c r="E7776" s="4" t="s">
        <v>1853</v>
      </c>
    </row>
    <row r="7777" spans="1:5" x14ac:dyDescent="0.2">
      <c r="A7777">
        <v>7716</v>
      </c>
      <c r="B7777" s="138">
        <f>'Expenditures 15-22'!H157</f>
        <v>0</v>
      </c>
      <c r="D7777" s="2" t="str">
        <f t="shared" si="127"/>
        <v>Error?</v>
      </c>
      <c r="E7777" s="4" t="s">
        <v>1853</v>
      </c>
    </row>
    <row r="7778" spans="1:5" x14ac:dyDescent="0.2">
      <c r="A7778">
        <v>7717</v>
      </c>
      <c r="B7778" s="138">
        <f>'Expenditures 15-22'!K157</f>
        <v>0</v>
      </c>
      <c r="D7778" s="2" t="str">
        <f t="shared" si="127"/>
        <v>Error?</v>
      </c>
      <c r="E7778" s="4" t="s">
        <v>1853</v>
      </c>
    </row>
    <row r="7779" spans="1:5" x14ac:dyDescent="0.2">
      <c r="A7779">
        <v>7718</v>
      </c>
      <c r="B7779" s="138">
        <f>'Expenditures 15-22'!H158</f>
        <v>0</v>
      </c>
      <c r="D7779" s="2" t="str">
        <f t="shared" si="127"/>
        <v>Error?</v>
      </c>
      <c r="E7779" s="4" t="s">
        <v>1853</v>
      </c>
    </row>
    <row r="7780" spans="1:5" x14ac:dyDescent="0.2">
      <c r="A7780">
        <v>7719</v>
      </c>
      <c r="B7780" s="138">
        <f>'Expenditures 15-22'!K158</f>
        <v>0</v>
      </c>
      <c r="D7780" s="2" t="str">
        <f t="shared" si="127"/>
        <v>Error?</v>
      </c>
      <c r="E7780" s="4" t="s">
        <v>1853</v>
      </c>
    </row>
    <row r="7781" spans="1:5" x14ac:dyDescent="0.2">
      <c r="A7781">
        <v>7720</v>
      </c>
      <c r="B7781" s="138">
        <f>'Expenditures 15-22'!H159</f>
        <v>0</v>
      </c>
      <c r="D7781" s="2" t="str">
        <f t="shared" si="127"/>
        <v>Error?</v>
      </c>
      <c r="E7781" s="4" t="s">
        <v>1853</v>
      </c>
    </row>
    <row r="7782" spans="1:5" x14ac:dyDescent="0.2">
      <c r="A7782">
        <v>7721</v>
      </c>
      <c r="B7782" s="138">
        <f>'Expenditures 15-22'!K159</f>
        <v>0</v>
      </c>
      <c r="D7782" s="2" t="str">
        <f t="shared" si="127"/>
        <v>Error?</v>
      </c>
      <c r="E7782" s="4" t="s">
        <v>1853</v>
      </c>
    </row>
    <row r="7783" spans="1:5" x14ac:dyDescent="0.2">
      <c r="A7783">
        <v>7722</v>
      </c>
      <c r="B7783" s="138">
        <f>'Expenditures 15-22'!D282</f>
        <v>0</v>
      </c>
      <c r="D7783" s="2" t="str">
        <f t="shared" si="127"/>
        <v>Error?</v>
      </c>
      <c r="E7783" s="4" t="s">
        <v>1853</v>
      </c>
    </row>
    <row r="7784" spans="1:5" x14ac:dyDescent="0.2">
      <c r="A7784">
        <v>7723</v>
      </c>
      <c r="B7784" s="138">
        <f>'Expenditures 15-22'!K282</f>
        <v>0</v>
      </c>
      <c r="D7784" s="2" t="str">
        <f t="shared" si="127"/>
        <v>Error?</v>
      </c>
      <c r="E7784" s="4" t="s">
        <v>1853</v>
      </c>
    </row>
    <row r="7785" spans="1:5" x14ac:dyDescent="0.2">
      <c r="A7785">
        <v>7724</v>
      </c>
      <c r="B7785" s="138">
        <f>'Expenditures 15-22'!H332</f>
        <v>0</v>
      </c>
      <c r="D7785" s="2" t="str">
        <f t="shared" si="127"/>
        <v>Error?</v>
      </c>
      <c r="E7785" s="4" t="s">
        <v>1853</v>
      </c>
    </row>
    <row r="7786" spans="1:5" x14ac:dyDescent="0.2">
      <c r="A7786">
        <v>7725</v>
      </c>
      <c r="B7786" s="138">
        <f>'Expenditures 15-22'!K332</f>
        <v>0</v>
      </c>
      <c r="D7786" s="2" t="str">
        <f t="shared" si="127"/>
        <v>Error?</v>
      </c>
      <c r="E7786" s="4" t="s">
        <v>1853</v>
      </c>
    </row>
    <row r="7787" spans="1:5" x14ac:dyDescent="0.2">
      <c r="A7787">
        <v>7726</v>
      </c>
      <c r="B7787" s="138">
        <f>'Expenditures 15-22'!H333</f>
        <v>0</v>
      </c>
      <c r="D7787" s="2" t="str">
        <f t="shared" si="127"/>
        <v>Error?</v>
      </c>
      <c r="E7787" s="4" t="s">
        <v>1853</v>
      </c>
    </row>
    <row r="7788" spans="1:5" x14ac:dyDescent="0.2">
      <c r="A7788">
        <v>7727</v>
      </c>
      <c r="B7788" s="138">
        <f>'Expenditures 15-22'!K333</f>
        <v>0</v>
      </c>
      <c r="D7788" s="2" t="str">
        <f t="shared" si="127"/>
        <v>Error?</v>
      </c>
      <c r="E7788" s="4" t="s">
        <v>1853</v>
      </c>
    </row>
    <row r="7789" spans="1:5" x14ac:dyDescent="0.2">
      <c r="A7789">
        <v>7728</v>
      </c>
      <c r="B7789" s="138">
        <f>'Expenditures 15-22'!H334</f>
        <v>0</v>
      </c>
      <c r="D7789" s="2" t="str">
        <f t="shared" si="127"/>
        <v>Error?</v>
      </c>
      <c r="E7789" s="4" t="s">
        <v>1853</v>
      </c>
    </row>
    <row r="7790" spans="1:5" x14ac:dyDescent="0.2">
      <c r="A7790">
        <v>7729</v>
      </c>
      <c r="B7790" s="138">
        <f>'Expenditures 15-22'!K334</f>
        <v>0</v>
      </c>
      <c r="D7790" s="2" t="str">
        <f t="shared" si="127"/>
        <v>Error?</v>
      </c>
      <c r="E7790" s="4" t="s">
        <v>1853</v>
      </c>
    </row>
    <row r="7791" spans="1:5" x14ac:dyDescent="0.2">
      <c r="A7791">
        <v>7730</v>
      </c>
      <c r="B7791" s="138">
        <f>'Expenditures 15-22'!H354</f>
        <v>0</v>
      </c>
      <c r="D7791" s="2" t="str">
        <f t="shared" si="127"/>
        <v>Error?</v>
      </c>
      <c r="E7791" s="4" t="s">
        <v>1853</v>
      </c>
    </row>
    <row r="7792" spans="1:5" x14ac:dyDescent="0.2">
      <c r="A7792">
        <v>7731</v>
      </c>
      <c r="B7792" s="138">
        <f>'Expenditures 15-22'!K354</f>
        <v>0</v>
      </c>
      <c r="D7792" s="2" t="str">
        <f t="shared" si="127"/>
        <v>Error?</v>
      </c>
      <c r="E7792" s="4" t="s">
        <v>1853</v>
      </c>
    </row>
    <row r="7793" spans="1:5" x14ac:dyDescent="0.2">
      <c r="A7793">
        <v>7732</v>
      </c>
      <c r="B7793" s="138">
        <f>'Expenditures 15-22'!H355</f>
        <v>0</v>
      </c>
      <c r="D7793" s="2" t="str">
        <f t="shared" si="127"/>
        <v>Error?</v>
      </c>
      <c r="E7793" s="4" t="s">
        <v>1853</v>
      </c>
    </row>
    <row r="7794" spans="1:5" x14ac:dyDescent="0.2">
      <c r="A7794">
        <v>7733</v>
      </c>
      <c r="B7794" s="138">
        <f>'Expenditures 15-22'!K355</f>
        <v>0</v>
      </c>
      <c r="D7794" s="2" t="str">
        <f t="shared" si="127"/>
        <v>Error?</v>
      </c>
      <c r="E7794" s="4" t="s">
        <v>1853</v>
      </c>
    </row>
    <row r="7795" spans="1:5" x14ac:dyDescent="0.2">
      <c r="A7795">
        <v>7734</v>
      </c>
      <c r="B7795" s="138">
        <f>'Expenditures 15-22'!E138</f>
        <v>0</v>
      </c>
      <c r="D7795" s="2" t="str">
        <f t="shared" si="127"/>
        <v>Error?</v>
      </c>
      <c r="E7795" s="4" t="s">
        <v>1853</v>
      </c>
    </row>
    <row r="7796" spans="1:5" x14ac:dyDescent="0.2">
      <c r="A7796">
        <v>7735</v>
      </c>
      <c r="B7796" s="138">
        <f>'Acct Summary 7-8'!J15</f>
        <v>0</v>
      </c>
      <c r="D7796" s="2" t="str">
        <f t="shared" si="127"/>
        <v>Error?</v>
      </c>
      <c r="E7796" s="4" t="s">
        <v>1853</v>
      </c>
    </row>
    <row r="7797" spans="1:5" x14ac:dyDescent="0.2">
      <c r="A7797">
        <v>7736</v>
      </c>
      <c r="B7797" s="138">
        <f>'Contracts Paid in CY 29'!D142</f>
        <v>20875</v>
      </c>
      <c r="D7797" s="2" t="str">
        <f t="shared" si="127"/>
        <v>Error?</v>
      </c>
      <c r="E7797" s="4" t="s">
        <v>1902</v>
      </c>
    </row>
    <row r="7798" spans="1:5" x14ac:dyDescent="0.2">
      <c r="A7798">
        <v>7737</v>
      </c>
      <c r="B7798" s="138">
        <f>'Contracts Paid in CY 29'!F142</f>
        <v>20875</v>
      </c>
      <c r="D7798" s="2" t="str">
        <f t="shared" si="127"/>
        <v>Error?</v>
      </c>
      <c r="E7798" s="4" t="s">
        <v>1902</v>
      </c>
    </row>
    <row r="7799" spans="1:5" x14ac:dyDescent="0.2">
      <c r="A7799">
        <v>7738</v>
      </c>
      <c r="B7799" s="138">
        <f>'Contracts Paid in CY 29'!G142</f>
        <v>0</v>
      </c>
      <c r="D7799" s="2" t="str">
        <f t="shared" si="127"/>
        <v>Error?</v>
      </c>
      <c r="E7799" s="4" t="s">
        <v>1902</v>
      </c>
    </row>
    <row r="7800" spans="1:5" x14ac:dyDescent="0.2">
      <c r="A7800">
        <v>7739</v>
      </c>
      <c r="D7800" s="2" t="str">
        <f t="shared" si="127"/>
        <v>OK</v>
      </c>
    </row>
    <row r="7801" spans="1:5" x14ac:dyDescent="0.2">
      <c r="A7801">
        <v>7740</v>
      </c>
      <c r="B7801" s="138">
        <f>'Revenues 9-14'!C120</f>
        <v>0</v>
      </c>
      <c r="D7801" s="2" t="str">
        <f t="shared" si="127"/>
        <v>Error?</v>
      </c>
      <c r="E7801" s="4" t="s">
        <v>1938</v>
      </c>
    </row>
    <row r="7802" spans="1:5" x14ac:dyDescent="0.2">
      <c r="A7802">
        <v>7741</v>
      </c>
      <c r="B7802" s="138">
        <f>'Revenues 9-14'!D120</f>
        <v>0</v>
      </c>
      <c r="D7802" s="2" t="str">
        <f t="shared" si="127"/>
        <v>Error?</v>
      </c>
      <c r="E7802" s="4" t="s">
        <v>1938</v>
      </c>
    </row>
    <row r="7803" spans="1:5" x14ac:dyDescent="0.2">
      <c r="A7803">
        <v>7742</v>
      </c>
      <c r="B7803" s="138">
        <f>'Revenues 9-14'!E120</f>
        <v>0</v>
      </c>
      <c r="D7803" s="2" t="str">
        <f t="shared" si="127"/>
        <v>Error?</v>
      </c>
      <c r="E7803" s="4" t="s">
        <v>1938</v>
      </c>
    </row>
    <row r="7804" spans="1:5" x14ac:dyDescent="0.2">
      <c r="A7804">
        <v>7743</v>
      </c>
      <c r="B7804" s="138">
        <f>'Revenues 9-14'!F120</f>
        <v>0</v>
      </c>
      <c r="D7804" s="2" t="str">
        <f t="shared" si="127"/>
        <v>Error?</v>
      </c>
      <c r="E7804" s="4" t="s">
        <v>1938</v>
      </c>
    </row>
    <row r="7805" spans="1:5" x14ac:dyDescent="0.2">
      <c r="A7805">
        <v>7744</v>
      </c>
      <c r="B7805" s="138">
        <f>'Revenues 9-14'!G120</f>
        <v>0</v>
      </c>
      <c r="D7805" s="2" t="str">
        <f t="shared" si="127"/>
        <v>Error?</v>
      </c>
      <c r="E7805" s="4" t="s">
        <v>1938</v>
      </c>
    </row>
    <row r="7806" spans="1:5" x14ac:dyDescent="0.2">
      <c r="A7806">
        <v>7745</v>
      </c>
      <c r="B7806" s="138">
        <f>'Revenues 9-14'!H120</f>
        <v>0</v>
      </c>
      <c r="D7806" s="2" t="str">
        <f t="shared" si="127"/>
        <v>Error?</v>
      </c>
      <c r="E7806" s="4" t="s">
        <v>1938</v>
      </c>
    </row>
    <row r="7807" spans="1:5" x14ac:dyDescent="0.2">
      <c r="A7807">
        <v>7746</v>
      </c>
      <c r="B7807" s="138">
        <f>'Revenues 9-14'!J120</f>
        <v>0</v>
      </c>
      <c r="D7807" s="2" t="str">
        <f t="shared" ref="D7807:D7816" si="128">IF(ISBLANK(B7807),"OK",IF(A7807-B7807=0,"OK","Error?"))</f>
        <v>Error?</v>
      </c>
      <c r="E7807" s="4" t="s">
        <v>1938</v>
      </c>
    </row>
    <row r="7808" spans="1:5" x14ac:dyDescent="0.2">
      <c r="A7808">
        <v>7747</v>
      </c>
      <c r="B7808" s="138">
        <f>'Revenues 9-14'!K120</f>
        <v>0</v>
      </c>
      <c r="D7808" s="2" t="str">
        <f t="shared" si="128"/>
        <v>Error?</v>
      </c>
      <c r="E7808" s="4" t="s">
        <v>1938</v>
      </c>
    </row>
    <row r="7809" spans="1:5" x14ac:dyDescent="0.2">
      <c r="A7809">
        <v>7748</v>
      </c>
      <c r="B7809" s="138">
        <f>'Revenues 9-14'!C261</f>
        <v>0</v>
      </c>
      <c r="D7809" s="2" t="str">
        <f t="shared" si="128"/>
        <v>Error?</v>
      </c>
      <c r="E7809" s="4" t="s">
        <v>1939</v>
      </c>
    </row>
    <row r="7810" spans="1:5" x14ac:dyDescent="0.2">
      <c r="A7810">
        <v>7749</v>
      </c>
      <c r="B7810" s="138">
        <f>'Revenues 9-14'!D261</f>
        <v>0</v>
      </c>
      <c r="D7810" s="2" t="str">
        <f t="shared" si="128"/>
        <v>Error?</v>
      </c>
      <c r="E7810" s="4" t="s">
        <v>1939</v>
      </c>
    </row>
    <row r="7811" spans="1:5" x14ac:dyDescent="0.2">
      <c r="A7811">
        <v>7750</v>
      </c>
      <c r="B7811" s="138">
        <f>'Revenues 9-14'!F261</f>
        <v>0</v>
      </c>
      <c r="D7811" s="2" t="str">
        <f t="shared" si="128"/>
        <v>Error?</v>
      </c>
      <c r="E7811" s="4" t="s">
        <v>1939</v>
      </c>
    </row>
    <row r="7812" spans="1:5" x14ac:dyDescent="0.2">
      <c r="A7812">
        <v>7751</v>
      </c>
      <c r="B7812" s="138">
        <f>'Revenues 9-14'!G261</f>
        <v>0</v>
      </c>
      <c r="D7812" s="2" t="str">
        <f t="shared" si="128"/>
        <v>Error?</v>
      </c>
      <c r="E7812" s="4" t="s">
        <v>1939</v>
      </c>
    </row>
    <row r="7813" spans="1:5" x14ac:dyDescent="0.2">
      <c r="A7813">
        <v>7752</v>
      </c>
      <c r="B7813" s="138">
        <f>'Revenues 9-14'!C262</f>
        <v>0</v>
      </c>
      <c r="D7813" s="2" t="str">
        <f t="shared" si="128"/>
        <v>Error?</v>
      </c>
      <c r="E7813" s="4" t="s">
        <v>1940</v>
      </c>
    </row>
    <row r="7814" spans="1:5" x14ac:dyDescent="0.2">
      <c r="A7814">
        <v>7753</v>
      </c>
      <c r="B7814" s="138">
        <f>'Revenues 9-14'!D262</f>
        <v>0</v>
      </c>
      <c r="D7814" s="2" t="str">
        <f t="shared" si="128"/>
        <v>Error?</v>
      </c>
      <c r="E7814" s="4" t="s">
        <v>1940</v>
      </c>
    </row>
    <row r="7815" spans="1:5" x14ac:dyDescent="0.2">
      <c r="A7815">
        <v>7754</v>
      </c>
      <c r="B7815" s="138">
        <f>'Revenues 9-14'!F262</f>
        <v>0</v>
      </c>
      <c r="D7815" s="2" t="str">
        <f t="shared" si="128"/>
        <v>Error?</v>
      </c>
      <c r="E7815" s="4" t="s">
        <v>1940</v>
      </c>
    </row>
    <row r="7816" spans="1:5" x14ac:dyDescent="0.2">
      <c r="A7816">
        <v>7755</v>
      </c>
      <c r="B7816" s="138">
        <f>'Revenues 9-14'!G262</f>
        <v>0</v>
      </c>
      <c r="D7816" s="2" t="str">
        <f t="shared" si="128"/>
        <v>Error?</v>
      </c>
      <c r="E7816" s="4" t="s">
        <v>1940</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topLeftCell="A10" zoomScale="110" zoomScaleNormal="110" workbookViewId="0">
      <selection activeCell="A10" sqref="A10:F10"/>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11" t="s">
        <v>1191</v>
      </c>
      <c r="B2" s="2411"/>
      <c r="C2" s="2411"/>
      <c r="D2" s="2411"/>
      <c r="E2" s="2411"/>
      <c r="F2" s="2411"/>
      <c r="G2" s="2411"/>
      <c r="H2" s="2411"/>
      <c r="I2" s="2411"/>
      <c r="J2" s="2411"/>
      <c r="K2" s="2411"/>
      <c r="L2" s="2411"/>
    </row>
    <row r="3" spans="1:29" ht="13.5" customHeight="1" x14ac:dyDescent="0.2">
      <c r="A3" s="2397" t="s">
        <v>1190</v>
      </c>
      <c r="B3" s="2397"/>
      <c r="C3" s="2397"/>
      <c r="D3" s="2397"/>
      <c r="E3" s="2397"/>
      <c r="F3" s="2397"/>
      <c r="G3" s="2397"/>
      <c r="H3" s="2397"/>
      <c r="I3" s="2397"/>
      <c r="J3" s="2397"/>
      <c r="K3" s="2397"/>
      <c r="L3" s="2397"/>
    </row>
    <row r="4" spans="1:29" ht="13.5" customHeight="1" x14ac:dyDescent="0.2">
      <c r="A4" s="2411" t="s">
        <v>1986</v>
      </c>
      <c r="B4" s="2428"/>
      <c r="C4" s="2428"/>
      <c r="D4" s="2428"/>
      <c r="E4" s="2428"/>
      <c r="F4" s="2428"/>
      <c r="G4" s="2428"/>
      <c r="H4" s="2428"/>
      <c r="I4" s="2428"/>
      <c r="J4" s="2428"/>
      <c r="K4" s="2428"/>
      <c r="L4" s="2428"/>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91" t="str">
        <f>COVER!A17</f>
        <v>Palestine CUSD 3</v>
      </c>
      <c r="B7" s="2392"/>
      <c r="C7" s="2392"/>
      <c r="D7" s="2429"/>
      <c r="E7" s="2430">
        <f>COVER!A13</f>
        <v>12017003026</v>
      </c>
      <c r="F7" s="2431"/>
      <c r="G7" s="2398" t="str">
        <f>COVER!T23</f>
        <v>066-003998</v>
      </c>
      <c r="H7" s="2399"/>
      <c r="I7" s="2399"/>
      <c r="J7" s="2399"/>
      <c r="K7" s="2399"/>
      <c r="L7" s="2400"/>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01"/>
      <c r="B9" s="2402"/>
      <c r="C9" s="2402"/>
      <c r="D9" s="2402"/>
      <c r="E9" s="2402"/>
      <c r="F9" s="2403"/>
      <c r="G9" s="2404" t="str">
        <f>COVER!T13</f>
        <v>Kemper CPA Group, LLP</v>
      </c>
      <c r="H9" s="2405"/>
      <c r="I9" s="2405"/>
      <c r="J9" s="2405"/>
      <c r="K9" s="2405"/>
      <c r="L9" s="2406"/>
    </row>
    <row r="10" spans="1:29" ht="13.5" customHeight="1" x14ac:dyDescent="0.2">
      <c r="A10" s="2388" t="str">
        <f>COVER!A38</f>
        <v>Jo Campbell</v>
      </c>
      <c r="B10" s="2389"/>
      <c r="C10" s="2389"/>
      <c r="D10" s="2389"/>
      <c r="E10" s="2389"/>
      <c r="F10" s="2390"/>
      <c r="G10" s="2404" t="str">
        <f>COVER!T17</f>
        <v>P.O. Box 694</v>
      </c>
      <c r="H10" s="2417"/>
      <c r="I10" s="2417"/>
      <c r="J10" s="2417"/>
      <c r="K10" s="2417"/>
      <c r="L10" s="2418"/>
    </row>
    <row r="11" spans="1:29" ht="13.5" customHeight="1" x14ac:dyDescent="0.2">
      <c r="A11" s="1184" t="s">
        <v>1519</v>
      </c>
      <c r="B11" s="1185"/>
      <c r="C11" s="1186"/>
      <c r="D11" s="1191"/>
      <c r="E11" s="1186"/>
      <c r="F11" s="1190"/>
      <c r="G11" s="2404" t="str">
        <f>COVER!T19</f>
        <v>Robinson</v>
      </c>
      <c r="H11" s="2417"/>
      <c r="I11" s="2417"/>
      <c r="J11" s="2417"/>
      <c r="K11" s="2417"/>
      <c r="L11" s="2418"/>
    </row>
    <row r="12" spans="1:29" ht="13.5" customHeight="1" x14ac:dyDescent="0.2">
      <c r="A12" s="2422" t="s">
        <v>1518</v>
      </c>
      <c r="B12" s="2423"/>
      <c r="C12" s="2423"/>
      <c r="D12" s="2423"/>
      <c r="E12" s="2423"/>
      <c r="F12" s="2424"/>
      <c r="G12" s="2419"/>
      <c r="H12" s="2420"/>
      <c r="I12" s="2420"/>
      <c r="J12" s="2420"/>
      <c r="K12" s="2420"/>
      <c r="L12" s="2421"/>
    </row>
    <row r="13" spans="1:29" ht="13.5" customHeight="1" x14ac:dyDescent="0.2">
      <c r="A13" s="2404"/>
      <c r="B13" s="2417"/>
      <c r="C13" s="2417"/>
      <c r="D13" s="2417"/>
      <c r="E13" s="2417"/>
      <c r="F13" s="2418"/>
      <c r="G13" s="2412" t="s">
        <v>1520</v>
      </c>
      <c r="H13" s="2413"/>
      <c r="I13" s="2425" t="str">
        <f>COVER!T25</f>
        <v>jtruitt@kempercpa.com</v>
      </c>
      <c r="J13" s="2426"/>
      <c r="K13" s="2426"/>
      <c r="L13" s="2427"/>
    </row>
    <row r="14" spans="1:29" ht="13.5" customHeight="1" x14ac:dyDescent="0.2">
      <c r="A14" s="2404" t="str">
        <f>COVER!A19</f>
        <v>100 S Main</v>
      </c>
      <c r="B14" s="2417"/>
      <c r="C14" s="2417"/>
      <c r="D14" s="2417"/>
      <c r="E14" s="2417"/>
      <c r="F14" s="2418"/>
      <c r="G14" s="1195" t="s">
        <v>1185</v>
      </c>
      <c r="H14" s="1193"/>
      <c r="I14" s="1193"/>
      <c r="J14" s="1193"/>
      <c r="K14" s="1193"/>
      <c r="L14" s="1194"/>
    </row>
    <row r="15" spans="1:29" ht="13.5" customHeight="1" x14ac:dyDescent="0.2">
      <c r="A15" s="2404" t="str">
        <f>COVER!A21</f>
        <v>Palestine</v>
      </c>
      <c r="B15" s="2417"/>
      <c r="C15" s="2417"/>
      <c r="D15" s="2417"/>
      <c r="E15" s="2417"/>
      <c r="F15" s="2418"/>
      <c r="G15" s="2414" t="str">
        <f>COVER!T15</f>
        <v>Jodi Truitt</v>
      </c>
      <c r="H15" s="2415"/>
      <c r="I15" s="2415"/>
      <c r="J15" s="2415"/>
      <c r="K15" s="2415"/>
      <c r="L15" s="2416"/>
    </row>
    <row r="16" spans="1:29" ht="12.2" customHeight="1" x14ac:dyDescent="0.2">
      <c r="A16" s="2394">
        <f>COVER!A25</f>
        <v>62451</v>
      </c>
      <c r="B16" s="2395"/>
      <c r="C16" s="2395"/>
      <c r="D16" s="2395"/>
      <c r="E16" s="2395"/>
      <c r="F16" s="2396"/>
      <c r="G16" s="2407"/>
      <c r="H16" s="2408"/>
      <c r="I16" s="2408"/>
      <c r="J16" s="2408"/>
      <c r="K16" s="2408"/>
      <c r="L16" s="2409"/>
    </row>
    <row r="17" spans="1:13" ht="12.2" customHeight="1" x14ac:dyDescent="0.2">
      <c r="A17" s="2410"/>
      <c r="B17" s="2395"/>
      <c r="C17" s="2395"/>
      <c r="D17" s="2395"/>
      <c r="E17" s="2395"/>
      <c r="F17" s="2396"/>
      <c r="G17" s="1195" t="s">
        <v>1184</v>
      </c>
      <c r="H17" s="1193"/>
      <c r="I17" s="1193"/>
      <c r="J17" s="1193"/>
      <c r="K17" s="1197" t="s">
        <v>1183</v>
      </c>
      <c r="L17" s="1190"/>
      <c r="M17" s="1183"/>
    </row>
    <row r="18" spans="1:13" ht="12.2" customHeight="1" x14ac:dyDescent="0.2">
      <c r="A18" s="2388"/>
      <c r="B18" s="2389"/>
      <c r="C18" s="2389"/>
      <c r="D18" s="2389"/>
      <c r="E18" s="2389"/>
      <c r="F18" s="2390"/>
      <c r="G18" s="2391" t="str">
        <f>COVER!T21</f>
        <v>618-546-1502</v>
      </c>
      <c r="H18" s="2392"/>
      <c r="I18" s="2392"/>
      <c r="J18" s="2392"/>
      <c r="K18" s="2391" t="str">
        <f>COVER!X21</f>
        <v>618-544-2140</v>
      </c>
      <c r="L18" s="2393"/>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1835</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5"/>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91"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32" t="str">
        <f>'Single Audit Cover'!A7</f>
        <v>Palestine CUSD 3</v>
      </c>
      <c r="B1" s="2428"/>
      <c r="C1" s="2428"/>
      <c r="D1" s="2428"/>
    </row>
    <row r="2" spans="1:11" s="1212" customFormat="1" ht="12.75" x14ac:dyDescent="0.2">
      <c r="A2" s="2433">
        <f>'Single Audit Cover'!E7</f>
        <v>12017003026</v>
      </c>
      <c r="B2" s="2434"/>
      <c r="C2" s="2434"/>
      <c r="D2" s="2434"/>
    </row>
    <row r="3" spans="1:11" s="1212" customFormat="1" ht="12.75" x14ac:dyDescent="0.2">
      <c r="A3" s="2432" t="s">
        <v>1513</v>
      </c>
      <c r="B3" s="2428"/>
      <c r="C3" s="2428"/>
      <c r="D3" s="2428"/>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1836</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6" t="str">
        <f>'Single Audit Cover'!A7</f>
        <v>Palestine CUSD 3</v>
      </c>
      <c r="B1" s="2436"/>
      <c r="C1" s="2436"/>
      <c r="D1" s="2436"/>
      <c r="E1" s="2436"/>
    </row>
    <row r="2" spans="1:5" x14ac:dyDescent="0.2">
      <c r="A2" s="2437">
        <f>'Single Audit Cover'!E7</f>
        <v>12017003026</v>
      </c>
      <c r="B2" s="2437"/>
      <c r="C2" s="2437"/>
      <c r="D2" s="2437"/>
      <c r="E2" s="2437"/>
    </row>
    <row r="3" spans="1:5" ht="4.5" customHeight="1" x14ac:dyDescent="0.2"/>
    <row r="4" spans="1:5" x14ac:dyDescent="0.2">
      <c r="A4" s="2436" t="s">
        <v>1245</v>
      </c>
      <c r="B4" s="2436"/>
      <c r="C4" s="2436"/>
      <c r="D4" s="2436"/>
      <c r="E4" s="2436"/>
    </row>
    <row r="5" spans="1:5" x14ac:dyDescent="0.2">
      <c r="A5" s="2439" t="str">
        <f>'Single Audit Cover'!A4</f>
        <v>Year Ending June 30, 2019</v>
      </c>
      <c r="B5" s="2439"/>
      <c r="C5" s="2439"/>
      <c r="D5" s="2439"/>
      <c r="E5" s="2439"/>
    </row>
    <row r="6" spans="1:5" x14ac:dyDescent="0.2">
      <c r="A6" s="2436" t="s">
        <v>1244</v>
      </c>
      <c r="B6" s="2436"/>
      <c r="C6" s="2436"/>
      <c r="D6" s="2436"/>
      <c r="E6" s="2436"/>
    </row>
    <row r="8" spans="1:5" x14ac:dyDescent="0.2">
      <c r="A8" s="1257" t="s">
        <v>1243</v>
      </c>
    </row>
    <row r="10" spans="1:5" x14ac:dyDescent="0.2">
      <c r="A10" s="1258" t="s">
        <v>1242</v>
      </c>
      <c r="B10" s="1259" t="s">
        <v>1241</v>
      </c>
      <c r="C10" s="1259"/>
      <c r="D10" s="1260">
        <f>SUM('Acct Summary 7-8'!C7:K7)</f>
        <v>343514</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8211</v>
      </c>
    </row>
    <row r="15" spans="1:5" x14ac:dyDescent="0.2">
      <c r="A15" s="1258"/>
      <c r="B15" s="1259"/>
      <c r="C15" s="1259"/>
    </row>
    <row r="16" spans="1:5" x14ac:dyDescent="0.2">
      <c r="A16" s="1258" t="s">
        <v>1842</v>
      </c>
      <c r="B16" s="1259"/>
      <c r="C16" s="1259"/>
    </row>
    <row r="17" spans="1:4" x14ac:dyDescent="0.2">
      <c r="A17" s="1258" t="s">
        <v>2058</v>
      </c>
      <c r="B17" s="1259" t="s">
        <v>1236</v>
      </c>
      <c r="C17" s="1259"/>
      <c r="D17" s="1261">
        <f>-SUM('Revenues 9-14'!C264:D264,'Revenues 9-14'!F264:G264)</f>
        <v>-3159</v>
      </c>
    </row>
    <row r="19" spans="1:4" ht="13.5" thickBot="1" x14ac:dyDescent="0.25">
      <c r="A19" s="1262" t="s">
        <v>1235</v>
      </c>
      <c r="D19" s="1263">
        <f>SUM(D10:D17)</f>
        <v>348566</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8"/>
      <c r="B24" s="2438"/>
      <c r="D24" s="1265"/>
    </row>
    <row r="25" spans="1:4" x14ac:dyDescent="0.2">
      <c r="A25" s="2435"/>
      <c r="B25" s="2435"/>
      <c r="D25" s="1265"/>
    </row>
    <row r="26" spans="1:4" x14ac:dyDescent="0.2">
      <c r="A26" s="2435"/>
      <c r="B26" s="2435"/>
      <c r="D26" s="1265"/>
    </row>
    <row r="27" spans="1:4" x14ac:dyDescent="0.2">
      <c r="A27" s="2435"/>
      <c r="B27" s="2435"/>
      <c r="D27" s="1265"/>
    </row>
    <row r="28" spans="1:4" x14ac:dyDescent="0.2">
      <c r="A28" s="2435"/>
      <c r="B28" s="2435"/>
      <c r="D28" s="1265"/>
    </row>
    <row r="29" spans="1:4" x14ac:dyDescent="0.2">
      <c r="A29" s="2435"/>
      <c r="B29" s="2435"/>
      <c r="D29" s="1265"/>
    </row>
    <row r="30" spans="1:4" x14ac:dyDescent="0.2">
      <c r="A30" s="2435"/>
      <c r="B30" s="2435"/>
      <c r="D30" s="1265"/>
    </row>
    <row r="32" spans="1:4" x14ac:dyDescent="0.2">
      <c r="A32" s="1257" t="s">
        <v>1233</v>
      </c>
      <c r="D32" s="1260">
        <f>SUM(D19:D30)</f>
        <v>348566</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35"/>
      <c r="B40" s="2435"/>
      <c r="D40" s="1265"/>
    </row>
    <row r="41" spans="1:4" x14ac:dyDescent="0.2">
      <c r="A41" s="2435"/>
      <c r="B41" s="2435"/>
      <c r="D41" s="1268"/>
    </row>
    <row r="42" spans="1:4" x14ac:dyDescent="0.2">
      <c r="A42" s="2435"/>
      <c r="B42" s="2435"/>
      <c r="D42" s="1268"/>
    </row>
    <row r="43" spans="1:4" x14ac:dyDescent="0.2">
      <c r="A43" s="2435"/>
      <c r="B43" s="2435"/>
      <c r="D43" s="1268"/>
    </row>
    <row r="44" spans="1:4" x14ac:dyDescent="0.2">
      <c r="A44" s="2435"/>
      <c r="B44" s="2435"/>
      <c r="D44" s="1268"/>
    </row>
    <row r="45" spans="1:4" x14ac:dyDescent="0.2">
      <c r="A45" s="2435"/>
      <c r="B45" s="2435"/>
      <c r="D45" s="1268"/>
    </row>
    <row r="47" spans="1:4" x14ac:dyDescent="0.2">
      <c r="B47" s="1269" t="s">
        <v>1227</v>
      </c>
      <c r="C47" s="1269"/>
      <c r="D47" s="1270">
        <f>SUM(D35:D45)</f>
        <v>0</v>
      </c>
    </row>
    <row r="49" spans="2:4" x14ac:dyDescent="0.2">
      <c r="B49" s="1269" t="s">
        <v>1226</v>
      </c>
      <c r="C49" s="1269"/>
      <c r="D49" s="1270">
        <f>D32-D47</f>
        <v>348566</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13"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7" t="str">
        <f>'Single Audit Cover'!A7</f>
        <v>Palestine CUSD 3</v>
      </c>
      <c r="C1" s="2440"/>
      <c r="D1" s="2440"/>
      <c r="E1" s="2440"/>
      <c r="F1" s="2440"/>
      <c r="G1" s="2440"/>
      <c r="H1" s="2440"/>
      <c r="I1" s="2440"/>
      <c r="J1" s="2440"/>
      <c r="K1" s="2440"/>
      <c r="L1" s="2440"/>
      <c r="M1" s="2440"/>
    </row>
    <row r="2" spans="2:14" ht="15" x14ac:dyDescent="0.2">
      <c r="B2" s="2441">
        <f>'Single Audit Cover'!E7</f>
        <v>12017003026</v>
      </c>
      <c r="C2" s="2441"/>
      <c r="D2" s="2441"/>
      <c r="E2" s="2441"/>
      <c r="F2" s="2441"/>
      <c r="G2" s="2441"/>
      <c r="H2" s="2441"/>
      <c r="I2" s="2441"/>
      <c r="J2" s="2441"/>
      <c r="K2" s="2441"/>
      <c r="L2" s="2441"/>
      <c r="M2" s="2441"/>
      <c r="N2" s="1299"/>
    </row>
    <row r="3" spans="2:14" ht="15" x14ac:dyDescent="0.2">
      <c r="B3" s="2442" t="s">
        <v>1219</v>
      </c>
      <c r="C3" s="2442"/>
      <c r="D3" s="2442"/>
      <c r="E3" s="2442"/>
      <c r="F3" s="2442"/>
      <c r="G3" s="2442"/>
      <c r="H3" s="2442"/>
      <c r="I3" s="2442"/>
      <c r="J3" s="2442"/>
      <c r="K3" s="2442"/>
      <c r="L3" s="2442"/>
      <c r="M3" s="2442"/>
      <c r="N3" s="1299"/>
    </row>
    <row r="4" spans="2:14" ht="15" x14ac:dyDescent="0.2">
      <c r="B4" s="2443" t="str">
        <f>'Single Audit Cover'!A4</f>
        <v>Year Ending June 30, 2019</v>
      </c>
      <c r="C4" s="2443"/>
      <c r="D4" s="2443"/>
      <c r="E4" s="2443"/>
      <c r="F4" s="2443"/>
      <c r="G4" s="2443"/>
      <c r="H4" s="2443"/>
      <c r="I4" s="2443"/>
      <c r="J4" s="2443"/>
      <c r="K4" s="2443"/>
      <c r="L4" s="2443"/>
      <c r="M4" s="2443"/>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1838</v>
      </c>
      <c r="I8" s="1316" t="s">
        <v>1262</v>
      </c>
      <c r="J8" s="1315" t="s">
        <v>1987</v>
      </c>
      <c r="K8" s="1316" t="s">
        <v>1261</v>
      </c>
      <c r="L8" s="1317" t="s">
        <v>1257</v>
      </c>
      <c r="M8" s="1318" t="s">
        <v>30</v>
      </c>
    </row>
    <row r="9" spans="2:14" ht="14.25" x14ac:dyDescent="0.2">
      <c r="B9" s="1322" t="s">
        <v>1259</v>
      </c>
      <c r="C9" s="1310" t="s">
        <v>1735</v>
      </c>
      <c r="D9" s="1311" t="s">
        <v>1736</v>
      </c>
      <c r="E9" s="1319" t="s">
        <v>1838</v>
      </c>
      <c r="F9" s="1320" t="s">
        <v>1987</v>
      </c>
      <c r="G9" s="1321" t="s">
        <v>1838</v>
      </c>
      <c r="H9" s="1314" t="s">
        <v>1582</v>
      </c>
      <c r="I9" s="1316" t="s">
        <v>1987</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1839</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5" t="str">
        <f>'Single Audit Cover'!A7</f>
        <v>Palestine CUSD 3</v>
      </c>
      <c r="B1" s="2445"/>
      <c r="C1" s="2445"/>
      <c r="D1" s="2445"/>
      <c r="E1" s="2445"/>
      <c r="F1" s="2445"/>
    </row>
    <row r="2" spans="1:7" ht="13.5" customHeight="1" x14ac:dyDescent="0.2">
      <c r="A2" s="2441">
        <f>'Single Audit Cover'!E7</f>
        <v>12017003026</v>
      </c>
      <c r="B2" s="2441"/>
      <c r="C2" s="2441"/>
      <c r="D2" s="2441"/>
      <c r="E2" s="2441"/>
      <c r="F2" s="2441"/>
      <c r="G2" s="1272"/>
    </row>
    <row r="3" spans="1:7" ht="15.75" customHeight="1" x14ac:dyDescent="0.2">
      <c r="A3" s="2446" t="s">
        <v>1271</v>
      </c>
      <c r="B3" s="2446"/>
      <c r="C3" s="2446"/>
      <c r="D3" s="2446"/>
      <c r="E3" s="2446"/>
      <c r="F3" s="2446"/>
    </row>
    <row r="4" spans="1:7" ht="13.5" customHeight="1" x14ac:dyDescent="0.2">
      <c r="A4" s="2447" t="str">
        <f>'Single Audit Cover'!A4</f>
        <v>Year Ending June 30, 2019</v>
      </c>
      <c r="B4" s="2447"/>
      <c r="C4" s="2447"/>
      <c r="D4" s="2447"/>
      <c r="E4" s="2447"/>
      <c r="F4" s="2447"/>
    </row>
    <row r="5" spans="1:7" ht="8.25" customHeight="1" x14ac:dyDescent="0.2">
      <c r="C5" s="317"/>
      <c r="D5" s="317"/>
    </row>
    <row r="6" spans="1:7" ht="13.5" customHeight="1" x14ac:dyDescent="0.2">
      <c r="A6" s="1273" t="s">
        <v>1728</v>
      </c>
      <c r="C6" s="317"/>
      <c r="D6" s="317"/>
    </row>
    <row r="7" spans="1:7" ht="60.95" customHeight="1" x14ac:dyDescent="0.2">
      <c r="A7" s="2444" t="s">
        <v>1729</v>
      </c>
      <c r="B7" s="2444"/>
      <c r="C7" s="2444"/>
      <c r="D7" s="2444"/>
      <c r="E7" s="2444"/>
      <c r="F7" s="2444"/>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4" t="s">
        <v>1731</v>
      </c>
      <c r="B13" s="2444"/>
      <c r="C13" s="2444"/>
      <c r="D13" s="2444"/>
      <c r="E13" s="2444"/>
      <c r="F13" s="2444"/>
    </row>
    <row r="14" spans="1:7" ht="9.75" customHeight="1" x14ac:dyDescent="0.2">
      <c r="C14" s="1257"/>
      <c r="D14" s="1257"/>
    </row>
    <row r="15" spans="1:7" ht="13.5" customHeight="1" x14ac:dyDescent="0.2">
      <c r="C15" s="1846" t="s">
        <v>1270</v>
      </c>
      <c r="D15" s="2449" t="s">
        <v>1269</v>
      </c>
      <c r="E15" s="2449"/>
      <c r="F15" s="2449"/>
    </row>
    <row r="16" spans="1:7" ht="13.5" customHeight="1" x14ac:dyDescent="0.2">
      <c r="A16" s="1279"/>
      <c r="B16" s="1273" t="s">
        <v>1268</v>
      </c>
      <c r="C16" s="1846" t="s">
        <v>1267</v>
      </c>
      <c r="D16" s="2450" t="s">
        <v>1588</v>
      </c>
      <c r="E16" s="2450"/>
      <c r="F16" s="2450"/>
    </row>
    <row r="17" spans="1:6" ht="20.45" customHeight="1" x14ac:dyDescent="0.2">
      <c r="A17" s="1280"/>
      <c r="B17" s="1281"/>
      <c r="C17" s="1282"/>
      <c r="D17" s="2448"/>
      <c r="E17" s="2448"/>
      <c r="F17" s="2448"/>
    </row>
    <row r="18" spans="1:6" ht="20.65" customHeight="1" x14ac:dyDescent="0.2">
      <c r="A18" s="1280"/>
      <c r="B18" s="1281"/>
      <c r="C18" s="1282"/>
      <c r="D18" s="2448"/>
      <c r="E18" s="2448"/>
      <c r="F18" s="2448"/>
    </row>
    <row r="19" spans="1:6" ht="20.65" customHeight="1" x14ac:dyDescent="0.2">
      <c r="A19" s="1280"/>
      <c r="B19" s="1281"/>
      <c r="C19" s="1282"/>
      <c r="D19" s="2448"/>
      <c r="E19" s="2448"/>
      <c r="F19" s="2448"/>
    </row>
    <row r="20" spans="1:6" ht="20.65" customHeight="1" x14ac:dyDescent="0.2">
      <c r="A20" s="1280"/>
      <c r="B20" s="1281"/>
      <c r="C20" s="1282"/>
      <c r="D20" s="2448"/>
      <c r="E20" s="2448"/>
      <c r="F20" s="2448"/>
    </row>
    <row r="21" spans="1:6" ht="20.65" customHeight="1" x14ac:dyDescent="0.2">
      <c r="A21" s="1280"/>
      <c r="B21" s="1281"/>
      <c r="C21" s="1282"/>
      <c r="D21" s="2448"/>
      <c r="E21" s="2448"/>
      <c r="F21" s="2448"/>
    </row>
    <row r="22" spans="1:6" ht="20.65" customHeight="1" x14ac:dyDescent="0.2">
      <c r="A22" s="1280"/>
      <c r="B22" s="1281"/>
      <c r="C22" s="1282"/>
      <c r="D22" s="2448"/>
      <c r="E22" s="2448"/>
      <c r="F22" s="2448"/>
    </row>
    <row r="23" spans="1:6" ht="20.65" customHeight="1" x14ac:dyDescent="0.2">
      <c r="A23" s="1280"/>
      <c r="B23" s="1281"/>
      <c r="C23" s="1282"/>
      <c r="D23" s="2448"/>
      <c r="E23" s="2448"/>
      <c r="F23" s="2448"/>
    </row>
    <row r="24" spans="1:6" ht="20.65" customHeight="1" x14ac:dyDescent="0.2">
      <c r="A24" s="1280"/>
      <c r="B24" s="1281"/>
      <c r="C24" s="1282"/>
      <c r="D24" s="2448"/>
      <c r="E24" s="2448"/>
      <c r="F24" s="2448"/>
    </row>
    <row r="25" spans="1:6" ht="20.65" customHeight="1" x14ac:dyDescent="0.2">
      <c r="A25" s="1280"/>
      <c r="B25" s="1281"/>
      <c r="C25" s="1282"/>
      <c r="D25" s="2448"/>
      <c r="E25" s="2448"/>
      <c r="F25" s="2448"/>
    </row>
    <row r="26" spans="1:6" ht="20.65" customHeight="1" x14ac:dyDescent="0.2">
      <c r="A26" s="1280"/>
      <c r="B26" s="1281"/>
      <c r="C26" s="1282"/>
      <c r="D26" s="2448"/>
      <c r="E26" s="2448"/>
      <c r="F26" s="2448"/>
    </row>
    <row r="27" spans="1:6" ht="20.65" customHeight="1" x14ac:dyDescent="0.2">
      <c r="A27" s="1280"/>
      <c r="B27" s="1281"/>
      <c r="C27" s="1282"/>
      <c r="D27" s="2448"/>
      <c r="E27" s="2448"/>
      <c r="F27" s="2448"/>
    </row>
    <row r="28" spans="1:6" ht="20.65" customHeight="1" x14ac:dyDescent="0.2">
      <c r="A28" s="1280"/>
      <c r="B28" s="1281"/>
      <c r="C28" s="1282"/>
      <c r="D28" s="2448"/>
      <c r="E28" s="2448"/>
      <c r="F28" s="2448"/>
    </row>
    <row r="29" spans="1:6" ht="20.65" customHeight="1" x14ac:dyDescent="0.2">
      <c r="A29" s="1280"/>
      <c r="B29" s="1281"/>
      <c r="C29" s="1282"/>
      <c r="D29" s="2448"/>
      <c r="E29" s="2448"/>
      <c r="F29" s="2448"/>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52" t="s">
        <v>1732</v>
      </c>
      <c r="B32" s="2452"/>
      <c r="C32" s="2452"/>
      <c r="D32" s="2452"/>
      <c r="E32" s="2452"/>
      <c r="F32" s="2452"/>
    </row>
    <row r="33" spans="1:6" ht="13.5" customHeight="1" x14ac:dyDescent="0.2">
      <c r="A33" s="328" t="s">
        <v>1434</v>
      </c>
      <c r="B33" s="328"/>
      <c r="C33" s="1285">
        <v>0</v>
      </c>
      <c r="D33" s="1903"/>
      <c r="E33" s="1283"/>
    </row>
    <row r="34" spans="1:6" ht="13.5" customHeight="1" x14ac:dyDescent="0.2">
      <c r="A34" s="328" t="s">
        <v>1837</v>
      </c>
      <c r="B34" s="328"/>
      <c r="C34" s="1286">
        <v>0</v>
      </c>
      <c r="D34" s="1903" t="s">
        <v>1589</v>
      </c>
      <c r="E34" s="2453">
        <f>+C33+C34</f>
        <v>0</v>
      </c>
      <c r="F34" s="2454"/>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55" t="s">
        <v>1590</v>
      </c>
      <c r="C49" s="2455"/>
      <c r="D49" s="2455"/>
      <c r="E49" s="1396"/>
    </row>
    <row r="50" spans="1:5" s="1297" customFormat="1" ht="3.75" customHeight="1" x14ac:dyDescent="0.2">
      <c r="A50" s="1296"/>
      <c r="B50" s="1845"/>
      <c r="C50" s="1845"/>
      <c r="D50" s="1845"/>
      <c r="E50" s="1396"/>
    </row>
    <row r="51" spans="1:5" s="1297" customFormat="1" ht="20.25" customHeight="1" x14ac:dyDescent="0.2">
      <c r="A51" s="1298">
        <v>6</v>
      </c>
      <c r="B51" s="2451" t="s">
        <v>1551</v>
      </c>
      <c r="C51" s="2451"/>
      <c r="D51" s="2451"/>
    </row>
    <row r="52" spans="1:5" ht="14.25" customHeight="1" x14ac:dyDescent="0.2">
      <c r="A52" s="1298"/>
      <c r="B52" s="2451"/>
      <c r="C52" s="2451"/>
      <c r="D52" s="2451"/>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59999389629810485"/>
  </sheetPr>
  <dimension ref="A1:K143"/>
  <sheetViews>
    <sheetView showGridLines="0" defaultGridColor="0" topLeftCell="A98" colorId="8" zoomScale="110" zoomScaleNormal="110" workbookViewId="0">
      <selection activeCell="D40" sqref="D40"/>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1" t="s">
        <v>1168</v>
      </c>
      <c r="B2" s="2061"/>
      <c r="C2" s="2061"/>
      <c r="D2" s="2061"/>
      <c r="E2" s="2061"/>
      <c r="F2" s="2061"/>
      <c r="G2" s="2061"/>
      <c r="H2" s="2061"/>
      <c r="I2" s="2061"/>
      <c r="J2" s="2061"/>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1943</v>
      </c>
    </row>
    <row r="32" spans="1:4" s="181" customFormat="1" x14ac:dyDescent="0.2">
      <c r="A32" s="219"/>
      <c r="B32" s="236"/>
      <c r="C32" s="227"/>
      <c r="D32" s="237" t="s">
        <v>1792</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5" t="s">
        <v>1633</v>
      </c>
      <c r="B35" s="2076"/>
      <c r="C35" s="2076"/>
      <c r="D35" s="2076"/>
      <c r="E35" s="2077"/>
      <c r="F35" s="2077"/>
      <c r="G35" s="2077"/>
      <c r="H35" s="2077"/>
      <c r="I35" s="2077"/>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5" t="s">
        <v>313</v>
      </c>
      <c r="B47" s="2078"/>
      <c r="C47" s="2078"/>
      <c r="D47" s="2078"/>
      <c r="E47" s="2079"/>
      <c r="F47" s="2079"/>
      <c r="G47" s="2079"/>
      <c r="H47" s="2079"/>
      <c r="I47" s="2079"/>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t="s">
        <v>2064</v>
      </c>
      <c r="C54" s="179">
        <v>23</v>
      </c>
      <c r="D54" s="243" t="s">
        <v>1362</v>
      </c>
      <c r="E54" s="248"/>
      <c r="F54" s="249"/>
    </row>
    <row r="55" spans="1:10" s="181" customFormat="1" x14ac:dyDescent="0.2">
      <c r="A55" s="214"/>
      <c r="B55" s="251"/>
      <c r="C55" s="251"/>
      <c r="D55" s="231" t="s">
        <v>1791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2" t="s">
        <v>2078</v>
      </c>
      <c r="C57" s="2083"/>
      <c r="D57" s="2083"/>
      <c r="E57" s="2083"/>
      <c r="F57" s="2083"/>
      <c r="G57" s="2083"/>
      <c r="H57" s="2083"/>
      <c r="I57" s="2083"/>
      <c r="J57" s="2084"/>
    </row>
    <row r="58" spans="1:10" s="181" customFormat="1" x14ac:dyDescent="0.2">
      <c r="A58" s="253"/>
      <c r="B58" s="2085"/>
      <c r="C58" s="2086"/>
      <c r="D58" s="2086"/>
      <c r="E58" s="2086"/>
      <c r="F58" s="2086"/>
      <c r="G58" s="2086"/>
      <c r="H58" s="2086"/>
      <c r="I58" s="2086"/>
      <c r="J58" s="2087"/>
    </row>
    <row r="59" spans="1:10" s="181" customFormat="1" x14ac:dyDescent="0.2">
      <c r="A59" s="253"/>
      <c r="B59" s="2085"/>
      <c r="C59" s="2086"/>
      <c r="D59" s="2086"/>
      <c r="E59" s="2086"/>
      <c r="F59" s="2086"/>
      <c r="G59" s="2086"/>
      <c r="H59" s="2086"/>
      <c r="I59" s="2086"/>
      <c r="J59" s="2087"/>
    </row>
    <row r="60" spans="1:10" s="181" customFormat="1" x14ac:dyDescent="0.2">
      <c r="A60" s="253"/>
      <c r="B60" s="2085"/>
      <c r="C60" s="2086"/>
      <c r="D60" s="2086"/>
      <c r="E60" s="2086"/>
      <c r="F60" s="2086"/>
      <c r="G60" s="2086"/>
      <c r="H60" s="2086"/>
      <c r="I60" s="2086"/>
      <c r="J60" s="2087"/>
    </row>
    <row r="61" spans="1:10" s="181" customFormat="1" x14ac:dyDescent="0.2">
      <c r="A61" s="253"/>
      <c r="B61" s="2085"/>
      <c r="C61" s="2086"/>
      <c r="D61" s="2086"/>
      <c r="E61" s="2086"/>
      <c r="F61" s="2086"/>
      <c r="G61" s="2086"/>
      <c r="H61" s="2086"/>
      <c r="I61" s="2086"/>
      <c r="J61" s="2087"/>
    </row>
    <row r="62" spans="1:10" s="181" customFormat="1" x14ac:dyDescent="0.2">
      <c r="A62" s="253"/>
      <c r="B62" s="2085"/>
      <c r="C62" s="2086"/>
      <c r="D62" s="2086"/>
      <c r="E62" s="2086"/>
      <c r="F62" s="2086"/>
      <c r="G62" s="2086"/>
      <c r="H62" s="2086"/>
      <c r="I62" s="2086"/>
      <c r="J62" s="2087"/>
    </row>
    <row r="63" spans="1:10" s="181" customFormat="1" x14ac:dyDescent="0.2">
      <c r="A63" s="253"/>
      <c r="B63" s="2085"/>
      <c r="C63" s="2086"/>
      <c r="D63" s="2086"/>
      <c r="E63" s="2086"/>
      <c r="F63" s="2086"/>
      <c r="G63" s="2086"/>
      <c r="H63" s="2086"/>
      <c r="I63" s="2086"/>
      <c r="J63" s="2087"/>
    </row>
    <row r="64" spans="1:10" s="181" customFormat="1" x14ac:dyDescent="0.2">
      <c r="A64" s="253"/>
      <c r="B64" s="2085"/>
      <c r="C64" s="2086"/>
      <c r="D64" s="2086"/>
      <c r="E64" s="2086"/>
      <c r="F64" s="2086"/>
      <c r="G64" s="2086"/>
      <c r="H64" s="2086"/>
      <c r="I64" s="2086"/>
      <c r="J64" s="2087"/>
    </row>
    <row r="65" spans="1:10" s="181" customFormat="1" x14ac:dyDescent="0.2">
      <c r="A65" s="253"/>
      <c r="B65" s="2085"/>
      <c r="C65" s="2086"/>
      <c r="D65" s="2086"/>
      <c r="E65" s="2086"/>
      <c r="F65" s="2086"/>
      <c r="G65" s="2086"/>
      <c r="H65" s="2086"/>
      <c r="I65" s="2086"/>
      <c r="J65" s="2087"/>
    </row>
    <row r="66" spans="1:10" s="181" customFormat="1" x14ac:dyDescent="0.2">
      <c r="A66" s="253"/>
      <c r="B66" s="2085"/>
      <c r="C66" s="2086"/>
      <c r="D66" s="2086"/>
      <c r="E66" s="2086"/>
      <c r="F66" s="2086"/>
      <c r="G66" s="2086"/>
      <c r="H66" s="2086"/>
      <c r="I66" s="2086"/>
      <c r="J66" s="2087"/>
    </row>
    <row r="67" spans="1:10" s="181" customFormat="1" ht="9" customHeight="1" x14ac:dyDescent="0.2">
      <c r="A67" s="254"/>
      <c r="B67" s="2088"/>
      <c r="C67" s="2089"/>
      <c r="D67" s="2089"/>
      <c r="E67" s="2089"/>
      <c r="F67" s="2089"/>
      <c r="G67" s="2089"/>
      <c r="H67" s="2089"/>
      <c r="I67" s="2089"/>
      <c r="J67" s="209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5" t="s">
        <v>1323</v>
      </c>
      <c r="B70" s="2078"/>
      <c r="C70" s="2078"/>
      <c r="D70" s="2078"/>
      <c r="E70" s="2079"/>
      <c r="F70" s="2079"/>
      <c r="G70" s="2079"/>
      <c r="H70" s="2079"/>
      <c r="I70" s="2079"/>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1928</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1944</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1903</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0" t="s">
        <v>1320</v>
      </c>
      <c r="B83" s="2080"/>
      <c r="C83" s="2080"/>
      <c r="D83" s="2081"/>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1926</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1927</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2"/>
      <c r="C102" s="2063"/>
      <c r="D102" s="2063"/>
      <c r="E102" s="2063"/>
      <c r="F102" s="2063"/>
      <c r="G102" s="2063"/>
      <c r="H102" s="2063"/>
      <c r="I102" s="2064"/>
    </row>
    <row r="103" spans="1:9" s="181" customFormat="1" ht="11.25" customHeight="1" x14ac:dyDescent="0.2">
      <c r="A103" s="316"/>
      <c r="B103" s="2065"/>
      <c r="C103" s="2066"/>
      <c r="D103" s="2066"/>
      <c r="E103" s="2066"/>
      <c r="F103" s="2066"/>
      <c r="G103" s="2066"/>
      <c r="H103" s="2066"/>
      <c r="I103" s="2067"/>
    </row>
    <row r="104" spans="1:9" s="181" customFormat="1" ht="11.25" customHeight="1" x14ac:dyDescent="0.2">
      <c r="A104" s="316"/>
      <c r="B104" s="2065"/>
      <c r="C104" s="2066"/>
      <c r="D104" s="2066"/>
      <c r="E104" s="2066"/>
      <c r="F104" s="2066"/>
      <c r="G104" s="2066"/>
      <c r="H104" s="2066"/>
      <c r="I104" s="2067"/>
    </row>
    <row r="105" spans="1:9" s="181" customFormat="1" x14ac:dyDescent="0.2">
      <c r="A105" s="316"/>
      <c r="B105" s="2065"/>
      <c r="C105" s="2066"/>
      <c r="D105" s="2066"/>
      <c r="E105" s="2066"/>
      <c r="F105" s="2066"/>
      <c r="G105" s="2066"/>
      <c r="H105" s="2066"/>
      <c r="I105" s="2067"/>
    </row>
    <row r="106" spans="1:9" s="181" customFormat="1" ht="11.25" customHeight="1" x14ac:dyDescent="0.2">
      <c r="A106" s="316"/>
      <c r="B106" s="2065"/>
      <c r="C106" s="2066"/>
      <c r="D106" s="2066"/>
      <c r="E106" s="2066"/>
      <c r="F106" s="2066"/>
      <c r="G106" s="2066"/>
      <c r="H106" s="2066"/>
      <c r="I106" s="2067"/>
    </row>
    <row r="107" spans="1:9" s="181" customFormat="1" ht="11.25" customHeight="1" x14ac:dyDescent="0.2">
      <c r="A107" s="316"/>
      <c r="B107" s="2065"/>
      <c r="C107" s="2066"/>
      <c r="D107" s="2066"/>
      <c r="E107" s="2066"/>
      <c r="F107" s="2066"/>
      <c r="G107" s="2066"/>
      <c r="H107" s="2066"/>
      <c r="I107" s="2067"/>
    </row>
    <row r="108" spans="1:9" s="181" customFormat="1" ht="11.25" customHeight="1" x14ac:dyDescent="0.2">
      <c r="A108" s="316"/>
      <c r="B108" s="2065"/>
      <c r="C108" s="2066"/>
      <c r="D108" s="2066"/>
      <c r="E108" s="2066"/>
      <c r="F108" s="2066"/>
      <c r="G108" s="2066"/>
      <c r="H108" s="2066"/>
      <c r="I108" s="2067"/>
    </row>
    <row r="109" spans="1:9" s="181" customFormat="1" ht="11.25" customHeight="1" x14ac:dyDescent="0.2">
      <c r="A109" s="316"/>
      <c r="B109" s="2065"/>
      <c r="C109" s="2066"/>
      <c r="D109" s="2066"/>
      <c r="E109" s="2066"/>
      <c r="F109" s="2066"/>
      <c r="G109" s="2066"/>
      <c r="H109" s="2066"/>
      <c r="I109" s="2067"/>
    </row>
    <row r="110" spans="1:9" s="181" customFormat="1" ht="11.25" customHeight="1" x14ac:dyDescent="0.2">
      <c r="A110" s="316"/>
      <c r="B110" s="2065"/>
      <c r="C110" s="2066"/>
      <c r="D110" s="2066"/>
      <c r="E110" s="2066"/>
      <c r="F110" s="2066"/>
      <c r="G110" s="2066"/>
      <c r="H110" s="2066"/>
      <c r="I110" s="2067"/>
    </row>
    <row r="111" spans="1:9" s="181" customFormat="1" ht="11.25" customHeight="1" x14ac:dyDescent="0.2">
      <c r="A111" s="316"/>
      <c r="B111" s="2065"/>
      <c r="C111" s="2066"/>
      <c r="D111" s="2066"/>
      <c r="E111" s="2066"/>
      <c r="F111" s="2066"/>
      <c r="G111" s="2066"/>
      <c r="H111" s="2066"/>
      <c r="I111" s="2067"/>
    </row>
    <row r="112" spans="1:9" s="181" customFormat="1" ht="11.25" customHeight="1" x14ac:dyDescent="0.2">
      <c r="A112" s="316"/>
      <c r="B112" s="2068"/>
      <c r="C112" s="2069"/>
      <c r="D112" s="2069"/>
      <c r="E112" s="2069"/>
      <c r="F112" s="2069"/>
      <c r="G112" s="2069"/>
      <c r="H112" s="2069"/>
      <c r="I112" s="207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1"/>
      <c r="D114" s="2071"/>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2" t="s">
        <v>1330</v>
      </c>
      <c r="D117" s="2073"/>
      <c r="E117" s="2074"/>
      <c r="F117" s="2074"/>
      <c r="G117" s="2074"/>
      <c r="H117" s="2074"/>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1904</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N27" sqref="N27"/>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0" t="str">
        <f>'Single Audit Cover'!A7</f>
        <v>Palestine CUSD 3</v>
      </c>
      <c r="C1" s="2461"/>
      <c r="D1" s="2461"/>
      <c r="E1" s="2461"/>
      <c r="F1" s="2461"/>
      <c r="G1" s="2461"/>
      <c r="H1" s="2461"/>
      <c r="I1" s="2461"/>
      <c r="J1" s="1406"/>
    </row>
    <row r="2" spans="2:10" s="317" customFormat="1" ht="12.75" customHeight="1" x14ac:dyDescent="0.2">
      <c r="B2" s="2462">
        <f>'Single Audit Cover'!E7</f>
        <v>12017003026</v>
      </c>
      <c r="C2" s="2463"/>
      <c r="D2" s="2463"/>
      <c r="E2" s="2463"/>
      <c r="F2" s="2463"/>
      <c r="G2" s="2463"/>
      <c r="H2" s="2463"/>
      <c r="I2" s="2463"/>
      <c r="J2" s="1406"/>
    </row>
    <row r="3" spans="2:10" s="317" customFormat="1" ht="12.75" customHeight="1" x14ac:dyDescent="0.2">
      <c r="B3" s="2464" t="s">
        <v>1285</v>
      </c>
      <c r="C3" s="2465"/>
      <c r="D3" s="2465"/>
      <c r="E3" s="2465"/>
      <c r="F3" s="2465"/>
      <c r="G3" s="2465"/>
      <c r="H3" s="2465"/>
      <c r="I3" s="2465"/>
      <c r="J3" s="1407"/>
    </row>
    <row r="4" spans="2:10" s="317" customFormat="1" ht="12.75" customHeight="1" x14ac:dyDescent="0.2">
      <c r="B4" s="2464" t="str">
        <f>'Single Audit Cover'!A4</f>
        <v>Year Ending June 30, 2019</v>
      </c>
      <c r="C4" s="2465"/>
      <c r="D4" s="2465"/>
      <c r="E4" s="2465"/>
      <c r="F4" s="2465"/>
      <c r="G4" s="2465"/>
      <c r="H4" s="2465"/>
      <c r="I4" s="2465"/>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4" t="s">
        <v>1284</v>
      </c>
      <c r="C7" s="2465"/>
      <c r="D7" s="2465"/>
      <c r="E7" s="2465"/>
      <c r="F7" s="2465"/>
      <c r="G7" s="2465"/>
      <c r="H7" s="2465"/>
      <c r="I7" s="2465"/>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6"/>
      <c r="D11" s="2466"/>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7"/>
      <c r="E29" s="2467"/>
      <c r="F29" s="2467"/>
      <c r="G29" s="2467"/>
      <c r="H29" s="2467"/>
      <c r="I29" s="2467"/>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8" t="s">
        <v>1751</v>
      </c>
      <c r="D37" s="2469"/>
      <c r="E37" s="2469"/>
      <c r="F37" s="2470"/>
      <c r="G37" s="2468" t="s">
        <v>1592</v>
      </c>
      <c r="H37" s="2469"/>
      <c r="I37" s="2470"/>
    </row>
    <row r="38" spans="2:9" ht="16.5" customHeight="1" x14ac:dyDescent="0.2">
      <c r="B38" s="1428"/>
      <c r="C38" s="2456"/>
      <c r="D38" s="2457"/>
      <c r="E38" s="2457"/>
      <c r="F38" s="2458"/>
      <c r="G38" s="2471"/>
      <c r="H38" s="2472"/>
      <c r="I38" s="2473"/>
    </row>
    <row r="39" spans="2:9" ht="16.5" customHeight="1" x14ac:dyDescent="0.2">
      <c r="B39" s="1428"/>
      <c r="C39" s="2456"/>
      <c r="D39" s="2457"/>
      <c r="E39" s="2457"/>
      <c r="F39" s="2458"/>
      <c r="G39" s="2459"/>
      <c r="H39" s="2459"/>
      <c r="I39" s="2459"/>
    </row>
    <row r="40" spans="2:9" ht="16.5" customHeight="1" x14ac:dyDescent="0.2">
      <c r="B40" s="1428"/>
      <c r="C40" s="2456"/>
      <c r="D40" s="2457"/>
      <c r="E40" s="2457"/>
      <c r="F40" s="2458"/>
      <c r="G40" s="2459"/>
      <c r="H40" s="2459"/>
      <c r="I40" s="2459"/>
    </row>
    <row r="41" spans="2:9" ht="16.5" customHeight="1" x14ac:dyDescent="0.2">
      <c r="B41" s="1428"/>
      <c r="C41" s="2456"/>
      <c r="D41" s="2457"/>
      <c r="E41" s="2457"/>
      <c r="F41" s="2458"/>
      <c r="G41" s="2459"/>
      <c r="H41" s="2459"/>
      <c r="I41" s="2459"/>
    </row>
    <row r="42" spans="2:9" ht="16.5" customHeight="1" x14ac:dyDescent="0.2">
      <c r="B42" s="1428"/>
      <c r="C42" s="2456"/>
      <c r="D42" s="2457"/>
      <c r="E42" s="2457"/>
      <c r="F42" s="2458"/>
      <c r="G42" s="2459"/>
      <c r="H42" s="2459"/>
      <c r="I42" s="2459"/>
    </row>
    <row r="43" spans="2:9" ht="16.5" customHeight="1" x14ac:dyDescent="0.2">
      <c r="B43" s="1428"/>
      <c r="C43" s="2474" t="s">
        <v>1593</v>
      </c>
      <c r="D43" s="2475"/>
      <c r="E43" s="2475"/>
      <c r="F43" s="2476"/>
      <c r="G43" s="2477">
        <f>SUM(G38:I42)</f>
        <v>0</v>
      </c>
      <c r="H43" s="2477"/>
      <c r="I43" s="2477"/>
    </row>
    <row r="44" spans="2:9" ht="12.75" customHeight="1" x14ac:dyDescent="0.2"/>
    <row r="45" spans="2:9" ht="12.75" customHeight="1" x14ac:dyDescent="0.2">
      <c r="B45" s="1419" t="s">
        <v>2061</v>
      </c>
      <c r="D45" s="2478">
        <v>0</v>
      </c>
      <c r="E45" s="2479"/>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80"/>
      <c r="F49" s="2480"/>
      <c r="G49" s="2480"/>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M41"/>
  <sheetViews>
    <sheetView showGridLines="0" zoomScale="110" zoomScaleNormal="110" workbookViewId="0">
      <selection activeCell="B24" sqref="B24"/>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0" t="str">
        <f>'Single Audit Cover'!A7</f>
        <v>Palestine CUSD 3</v>
      </c>
      <c r="C1" s="2460"/>
      <c r="D1" s="2460"/>
      <c r="E1" s="2460"/>
      <c r="F1" s="2460"/>
      <c r="G1" s="2460"/>
      <c r="H1" s="2460"/>
      <c r="I1" s="2460"/>
      <c r="J1" s="2460"/>
      <c r="K1" s="2460"/>
      <c r="L1" s="1371"/>
      <c r="M1" s="1371"/>
    </row>
    <row r="2" spans="1:13" ht="12" customHeight="1" x14ac:dyDescent="0.2">
      <c r="B2" s="2462">
        <f>'Single Audit Cover'!E7</f>
        <v>12017003026</v>
      </c>
      <c r="C2" s="2462"/>
      <c r="D2" s="2462"/>
      <c r="E2" s="2462"/>
      <c r="F2" s="2462"/>
      <c r="G2" s="2462"/>
      <c r="H2" s="2462"/>
      <c r="I2" s="2462"/>
      <c r="J2" s="2462"/>
      <c r="K2" s="2462"/>
      <c r="L2" s="1372"/>
      <c r="M2" s="1373"/>
    </row>
    <row r="3" spans="1:13" ht="10.35" customHeight="1" x14ac:dyDescent="0.2">
      <c r="B3" s="2483" t="s">
        <v>1285</v>
      </c>
      <c r="C3" s="2483"/>
      <c r="D3" s="2483"/>
      <c r="E3" s="2483"/>
      <c r="F3" s="2483"/>
      <c r="G3" s="2483"/>
      <c r="H3" s="2483"/>
      <c r="I3" s="2483"/>
      <c r="J3" s="2483"/>
      <c r="K3" s="2483"/>
      <c r="L3" s="1374"/>
      <c r="M3" s="1374"/>
    </row>
    <row r="4" spans="1:13" ht="14.25" customHeight="1" x14ac:dyDescent="0.2">
      <c r="B4" s="2484" t="str">
        <f>'Single Audit Cover'!A4</f>
        <v>Year Ending June 30, 2019</v>
      </c>
      <c r="C4" s="2484"/>
      <c r="D4" s="2484"/>
      <c r="E4" s="2484"/>
      <c r="F4" s="2484"/>
      <c r="G4" s="2484"/>
      <c r="H4" s="2484"/>
      <c r="I4" s="2484"/>
      <c r="J4" s="2484"/>
      <c r="K4" s="2484"/>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4" t="s">
        <v>1296</v>
      </c>
      <c r="C7" s="2484"/>
      <c r="D7" s="2485"/>
      <c r="E7" s="2485"/>
      <c r="F7" s="2485"/>
      <c r="G7" s="2485"/>
      <c r="H7" s="2485"/>
      <c r="I7" s="2485"/>
      <c r="J7" s="2485"/>
      <c r="K7" s="2485"/>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1988</v>
      </c>
      <c r="D10" s="1383">
        <v>1</v>
      </c>
      <c r="E10" s="322"/>
      <c r="F10" s="1384" t="s">
        <v>1295</v>
      </c>
      <c r="G10" s="1385"/>
      <c r="H10" s="1386" t="s">
        <v>1294</v>
      </c>
      <c r="I10" s="1385" t="s">
        <v>2064</v>
      </c>
      <c r="J10" s="1387" t="s">
        <v>1293</v>
      </c>
      <c r="K10" s="322"/>
      <c r="L10" s="1378"/>
    </row>
    <row r="11" spans="1:13" ht="13.5" customHeight="1" x14ac:dyDescent="0.2">
      <c r="B11" s="322"/>
      <c r="C11" s="322"/>
      <c r="D11" s="322"/>
      <c r="E11" s="322"/>
      <c r="F11" s="322"/>
      <c r="G11" s="1380"/>
      <c r="H11" s="322"/>
      <c r="I11" s="1388" t="s">
        <v>1292</v>
      </c>
      <c r="J11" s="322"/>
      <c r="K11" s="1389">
        <v>2010</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82" t="s">
        <v>2101</v>
      </c>
      <c r="C14" s="2482"/>
      <c r="D14" s="2482"/>
      <c r="E14" s="2482"/>
      <c r="F14" s="2482"/>
      <c r="G14" s="2482"/>
      <c r="H14" s="2482"/>
      <c r="I14" s="2482"/>
      <c r="J14" s="2482"/>
      <c r="K14" s="2482"/>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82" t="s">
        <v>2102</v>
      </c>
      <c r="C17" s="2482"/>
      <c r="D17" s="2482"/>
      <c r="E17" s="2482"/>
      <c r="F17" s="2482"/>
      <c r="G17" s="2482"/>
      <c r="H17" s="2482"/>
      <c r="I17" s="2482"/>
      <c r="J17" s="2482"/>
      <c r="K17" s="2482"/>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6" t="s">
        <v>2103</v>
      </c>
      <c r="C20" s="2486"/>
      <c r="D20" s="2482"/>
      <c r="E20" s="2482"/>
      <c r="F20" s="2482"/>
      <c r="G20" s="2482"/>
      <c r="H20" s="2482"/>
      <c r="I20" s="2482"/>
      <c r="J20" s="2482"/>
      <c r="K20" s="2482"/>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82" t="s">
        <v>2125</v>
      </c>
      <c r="C23" s="2482"/>
      <c r="D23" s="2482"/>
      <c r="E23" s="2482"/>
      <c r="F23" s="2482"/>
      <c r="G23" s="2482"/>
      <c r="H23" s="2482"/>
      <c r="I23" s="2482"/>
      <c r="J23" s="2482"/>
      <c r="K23" s="2482"/>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82" t="s">
        <v>2104</v>
      </c>
      <c r="C26" s="2482"/>
      <c r="D26" s="2482"/>
      <c r="E26" s="2482"/>
      <c r="F26" s="2482"/>
      <c r="G26" s="2482"/>
      <c r="H26" s="2482"/>
      <c r="I26" s="2482"/>
      <c r="J26" s="2482"/>
      <c r="K26" s="2482"/>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81" t="s">
        <v>2105</v>
      </c>
      <c r="C29" s="2481"/>
      <c r="D29" s="2482"/>
      <c r="E29" s="2482"/>
      <c r="F29" s="2482"/>
      <c r="G29" s="2482"/>
      <c r="H29" s="2482"/>
      <c r="I29" s="2482"/>
      <c r="J29" s="2482"/>
      <c r="K29" s="2482"/>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81" t="s">
        <v>2106</v>
      </c>
      <c r="C32" s="2481"/>
      <c r="D32" s="2482"/>
      <c r="E32" s="2482"/>
      <c r="F32" s="2482"/>
      <c r="G32" s="2482"/>
      <c r="H32" s="2482"/>
      <c r="I32" s="2482"/>
      <c r="J32" s="2482"/>
      <c r="K32" s="2482"/>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1840</v>
      </c>
      <c r="C36" s="1297"/>
      <c r="L36" s="1378"/>
    </row>
    <row r="37" spans="1:13" ht="9.6" customHeight="1" x14ac:dyDescent="0.2">
      <c r="B37" s="1297" t="s">
        <v>1841</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M41"/>
  <sheetViews>
    <sheetView showGridLines="0" zoomScale="110" zoomScaleNormal="110" workbookViewId="0">
      <selection activeCell="P29" sqref="P2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0" t="str">
        <f>'Single Audit Cover'!A7</f>
        <v>Palestine CUSD 3</v>
      </c>
      <c r="C1" s="2460"/>
      <c r="D1" s="2460"/>
      <c r="E1" s="2460"/>
      <c r="F1" s="2460"/>
      <c r="G1" s="2460"/>
      <c r="H1" s="2460"/>
      <c r="I1" s="2460"/>
      <c r="J1" s="2460"/>
      <c r="K1" s="2460"/>
      <c r="L1" s="1371"/>
      <c r="M1" s="1371"/>
    </row>
    <row r="2" spans="1:13" ht="12" customHeight="1" x14ac:dyDescent="0.2">
      <c r="B2" s="2462">
        <f>'Single Audit Cover'!E7</f>
        <v>12017003026</v>
      </c>
      <c r="C2" s="2462"/>
      <c r="D2" s="2462"/>
      <c r="E2" s="2462"/>
      <c r="F2" s="2462"/>
      <c r="G2" s="2462"/>
      <c r="H2" s="2462"/>
      <c r="I2" s="2462"/>
      <c r="J2" s="2462"/>
      <c r="K2" s="2462"/>
      <c r="L2" s="1372"/>
      <c r="M2" s="1373"/>
    </row>
    <row r="3" spans="1:13" ht="10.35" customHeight="1" x14ac:dyDescent="0.2">
      <c r="B3" s="2483" t="s">
        <v>1285</v>
      </c>
      <c r="C3" s="2483"/>
      <c r="D3" s="2483"/>
      <c r="E3" s="2483"/>
      <c r="F3" s="2483"/>
      <c r="G3" s="2483"/>
      <c r="H3" s="2483"/>
      <c r="I3" s="2483"/>
      <c r="J3" s="2483"/>
      <c r="K3" s="2483"/>
      <c r="L3" s="1942"/>
      <c r="M3" s="1942"/>
    </row>
    <row r="4" spans="1:13" ht="14.25" customHeight="1" x14ac:dyDescent="0.2">
      <c r="B4" s="2484" t="str">
        <f>'Single Audit Cover'!A4</f>
        <v>Year Ending June 30, 2019</v>
      </c>
      <c r="C4" s="2484"/>
      <c r="D4" s="2484"/>
      <c r="E4" s="2484"/>
      <c r="F4" s="2484"/>
      <c r="G4" s="2484"/>
      <c r="H4" s="2484"/>
      <c r="I4" s="2484"/>
      <c r="J4" s="2484"/>
      <c r="K4" s="2484"/>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4" t="s">
        <v>1296</v>
      </c>
      <c r="C7" s="2484"/>
      <c r="D7" s="2485"/>
      <c r="E7" s="2485"/>
      <c r="F7" s="2485"/>
      <c r="G7" s="2485"/>
      <c r="H7" s="2485"/>
      <c r="I7" s="2485"/>
      <c r="J7" s="2485"/>
      <c r="K7" s="2485"/>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1988</v>
      </c>
      <c r="D10" s="1383">
        <v>2</v>
      </c>
      <c r="E10" s="322"/>
      <c r="F10" s="1384" t="s">
        <v>1295</v>
      </c>
      <c r="G10" s="1385"/>
      <c r="H10" s="1386" t="s">
        <v>1294</v>
      </c>
      <c r="I10" s="1385" t="s">
        <v>2064</v>
      </c>
      <c r="J10" s="1387" t="s">
        <v>1293</v>
      </c>
      <c r="K10" s="322"/>
      <c r="L10" s="1378"/>
    </row>
    <row r="11" spans="1:13" ht="13.5" customHeight="1" x14ac:dyDescent="0.2">
      <c r="B11" s="322"/>
      <c r="C11" s="322"/>
      <c r="D11" s="322"/>
      <c r="E11" s="322"/>
      <c r="F11" s="322"/>
      <c r="G11" s="1380"/>
      <c r="H11" s="322"/>
      <c r="I11" s="1388" t="s">
        <v>1292</v>
      </c>
      <c r="J11" s="322"/>
      <c r="K11" s="1389">
        <v>2018</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82" t="s">
        <v>2107</v>
      </c>
      <c r="C14" s="2482"/>
      <c r="D14" s="2482"/>
      <c r="E14" s="2482"/>
      <c r="F14" s="2482"/>
      <c r="G14" s="2482"/>
      <c r="H14" s="2482"/>
      <c r="I14" s="2482"/>
      <c r="J14" s="2482"/>
      <c r="K14" s="2482"/>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82" t="s">
        <v>2108</v>
      </c>
      <c r="C17" s="2482"/>
      <c r="D17" s="2482"/>
      <c r="E17" s="2482"/>
      <c r="F17" s="2482"/>
      <c r="G17" s="2482"/>
      <c r="H17" s="2482"/>
      <c r="I17" s="2482"/>
      <c r="J17" s="2482"/>
      <c r="K17" s="2482"/>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6" t="s">
        <v>2109</v>
      </c>
      <c r="C20" s="2486"/>
      <c r="D20" s="2482"/>
      <c r="E20" s="2482"/>
      <c r="F20" s="2482"/>
      <c r="G20" s="2482"/>
      <c r="H20" s="2482"/>
      <c r="I20" s="2482"/>
      <c r="J20" s="2482"/>
      <c r="K20" s="2482"/>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82" t="s">
        <v>2110</v>
      </c>
      <c r="C23" s="2482"/>
      <c r="D23" s="2482"/>
      <c r="E23" s="2482"/>
      <c r="F23" s="2482"/>
      <c r="G23" s="2482"/>
      <c r="H23" s="2482"/>
      <c r="I23" s="2482"/>
      <c r="J23" s="2482"/>
      <c r="K23" s="2482"/>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82" t="s">
        <v>2111</v>
      </c>
      <c r="C26" s="2482"/>
      <c r="D26" s="2482"/>
      <c r="E26" s="2482"/>
      <c r="F26" s="2482"/>
      <c r="G26" s="2482"/>
      <c r="H26" s="2482"/>
      <c r="I26" s="2482"/>
      <c r="J26" s="2482"/>
      <c r="K26" s="2482"/>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81" t="s">
        <v>2112</v>
      </c>
      <c r="C29" s="2481"/>
      <c r="D29" s="2482"/>
      <c r="E29" s="2482"/>
      <c r="F29" s="2482"/>
      <c r="G29" s="2482"/>
      <c r="H29" s="2482"/>
      <c r="I29" s="2482"/>
      <c r="J29" s="2482"/>
      <c r="K29" s="2482"/>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81" t="s">
        <v>2113</v>
      </c>
      <c r="C32" s="2481"/>
      <c r="D32" s="2482"/>
      <c r="E32" s="2482"/>
      <c r="F32" s="2482"/>
      <c r="G32" s="2482"/>
      <c r="H32" s="2482"/>
      <c r="I32" s="2482"/>
      <c r="J32" s="2482"/>
      <c r="K32" s="2482"/>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1840</v>
      </c>
      <c r="C36" s="1297"/>
      <c r="L36" s="1378"/>
    </row>
    <row r="37" spans="1:13" ht="9.6" customHeight="1" x14ac:dyDescent="0.2">
      <c r="B37" s="1297" t="s">
        <v>1841</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election activeCell="O20" sqref="O20"/>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7" t="str">
        <f>'Single Audit Cover'!A7</f>
        <v>Palestine CUSD 3</v>
      </c>
      <c r="C1" s="2487"/>
      <c r="D1" s="2487"/>
      <c r="E1" s="2487"/>
      <c r="F1" s="2487"/>
      <c r="G1" s="2487"/>
      <c r="H1" s="2487"/>
      <c r="I1" s="2487"/>
      <c r="J1" s="2487"/>
      <c r="K1" s="2487"/>
      <c r="L1" s="1449"/>
    </row>
    <row r="2" spans="1:12" ht="12.75" customHeight="1" x14ac:dyDescent="0.2">
      <c r="B2" s="2488">
        <f>'Single Audit Cover'!E7</f>
        <v>12017003026</v>
      </c>
      <c r="C2" s="2488"/>
      <c r="D2" s="2488"/>
      <c r="E2" s="2488"/>
      <c r="F2" s="2488"/>
      <c r="G2" s="2488"/>
      <c r="H2" s="2488"/>
      <c r="I2" s="2488"/>
      <c r="J2" s="2488"/>
      <c r="K2" s="2488"/>
      <c r="L2" s="1450"/>
    </row>
    <row r="3" spans="1:12" ht="12.75" customHeight="1" x14ac:dyDescent="0.2">
      <c r="B3" s="2483" t="s">
        <v>1285</v>
      </c>
      <c r="C3" s="2483"/>
      <c r="D3" s="2483"/>
      <c r="E3" s="2483"/>
      <c r="F3" s="2483"/>
      <c r="G3" s="2483"/>
      <c r="H3" s="2483"/>
      <c r="I3" s="2483"/>
      <c r="J3" s="2483"/>
      <c r="K3" s="2483"/>
      <c r="L3" s="1374"/>
    </row>
    <row r="4" spans="1:12" ht="12.75" customHeight="1" x14ac:dyDescent="0.2">
      <c r="B4" s="2483" t="str">
        <f>'Single Audit Cover'!A4</f>
        <v>Year Ending June 30, 2019</v>
      </c>
      <c r="C4" s="2483"/>
      <c r="D4" s="2483"/>
      <c r="E4" s="2483"/>
      <c r="F4" s="2483"/>
      <c r="G4" s="2483"/>
      <c r="H4" s="2483"/>
      <c r="I4" s="2483"/>
      <c r="J4" s="2483"/>
      <c r="K4" s="2483"/>
      <c r="L4" s="1374"/>
    </row>
    <row r="5" spans="1:12" ht="5.25" customHeight="1" x14ac:dyDescent="0.2">
      <c r="B5" s="1257" t="s">
        <v>1169</v>
      </c>
      <c r="C5" s="1257"/>
      <c r="L5" s="322"/>
    </row>
    <row r="6" spans="1:12" ht="30.75" customHeight="1" x14ac:dyDescent="0.2">
      <c r="A6" s="322"/>
      <c r="B6" s="2489" t="s">
        <v>1308</v>
      </c>
      <c r="C6" s="2489"/>
      <c r="D6" s="2489"/>
      <c r="E6" s="2489"/>
      <c r="F6" s="2489"/>
      <c r="G6" s="2489"/>
      <c r="H6" s="2489"/>
      <c r="I6" s="2489"/>
      <c r="J6" s="2489"/>
      <c r="K6" s="2489"/>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1988</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7"/>
      <c r="G12" s="2467"/>
      <c r="H12" s="2467"/>
      <c r="I12" s="2467"/>
      <c r="J12" s="2467"/>
      <c r="K12" s="2467"/>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90"/>
      <c r="E14" s="2490"/>
      <c r="F14" s="2490"/>
      <c r="H14" s="1459" t="s">
        <v>1303</v>
      </c>
      <c r="I14" s="2491"/>
      <c r="J14" s="2491"/>
      <c r="K14" s="2491"/>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91"/>
      <c r="E16" s="2491"/>
      <c r="F16" s="2491"/>
      <c r="G16" s="2491"/>
      <c r="H16" s="2491"/>
      <c r="I16" s="2491"/>
      <c r="J16" s="2491"/>
      <c r="K16" s="2491"/>
      <c r="L16" s="322"/>
    </row>
    <row r="17" spans="2:12" ht="13.5" customHeight="1" x14ac:dyDescent="0.2">
      <c r="B17" s="1384" t="s">
        <v>1301</v>
      </c>
      <c r="C17" s="1384"/>
      <c r="D17" s="2492"/>
      <c r="E17" s="2492"/>
      <c r="F17" s="2492"/>
      <c r="G17" s="2492"/>
      <c r="H17" s="2492"/>
      <c r="I17" s="2492"/>
      <c r="J17" s="2492"/>
      <c r="K17" s="2492"/>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82"/>
      <c r="C20" s="2482"/>
      <c r="D20" s="2482"/>
      <c r="E20" s="2482"/>
      <c r="F20" s="2482"/>
      <c r="G20" s="2482"/>
      <c r="H20" s="2482"/>
      <c r="I20" s="2482"/>
      <c r="J20" s="2482"/>
      <c r="K20" s="2482"/>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82"/>
      <c r="C23" s="2482"/>
      <c r="D23" s="2482"/>
      <c r="E23" s="2482"/>
      <c r="F23" s="2482"/>
      <c r="G23" s="2482"/>
      <c r="H23" s="2482"/>
      <c r="I23" s="2482"/>
      <c r="J23" s="2482"/>
      <c r="K23" s="2482"/>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82"/>
      <c r="C26" s="2482"/>
      <c r="D26" s="2482"/>
      <c r="E26" s="2482"/>
      <c r="F26" s="2482"/>
      <c r="G26" s="2482"/>
      <c r="H26" s="2482"/>
      <c r="I26" s="2482"/>
      <c r="J26" s="2482"/>
      <c r="K26" s="2482"/>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82"/>
      <c r="C29" s="2482"/>
      <c r="D29" s="2482"/>
      <c r="E29" s="2482"/>
      <c r="F29" s="2482"/>
      <c r="G29" s="2482"/>
      <c r="H29" s="2482"/>
      <c r="I29" s="2482"/>
      <c r="J29" s="2482"/>
      <c r="K29" s="2482"/>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82"/>
      <c r="C32" s="2482"/>
      <c r="D32" s="2482"/>
      <c r="E32" s="2482"/>
      <c r="F32" s="2482"/>
      <c r="G32" s="2482"/>
      <c r="H32" s="2482"/>
      <c r="I32" s="2482"/>
      <c r="J32" s="2482"/>
      <c r="K32" s="2482"/>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82"/>
      <c r="C35" s="2482"/>
      <c r="D35" s="2482"/>
      <c r="E35" s="2482"/>
      <c r="F35" s="2482"/>
      <c r="G35" s="2482"/>
      <c r="H35" s="2482"/>
      <c r="I35" s="2482"/>
      <c r="J35" s="2482"/>
      <c r="K35" s="2482"/>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82"/>
      <c r="C38" s="2482"/>
      <c r="D38" s="2482"/>
      <c r="E38" s="2482"/>
      <c r="F38" s="2482"/>
      <c r="G38" s="2482"/>
      <c r="H38" s="2482"/>
      <c r="I38" s="2482"/>
      <c r="J38" s="2482"/>
      <c r="K38" s="2482"/>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82"/>
      <c r="C41" s="2482"/>
      <c r="D41" s="2482"/>
      <c r="E41" s="2482"/>
      <c r="F41" s="2482"/>
      <c r="G41" s="2482"/>
      <c r="H41" s="2482"/>
      <c r="I41" s="2482"/>
      <c r="J41" s="2482"/>
      <c r="K41" s="2482"/>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B1:E73"/>
  <sheetViews>
    <sheetView showGridLines="0" zoomScale="110" zoomScaleNormal="110" workbookViewId="0">
      <selection activeCell="C28" sqref="C28"/>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0" t="str">
        <f>'Single Audit Cover'!A7</f>
        <v>Palestine CUSD 3</v>
      </c>
      <c r="C1" s="2460"/>
      <c r="D1" s="2460"/>
      <c r="E1" s="1469"/>
    </row>
    <row r="2" spans="2:5" s="1279" customFormat="1" ht="12.75" customHeight="1" x14ac:dyDescent="0.2">
      <c r="B2" s="2462">
        <f>'Single Audit Cover'!E7</f>
        <v>12017003026</v>
      </c>
      <c r="C2" s="2462"/>
      <c r="D2" s="2462"/>
      <c r="E2" s="1470"/>
    </row>
    <row r="3" spans="2:5" ht="12.75" customHeight="1" x14ac:dyDescent="0.2">
      <c r="B3" s="2483" t="s">
        <v>1766</v>
      </c>
      <c r="C3" s="2483"/>
      <c r="D3" s="2483"/>
      <c r="E3" s="1271"/>
    </row>
    <row r="4" spans="2:5" s="1279" customFormat="1" ht="12.75" customHeight="1" x14ac:dyDescent="0.2">
      <c r="B4" s="2493" t="str">
        <f>'Single Audit Cover'!A4</f>
        <v>Year Ending June 30, 2019</v>
      </c>
      <c r="C4" s="2493"/>
      <c r="D4" s="2493"/>
      <c r="E4" s="1471"/>
    </row>
    <row r="5" spans="2:5" s="1279" customFormat="1" ht="40.15" customHeight="1" x14ac:dyDescent="0.2">
      <c r="B5" s="1472"/>
      <c r="C5" s="328"/>
      <c r="D5" s="328"/>
      <c r="E5" s="328"/>
    </row>
    <row r="6" spans="2:5" s="1279" customFormat="1" ht="13.5" customHeight="1" x14ac:dyDescent="0.2">
      <c r="B6" s="1473" t="s">
        <v>1315</v>
      </c>
      <c r="C6" s="1473" t="s">
        <v>1314</v>
      </c>
      <c r="D6" s="1473" t="s">
        <v>1767</v>
      </c>
    </row>
    <row r="7" spans="2:5" ht="13.5" customHeight="1" x14ac:dyDescent="0.2">
      <c r="B7" s="1474"/>
      <c r="C7" s="324"/>
      <c r="D7" s="324"/>
      <c r="E7" s="324"/>
    </row>
    <row r="8" spans="2:5" ht="52.5" customHeight="1" x14ac:dyDescent="0.2">
      <c r="B8" s="1474" t="s">
        <v>2114</v>
      </c>
      <c r="C8" s="1946" t="s">
        <v>2116</v>
      </c>
      <c r="D8" s="324" t="s">
        <v>2117</v>
      </c>
      <c r="E8" s="324"/>
    </row>
    <row r="9" spans="2:5" ht="53.25" customHeight="1" x14ac:dyDescent="0.2">
      <c r="B9" s="1475" t="s">
        <v>2115</v>
      </c>
      <c r="C9" s="1947" t="s">
        <v>2119</v>
      </c>
      <c r="D9" s="323" t="s">
        <v>2118</v>
      </c>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1768</v>
      </c>
    </row>
    <row r="46" spans="2:5" ht="12.2" customHeight="1" x14ac:dyDescent="0.2">
      <c r="B46" s="1483" t="s">
        <v>1769</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3" tint="0.59999389629810485"/>
  </sheetPr>
  <dimension ref="A1:N72"/>
  <sheetViews>
    <sheetView showGridLines="0" defaultGridColor="0" colorId="8" zoomScale="110" zoomScaleNormal="110" workbookViewId="0">
      <selection activeCell="P37" sqref="P37"/>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1" t="s">
        <v>386</v>
      </c>
      <c r="B1" s="2091"/>
      <c r="C1" s="2091"/>
      <c r="D1" s="2091"/>
      <c r="E1" s="2091"/>
      <c r="F1" s="2091"/>
      <c r="G1" s="2091"/>
      <c r="H1" s="2091"/>
      <c r="I1" s="2091"/>
      <c r="J1" s="2091"/>
      <c r="K1" s="2091"/>
      <c r="L1" s="2091"/>
      <c r="M1" s="2091"/>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1945</v>
      </c>
      <c r="E7" s="222"/>
      <c r="F7" s="351" t="s">
        <v>272</v>
      </c>
      <c r="G7" s="222"/>
      <c r="H7" s="222"/>
      <c r="I7" s="222"/>
      <c r="J7" s="352">
        <v>36097628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2.4400000000000002E-2</v>
      </c>
      <c r="E10" s="356" t="s">
        <v>1005</v>
      </c>
      <c r="F10" s="355">
        <v>5.0000000000000001E-3</v>
      </c>
      <c r="G10" s="356" t="s">
        <v>1005</v>
      </c>
      <c r="H10" s="355">
        <v>2E-3</v>
      </c>
      <c r="I10" s="356" t="s">
        <v>1006</v>
      </c>
      <c r="J10" s="1732">
        <f>ROUND(D10+F10+H10,5)</f>
        <v>3.1399999999999997E-2</v>
      </c>
      <c r="K10" s="222"/>
      <c r="L10" s="355">
        <v>5.0000000000000001E-4</v>
      </c>
      <c r="M10" s="222"/>
    </row>
    <row r="11" spans="1:14" ht="7.5" customHeight="1" x14ac:dyDescent="0.2">
      <c r="B11" s="222"/>
      <c r="C11" s="222"/>
      <c r="D11" s="2101" t="str">
        <f>IF(SUM(J10)&lt;=0.0999999,"","Enter the Tax Rates by moving the decimal two places to the left.")</f>
        <v/>
      </c>
      <c r="E11" s="2102"/>
      <c r="F11" s="2102"/>
      <c r="G11" s="2102"/>
      <c r="H11" s="2102"/>
      <c r="I11" s="2102"/>
      <c r="J11" s="210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2981187</v>
      </c>
      <c r="E16" s="356"/>
      <c r="F16" s="1733">
        <f>SUM('Acct Summary 7-8'!C17,'Acct Summary 7-8'!D17,'Acct Summary 7-8'!F17)</f>
        <v>3172876</v>
      </c>
      <c r="G16" s="356"/>
      <c r="H16" s="1733">
        <f>SUM(D16-F16)</f>
        <v>-191689</v>
      </c>
      <c r="I16" s="222"/>
      <c r="J16" s="1733">
        <f>SUM('Acct Summary 7-8'!C81,'Acct Summary 7-8'!D81,'Acct Summary 7-8'!F81,'Acct Summary 7-8'!I81)</f>
        <v>808794</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2060</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f>IF(B31="X",(J7*0.069),IF(B32="X",(J7*0.138),"Enter x in a.or b."))</f>
        <v>4981472.6640000008</v>
      </c>
      <c r="I31" s="368"/>
      <c r="J31" s="222"/>
      <c r="K31" s="222"/>
      <c r="L31" s="222"/>
      <c r="M31" s="222"/>
    </row>
    <row r="32" spans="1:13" ht="13.35" customHeight="1" x14ac:dyDescent="0.2">
      <c r="B32" s="369" t="s">
        <v>2064</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1058473</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92"/>
      <c r="C54" s="2093"/>
      <c r="D54" s="2093"/>
      <c r="E54" s="2093"/>
      <c r="F54" s="2093"/>
      <c r="G54" s="2093"/>
      <c r="H54" s="2093"/>
      <c r="I54" s="2093"/>
      <c r="J54" s="2093"/>
      <c r="K54" s="2093"/>
      <c r="L54" s="2094"/>
      <c r="M54" s="380"/>
    </row>
    <row r="55" spans="1:13" ht="12.75" customHeight="1" x14ac:dyDescent="0.2">
      <c r="B55" s="2095"/>
      <c r="C55" s="2096"/>
      <c r="D55" s="2096"/>
      <c r="E55" s="2096"/>
      <c r="F55" s="2096"/>
      <c r="G55" s="2096"/>
      <c r="H55" s="2096"/>
      <c r="I55" s="2096"/>
      <c r="J55" s="2096"/>
      <c r="K55" s="2096"/>
      <c r="L55" s="2097"/>
      <c r="M55" s="380"/>
    </row>
    <row r="56" spans="1:13" ht="12.75" customHeight="1" x14ac:dyDescent="0.2">
      <c r="B56" s="2095"/>
      <c r="C56" s="2096"/>
      <c r="D56" s="2096"/>
      <c r="E56" s="2096"/>
      <c r="F56" s="2096"/>
      <c r="G56" s="2096"/>
      <c r="H56" s="2096"/>
      <c r="I56" s="2096"/>
      <c r="J56" s="2096"/>
      <c r="K56" s="2096"/>
      <c r="L56" s="2097"/>
      <c r="M56" s="222"/>
    </row>
    <row r="57" spans="1:13" ht="12.75" customHeight="1" x14ac:dyDescent="0.2">
      <c r="B57" s="2095"/>
      <c r="C57" s="2096"/>
      <c r="D57" s="2096"/>
      <c r="E57" s="2096"/>
      <c r="F57" s="2096"/>
      <c r="G57" s="2096"/>
      <c r="H57" s="2096"/>
      <c r="I57" s="2096"/>
      <c r="J57" s="2096"/>
      <c r="K57" s="2096"/>
      <c r="L57" s="2097"/>
      <c r="M57" s="222"/>
    </row>
    <row r="58" spans="1:13" x14ac:dyDescent="0.2">
      <c r="B58" s="2098"/>
      <c r="C58" s="2099"/>
      <c r="D58" s="2099"/>
      <c r="E58" s="2099"/>
      <c r="F58" s="2099"/>
      <c r="G58" s="2099"/>
      <c r="H58" s="2099"/>
      <c r="I58" s="2099"/>
      <c r="J58" s="2099"/>
      <c r="K58" s="2099"/>
      <c r="L58" s="210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3"/>
      <c r="D61" s="210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3" tint="0.59999389629810485"/>
  </sheetPr>
  <dimension ref="A1:R44"/>
  <sheetViews>
    <sheetView showGridLines="0" topLeftCell="A7" zoomScale="110" zoomScaleNormal="110" workbookViewId="0">
      <selection activeCell="D37" sqref="D37"/>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6"/>
      <c r="B1" s="2107"/>
      <c r="C1" s="2107"/>
      <c r="D1" s="384"/>
      <c r="E1" s="384"/>
      <c r="F1" s="384"/>
      <c r="G1" s="384"/>
      <c r="H1" s="384"/>
      <c r="I1" s="384"/>
      <c r="J1" s="384"/>
      <c r="K1" s="384"/>
      <c r="L1" s="384"/>
      <c r="M1" s="384"/>
      <c r="N1" s="384"/>
      <c r="O1" s="2106"/>
      <c r="P1" s="2107"/>
      <c r="Q1" s="2107"/>
    </row>
    <row r="2" spans="1:18" ht="15" x14ac:dyDescent="0.2">
      <c r="A2" s="2110" t="s">
        <v>556</v>
      </c>
      <c r="B2" s="2110"/>
      <c r="C2" s="2110"/>
      <c r="D2" s="2110"/>
      <c r="E2" s="2110"/>
      <c r="F2" s="2110"/>
      <c r="G2" s="2110"/>
      <c r="H2" s="2110"/>
      <c r="I2" s="2110"/>
      <c r="J2" s="2110"/>
      <c r="K2" s="2110"/>
      <c r="L2" s="2110"/>
      <c r="M2" s="2110"/>
      <c r="N2" s="2110"/>
      <c r="O2" s="2110"/>
      <c r="P2" s="2110"/>
      <c r="Q2" s="2110"/>
      <c r="R2" s="2110"/>
    </row>
    <row r="3" spans="1:18" ht="12.75" x14ac:dyDescent="0.2">
      <c r="A3" s="2111" t="s">
        <v>1413</v>
      </c>
      <c r="B3" s="2111"/>
      <c r="C3" s="2111"/>
      <c r="D3" s="2111"/>
      <c r="E3" s="2111"/>
      <c r="F3" s="2111"/>
      <c r="G3" s="2111"/>
      <c r="H3" s="2111"/>
      <c r="I3" s="2111"/>
      <c r="J3" s="2111"/>
      <c r="K3" s="2111"/>
      <c r="L3" s="2111"/>
      <c r="M3" s="2111"/>
      <c r="N3" s="2111"/>
      <c r="O3" s="2111"/>
      <c r="P3" s="2111"/>
      <c r="Q3" s="2111"/>
      <c r="R3" s="2111"/>
    </row>
    <row r="4" spans="1:18" x14ac:dyDescent="0.2">
      <c r="A4" s="2112" t="s">
        <v>1554</v>
      </c>
      <c r="B4" s="2112"/>
      <c r="C4" s="2112"/>
      <c r="D4" s="2112"/>
      <c r="E4" s="2112"/>
      <c r="F4" s="2112"/>
      <c r="G4" s="2112"/>
      <c r="H4" s="2112"/>
      <c r="I4" s="2112"/>
      <c r="J4" s="2112"/>
      <c r="K4" s="2112"/>
      <c r="L4" s="2112"/>
      <c r="M4" s="2112"/>
      <c r="N4" s="2112"/>
      <c r="O4" s="2112"/>
      <c r="P4" s="2112"/>
      <c r="Q4" s="2112"/>
      <c r="R4" s="211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Palestine CUSD 3</v>
      </c>
      <c r="E7" s="391"/>
      <c r="G7" s="252"/>
      <c r="H7" s="387"/>
      <c r="I7" s="387"/>
      <c r="J7" s="387"/>
      <c r="K7" s="387"/>
      <c r="L7" s="329"/>
      <c r="M7" s="329"/>
      <c r="N7" s="329"/>
      <c r="O7" s="329"/>
      <c r="P7" s="329"/>
    </row>
    <row r="8" spans="1:18" ht="12.75" x14ac:dyDescent="0.2">
      <c r="A8" s="329"/>
      <c r="B8" s="329"/>
      <c r="C8" s="389" t="s">
        <v>1125</v>
      </c>
      <c r="D8" s="392">
        <f>COVER!A13</f>
        <v>12017003026</v>
      </c>
      <c r="E8" s="393"/>
      <c r="G8" s="329"/>
      <c r="H8" s="329"/>
      <c r="I8" s="329"/>
      <c r="J8" s="329"/>
      <c r="K8" s="329"/>
      <c r="L8" s="329"/>
      <c r="M8" s="329"/>
      <c r="N8" s="329"/>
      <c r="O8" s="329"/>
      <c r="P8" s="329"/>
    </row>
    <row r="9" spans="1:18" ht="12.75" x14ac:dyDescent="0.2">
      <c r="A9" s="329"/>
      <c r="B9" s="329"/>
      <c r="C9" s="389" t="s">
        <v>713</v>
      </c>
      <c r="D9" s="394" t="str">
        <f>COVER!A15</f>
        <v>Crawford</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808794</v>
      </c>
      <c r="I12" s="404"/>
      <c r="J12" s="404"/>
      <c r="K12" s="405">
        <f>TRUNC((H12/H13*100000),5)/100000</f>
        <v>0.27261714390000003</v>
      </c>
      <c r="L12" s="406"/>
      <c r="M12" s="360" t="s">
        <v>1144</v>
      </c>
      <c r="N12" s="360"/>
      <c r="O12" s="407">
        <v>0.35</v>
      </c>
      <c r="P12" s="218"/>
      <c r="Q12" s="218"/>
    </row>
    <row r="13" spans="1:18" s="408" customFormat="1" ht="12.75" x14ac:dyDescent="0.2">
      <c r="A13" s="218"/>
      <c r="B13" s="401"/>
      <c r="C13" s="2108" t="s">
        <v>1324</v>
      </c>
      <c r="D13" s="2109"/>
      <c r="E13" s="218"/>
      <c r="F13" s="409" t="s">
        <v>793</v>
      </c>
      <c r="G13" s="402"/>
      <c r="H13" s="403">
        <f>SUM('Acct Summary 7-8'!C8+'Acct Summary 7-8'!D8+'Acct Summary 7-8'!F8+'Acct Summary 7-8'!I8)+H14</f>
        <v>2966776</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-14411</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3172876</v>
      </c>
      <c r="I17" s="404"/>
      <c r="J17" s="416"/>
      <c r="K17" s="405">
        <f>TRUNC((H17/H18*100000),5)/100000</f>
        <v>1.0694693498000001</v>
      </c>
      <c r="L17" s="406"/>
      <c r="M17" s="417" t="s">
        <v>1171</v>
      </c>
      <c r="O17" s="418" t="str">
        <f>IF(AND(O16="2", J20 &gt; 2),"1",IF(AND(O16 = "1", J20 &gt; 2),"2",IF(AND(O16="1", J20 &gt;1),"1","0")))</f>
        <v>0</v>
      </c>
      <c r="P17" s="218"/>
    </row>
    <row r="18" spans="1:18" s="408" customFormat="1" ht="11.25" x14ac:dyDescent="0.2">
      <c r="A18" s="218"/>
      <c r="B18" s="401"/>
      <c r="C18" s="2108" t="s">
        <v>1317</v>
      </c>
      <c r="D18" s="2109"/>
      <c r="E18" s="218"/>
      <c r="F18" s="419" t="s">
        <v>794</v>
      </c>
      <c r="G18" s="402"/>
      <c r="H18" s="403">
        <f>SUM('Acct Summary 7-8'!C8+'Acct Summary 7-8'!D8+'Acct Summary 7-8'!F8+'Acct Summary 7-8'!I8)+H19</f>
        <v>2966776</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-14411</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2.4847956999999998</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105" t="s">
        <v>1412</v>
      </c>
      <c r="D24" s="2105"/>
      <c r="E24" s="218"/>
      <c r="F24" s="218" t="s">
        <v>445</v>
      </c>
      <c r="G24" s="402"/>
      <c r="H24" s="403">
        <f>SUM('Assets-Liab 5-6'!C4+'Assets-Liab 5-6'!D4+'Assets-Liab 5-6'!F4+'Assets-Liab 5-6'!I4+'Assets-Liab 5-6'!C5+'Assets-Liab 5-6'!D5+'Assets-Liab 5-6'!F5+'Assets-Liab 5-6'!I5)</f>
        <v>808794</v>
      </c>
      <c r="I24" s="422"/>
      <c r="J24" s="422"/>
      <c r="K24" s="423">
        <f>TRUNC(((H24/H25*100000)/100000),2)</f>
        <v>91.76</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8813.5444399999997</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1929</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963445.69131999998</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1058473</v>
      </c>
      <c r="I32" s="420"/>
      <c r="J32" s="420"/>
      <c r="K32" s="423">
        <f>TRUNC(100-((((H32/H33*100))*100)/100),2)</f>
        <v>78.75</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4981472.6640000008</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3.55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1983</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theme="3" tint="0.59999389629810485"/>
  </sheetPr>
  <dimension ref="A1:N44"/>
  <sheetViews>
    <sheetView showGridLines="0" defaultGridColor="0" topLeftCell="B1" colorId="8" zoomScaleNormal="100" workbookViewId="0">
      <pane ySplit="2" topLeftCell="A9" activePane="bottomLeft" state="frozen"/>
      <selection pane="bottomLeft" activeCell="M41" sqref="M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3"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4"/>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5" t="s">
        <v>973</v>
      </c>
      <c r="B3" s="2116"/>
      <c r="C3" s="1559"/>
      <c r="D3" s="1560"/>
      <c r="E3" s="1560"/>
      <c r="F3" s="1560"/>
      <c r="G3" s="1560"/>
      <c r="H3" s="1560"/>
      <c r="I3" s="1560"/>
      <c r="J3" s="1560"/>
      <c r="K3" s="1560"/>
      <c r="L3" s="1560"/>
      <c r="M3" s="1561"/>
      <c r="N3" s="1562"/>
    </row>
    <row r="4" spans="1:14" ht="13.5" customHeight="1" x14ac:dyDescent="0.2">
      <c r="A4" s="463" t="s">
        <v>1651</v>
      </c>
      <c r="B4" s="464"/>
      <c r="C4" s="465">
        <v>490691</v>
      </c>
      <c r="D4" s="466">
        <v>177810</v>
      </c>
      <c r="E4" s="466">
        <v>18822</v>
      </c>
      <c r="F4" s="466">
        <v>37208</v>
      </c>
      <c r="G4" s="466">
        <v>512989</v>
      </c>
      <c r="H4" s="466"/>
      <c r="I4" s="466">
        <v>103085</v>
      </c>
      <c r="J4" s="467">
        <v>346541</v>
      </c>
      <c r="K4" s="466">
        <v>95</v>
      </c>
      <c r="L4" s="466">
        <v>77497</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490691</v>
      </c>
      <c r="D13" s="1737">
        <f t="shared" ref="D13:L13" si="0">SUM(D4:D12)</f>
        <v>177810</v>
      </c>
      <c r="E13" s="1737">
        <f t="shared" si="0"/>
        <v>18822</v>
      </c>
      <c r="F13" s="1737">
        <f t="shared" si="0"/>
        <v>37208</v>
      </c>
      <c r="G13" s="1737">
        <f t="shared" si="0"/>
        <v>512989</v>
      </c>
      <c r="H13" s="1737">
        <f t="shared" si="0"/>
        <v>0</v>
      </c>
      <c r="I13" s="1737">
        <f t="shared" si="0"/>
        <v>103085</v>
      </c>
      <c r="J13" s="1737">
        <f t="shared" si="0"/>
        <v>346541</v>
      </c>
      <c r="K13" s="1737">
        <f t="shared" si="0"/>
        <v>95</v>
      </c>
      <c r="L13" s="1737">
        <f t="shared" si="0"/>
        <v>77497</v>
      </c>
      <c r="M13" s="468"/>
      <c r="N13" s="469"/>
    </row>
    <row r="14" spans="1:14" ht="18" customHeight="1" thickTop="1" x14ac:dyDescent="0.2">
      <c r="A14" s="2117" t="s">
        <v>147</v>
      </c>
      <c r="B14" s="2118"/>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20000</v>
      </c>
      <c r="N16" s="484"/>
    </row>
    <row r="17" spans="1:14" s="485" customFormat="1" ht="12.75" customHeight="1" x14ac:dyDescent="0.2">
      <c r="A17" s="482" t="s">
        <v>1403</v>
      </c>
      <c r="B17" s="483">
        <v>230</v>
      </c>
      <c r="C17" s="477"/>
      <c r="D17" s="477"/>
      <c r="E17" s="477"/>
      <c r="F17" s="477"/>
      <c r="G17" s="477"/>
      <c r="H17" s="477"/>
      <c r="I17" s="477"/>
      <c r="J17" s="477"/>
      <c r="K17" s="477"/>
      <c r="L17" s="477"/>
      <c r="M17" s="467">
        <v>9435394</v>
      </c>
      <c r="N17" s="484"/>
    </row>
    <row r="18" spans="1:14" s="485" customFormat="1" ht="12.75" customHeight="1" x14ac:dyDescent="0.2">
      <c r="A18" s="482" t="s">
        <v>1404</v>
      </c>
      <c r="B18" s="483">
        <v>240</v>
      </c>
      <c r="C18" s="477"/>
      <c r="D18" s="477"/>
      <c r="E18" s="477"/>
      <c r="F18" s="477"/>
      <c r="G18" s="477"/>
      <c r="H18" s="477"/>
      <c r="I18" s="477"/>
      <c r="J18" s="477"/>
      <c r="K18" s="477"/>
      <c r="L18" s="477"/>
      <c r="M18" s="467"/>
      <c r="N18" s="484"/>
    </row>
    <row r="19" spans="1:14" s="485" customFormat="1" ht="12.75" customHeight="1" x14ac:dyDescent="0.2">
      <c r="A19" s="482" t="s">
        <v>1405</v>
      </c>
      <c r="B19" s="483">
        <v>250</v>
      </c>
      <c r="C19" s="477"/>
      <c r="D19" s="477"/>
      <c r="E19" s="477"/>
      <c r="F19" s="477"/>
      <c r="G19" s="477"/>
      <c r="H19" s="477"/>
      <c r="I19" s="477"/>
      <c r="J19" s="477"/>
      <c r="K19" s="477"/>
      <c r="L19" s="477"/>
      <c r="M19" s="467">
        <v>825339</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18822</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1039651</v>
      </c>
    </row>
    <row r="23" spans="1:14" ht="13.5" customHeight="1" thickBot="1" x14ac:dyDescent="0.25">
      <c r="A23" s="1736" t="s">
        <v>643</v>
      </c>
      <c r="B23" s="1741"/>
      <c r="C23" s="468"/>
      <c r="D23" s="468"/>
      <c r="E23" s="468"/>
      <c r="F23" s="468"/>
      <c r="G23" s="468"/>
      <c r="H23" s="468"/>
      <c r="I23" s="468"/>
      <c r="J23" s="468"/>
      <c r="K23" s="468"/>
      <c r="L23" s="468"/>
      <c r="M23" s="1688">
        <f>SUM(M15:M22)</f>
        <v>10280733</v>
      </c>
      <c r="N23" s="1688">
        <f>SUM(N21:N22)</f>
        <v>1058473</v>
      </c>
    </row>
    <row r="24" spans="1:14" ht="18" customHeight="1" thickTop="1" x14ac:dyDescent="0.2">
      <c r="A24" s="2119" t="s">
        <v>598</v>
      </c>
      <c r="B24" s="2120"/>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77497</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77497</v>
      </c>
      <c r="M34" s="468"/>
      <c r="N34" s="480"/>
    </row>
    <row r="35" spans="1:14" ht="18" customHeight="1" thickTop="1" x14ac:dyDescent="0.2">
      <c r="A35" s="2121" t="s">
        <v>529</v>
      </c>
      <c r="B35" s="2122"/>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1058473</v>
      </c>
    </row>
    <row r="37" spans="1:14" ht="13.5" thickBot="1" x14ac:dyDescent="0.25">
      <c r="A37" s="1736" t="s">
        <v>653</v>
      </c>
      <c r="B37" s="1741"/>
      <c r="C37" s="477"/>
      <c r="D37" s="477"/>
      <c r="E37" s="477"/>
      <c r="F37" s="477"/>
      <c r="G37" s="477"/>
      <c r="H37" s="477"/>
      <c r="I37" s="477"/>
      <c r="J37" s="477"/>
      <c r="K37" s="477"/>
      <c r="L37" s="480"/>
      <c r="M37" s="468"/>
      <c r="N37" s="1688">
        <f>SUM(N36:N36)</f>
        <v>1058473</v>
      </c>
    </row>
    <row r="38" spans="1:14" s="329" customFormat="1" ht="13.5" customHeight="1" thickTop="1" x14ac:dyDescent="0.2">
      <c r="A38" s="496" t="s">
        <v>420</v>
      </c>
      <c r="B38" s="483">
        <v>714</v>
      </c>
      <c r="C38" s="466"/>
      <c r="D38" s="466"/>
      <c r="E38" s="466"/>
      <c r="F38" s="466"/>
      <c r="G38" s="466">
        <v>154269</v>
      </c>
      <c r="H38" s="466"/>
      <c r="I38" s="466"/>
      <c r="J38" s="467"/>
      <c r="K38" s="466"/>
      <c r="L38" s="481"/>
      <c r="M38" s="497"/>
      <c r="N38" s="497"/>
    </row>
    <row r="39" spans="1:14" s="329" customFormat="1" ht="13.5" customHeight="1" x14ac:dyDescent="0.2">
      <c r="A39" s="496" t="s">
        <v>342</v>
      </c>
      <c r="B39" s="483">
        <v>730</v>
      </c>
      <c r="C39" s="466">
        <v>490691</v>
      </c>
      <c r="D39" s="466">
        <v>177810</v>
      </c>
      <c r="E39" s="466">
        <v>18822</v>
      </c>
      <c r="F39" s="466">
        <v>37208</v>
      </c>
      <c r="G39" s="466">
        <v>358720</v>
      </c>
      <c r="H39" s="466"/>
      <c r="I39" s="466">
        <v>103085</v>
      </c>
      <c r="J39" s="467">
        <v>346541</v>
      </c>
      <c r="K39" s="466">
        <v>95</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10280733</v>
      </c>
      <c r="N40" s="497"/>
    </row>
    <row r="41" spans="1:14" ht="13.5" customHeight="1" thickBot="1" x14ac:dyDescent="0.25">
      <c r="A41" s="1736" t="s">
        <v>655</v>
      </c>
      <c r="B41" s="1706"/>
      <c r="C41" s="1688">
        <f>(SUM(C34,C37,C38,C39))</f>
        <v>490691</v>
      </c>
      <c r="D41" s="1688">
        <f t="shared" ref="D41:L41" si="2">SUM(D34,D37,D38:D39)</f>
        <v>177810</v>
      </c>
      <c r="E41" s="1688">
        <f t="shared" si="2"/>
        <v>18822</v>
      </c>
      <c r="F41" s="1688">
        <f t="shared" si="2"/>
        <v>37208</v>
      </c>
      <c r="G41" s="1688">
        <f t="shared" si="2"/>
        <v>512989</v>
      </c>
      <c r="H41" s="1688">
        <f t="shared" si="2"/>
        <v>0</v>
      </c>
      <c r="I41" s="1688">
        <f t="shared" si="2"/>
        <v>103085</v>
      </c>
      <c r="J41" s="1688">
        <f t="shared" si="2"/>
        <v>346541</v>
      </c>
      <c r="K41" s="1688">
        <f t="shared" si="2"/>
        <v>95</v>
      </c>
      <c r="L41" s="1688">
        <f t="shared" si="2"/>
        <v>77497</v>
      </c>
      <c r="M41" s="1688">
        <f>SUM(M40)</f>
        <v>10280733</v>
      </c>
      <c r="N41" s="1688">
        <f>SUM(N37)</f>
        <v>1058473</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&amp;L&amp;8The notes to the financial statements are an integral part of these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3" tint="0.59999389629810485"/>
  </sheetPr>
  <dimension ref="A1:M87"/>
  <sheetViews>
    <sheetView showGridLines="0" defaultGridColor="0" colorId="8" zoomScale="85" zoomScaleNormal="85" zoomScaleSheetLayoutView="100" workbookViewId="0">
      <pane ySplit="2" topLeftCell="A30" activePane="bottomLeft" state="frozen"/>
      <selection pane="bottomLeft" activeCell="D37" sqref="D37"/>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1"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32"/>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3" t="s">
        <v>1175</v>
      </c>
      <c r="B3" s="2144"/>
      <c r="C3" s="1573"/>
      <c r="D3" s="1574"/>
      <c r="E3" s="1574"/>
      <c r="F3" s="1574"/>
      <c r="G3" s="1574"/>
      <c r="H3" s="1574"/>
      <c r="I3" s="1574"/>
      <c r="J3" s="1574"/>
      <c r="K3" s="1575"/>
      <c r="L3" s="506"/>
    </row>
    <row r="4" spans="1:13" ht="15.75" customHeight="1" x14ac:dyDescent="0.2">
      <c r="A4" s="1928" t="s">
        <v>1499</v>
      </c>
      <c r="B4" s="1929">
        <v>1000</v>
      </c>
      <c r="C4" s="1742">
        <f>'Revenues 9-14'!C109</f>
        <v>997708</v>
      </c>
      <c r="D4" s="1742">
        <f>'Revenues 9-14'!D109</f>
        <v>173274</v>
      </c>
      <c r="E4" s="1742">
        <f>'Revenues 9-14'!E109</f>
        <v>238498</v>
      </c>
      <c r="F4" s="1742">
        <f>'Revenues 9-14'!F109</f>
        <v>69912</v>
      </c>
      <c r="G4" s="1742">
        <f>'Revenues 9-14'!G109</f>
        <v>196104</v>
      </c>
      <c r="H4" s="1742">
        <f>'Revenues 9-14'!H109</f>
        <v>0</v>
      </c>
      <c r="I4" s="1742">
        <f>'Revenues 9-14'!I109</f>
        <v>17399</v>
      </c>
      <c r="J4" s="1742">
        <f>'Revenues 9-14'!J109</f>
        <v>245439</v>
      </c>
      <c r="K4" s="1742">
        <f>'Revenues 9-14'!K109</f>
        <v>16681</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1306880</v>
      </c>
      <c r="D6" s="1743">
        <f>'Revenues 9-14'!D170</f>
        <v>0</v>
      </c>
      <c r="E6" s="1743">
        <f>'Revenues 9-14'!E170</f>
        <v>0</v>
      </c>
      <c r="F6" s="1743">
        <f>'Revenues 9-14'!F170</f>
        <v>72500</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343514</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2648102</v>
      </c>
      <c r="D8" s="1688">
        <f t="shared" ref="D8:K8" si="0">SUM(D4:D7)</f>
        <v>173274</v>
      </c>
      <c r="E8" s="1688">
        <f t="shared" si="0"/>
        <v>238498</v>
      </c>
      <c r="F8" s="1688">
        <f t="shared" si="0"/>
        <v>142412</v>
      </c>
      <c r="G8" s="1688">
        <f t="shared" si="0"/>
        <v>196104</v>
      </c>
      <c r="H8" s="1688">
        <f t="shared" si="0"/>
        <v>0</v>
      </c>
      <c r="I8" s="1688">
        <f t="shared" si="0"/>
        <v>17399</v>
      </c>
      <c r="J8" s="1688">
        <f t="shared" si="0"/>
        <v>245439</v>
      </c>
      <c r="K8" s="1688">
        <f t="shared" si="0"/>
        <v>16681</v>
      </c>
      <c r="L8" s="347"/>
    </row>
    <row r="9" spans="1:13" ht="15.75" thickTop="1" x14ac:dyDescent="0.2">
      <c r="A9" s="514" t="s">
        <v>1653</v>
      </c>
      <c r="B9" s="515">
        <v>3998</v>
      </c>
      <c r="C9" s="481">
        <v>990121</v>
      </c>
      <c r="D9" s="516"/>
      <c r="E9" s="481"/>
      <c r="F9" s="481"/>
      <c r="G9" s="517"/>
      <c r="H9" s="481"/>
      <c r="I9" s="509" t="s">
        <v>1169</v>
      </c>
      <c r="J9" s="478"/>
      <c r="K9" s="481"/>
      <c r="L9" s="347"/>
    </row>
    <row r="10" spans="1:13" s="519" customFormat="1" ht="13.5" thickBot="1" x14ac:dyDescent="0.25">
      <c r="A10" s="1736" t="s">
        <v>1173</v>
      </c>
      <c r="B10" s="1709"/>
      <c r="C10" s="1688">
        <f>SUM(C8:C9)</f>
        <v>3638223</v>
      </c>
      <c r="D10" s="1688">
        <f t="shared" ref="D10:K10" si="1">SUM(D8:D9)</f>
        <v>173274</v>
      </c>
      <c r="E10" s="1688">
        <f t="shared" si="1"/>
        <v>238498</v>
      </c>
      <c r="F10" s="1688">
        <f t="shared" si="1"/>
        <v>142412</v>
      </c>
      <c r="G10" s="1688">
        <f t="shared" si="1"/>
        <v>196104</v>
      </c>
      <c r="H10" s="1688">
        <f t="shared" si="1"/>
        <v>0</v>
      </c>
      <c r="I10" s="1688">
        <f t="shared" si="1"/>
        <v>17399</v>
      </c>
      <c r="J10" s="1688">
        <f t="shared" si="1"/>
        <v>245439</v>
      </c>
      <c r="K10" s="1688">
        <f t="shared" si="1"/>
        <v>16681</v>
      </c>
      <c r="L10" s="518"/>
    </row>
    <row r="11" spans="1:13" s="519" customFormat="1" ht="16.7" customHeight="1" thickTop="1" x14ac:dyDescent="0.2">
      <c r="A11" s="2117" t="s">
        <v>1176</v>
      </c>
      <c r="B11" s="2118"/>
      <c r="C11" s="1570"/>
      <c r="D11" s="1571"/>
      <c r="E11" s="1571"/>
      <c r="F11" s="1571"/>
      <c r="G11" s="1571"/>
      <c r="H11" s="1571"/>
      <c r="I11" s="1571"/>
      <c r="J11" s="1571"/>
      <c r="K11" s="1572"/>
      <c r="L11" s="518"/>
    </row>
    <row r="12" spans="1:13" ht="15.75" customHeight="1" x14ac:dyDescent="0.2">
      <c r="A12" s="1576" t="s">
        <v>456</v>
      </c>
      <c r="B12" s="1578">
        <v>1000</v>
      </c>
      <c r="C12" s="1742">
        <f>'Expenditures 15-22'!K33</f>
        <v>1589641</v>
      </c>
      <c r="D12" s="520" t="s">
        <v>1169</v>
      </c>
      <c r="E12" s="468" t="s">
        <v>1169</v>
      </c>
      <c r="F12" s="468" t="s">
        <v>1169</v>
      </c>
      <c r="G12" s="1742">
        <f>'Expenditures 15-22'!K229</f>
        <v>40970</v>
      </c>
      <c r="H12" s="521"/>
      <c r="I12" s="468" t="s">
        <v>1169</v>
      </c>
      <c r="J12" s="468" t="s">
        <v>1169</v>
      </c>
      <c r="K12" s="521" t="s">
        <v>1169</v>
      </c>
      <c r="L12" s="347"/>
    </row>
    <row r="13" spans="1:13" ht="15.75" customHeight="1" x14ac:dyDescent="0.2">
      <c r="A13" s="1576" t="s">
        <v>457</v>
      </c>
      <c r="B13" s="1578">
        <v>2000</v>
      </c>
      <c r="C13" s="1743">
        <f>'Expenditures 15-22'!K74</f>
        <v>980881</v>
      </c>
      <c r="D13" s="1743">
        <f>'Expenditures 15-22'!K129</f>
        <v>263689</v>
      </c>
      <c r="E13" s="469" t="s">
        <v>1169</v>
      </c>
      <c r="F13" s="1743">
        <f>'Expenditures 15-22'!K184</f>
        <v>223413</v>
      </c>
      <c r="G13" s="1743">
        <f>'Expenditures 15-22'!K279</f>
        <v>63979</v>
      </c>
      <c r="H13" s="1743">
        <f>'Expenditures 15-22'!K303</f>
        <v>0</v>
      </c>
      <c r="I13" s="468" t="s">
        <v>1169</v>
      </c>
      <c r="J13" s="1743">
        <f>'Expenditures 15-22'!K330</f>
        <v>191776</v>
      </c>
      <c r="K13" s="1747">
        <f>'Expenditures 15-22'!K352</f>
        <v>19280</v>
      </c>
      <c r="L13" s="347"/>
    </row>
    <row r="14" spans="1:13" ht="15.75" customHeight="1" x14ac:dyDescent="0.2">
      <c r="A14" s="1576" t="s">
        <v>449</v>
      </c>
      <c r="B14" s="1578">
        <v>3000</v>
      </c>
      <c r="C14" s="1743">
        <f>'Expenditures 15-22'!K75</f>
        <v>4975</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84102</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363</v>
      </c>
      <c r="E16" s="1743">
        <f>'Expenditures 15-22'!K172</f>
        <v>248337</v>
      </c>
      <c r="F16" s="1743">
        <f>'Expenditures 15-22'!K208</f>
        <v>25812</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2659599</v>
      </c>
      <c r="D17" s="1688">
        <f t="shared" si="2"/>
        <v>264052</v>
      </c>
      <c r="E17" s="1688">
        <f t="shared" si="2"/>
        <v>248337</v>
      </c>
      <c r="F17" s="1688">
        <f t="shared" si="2"/>
        <v>249225</v>
      </c>
      <c r="G17" s="1688">
        <f t="shared" si="2"/>
        <v>104949</v>
      </c>
      <c r="H17" s="1688">
        <f t="shared" si="2"/>
        <v>0</v>
      </c>
      <c r="I17" s="468"/>
      <c r="J17" s="1688">
        <f>SUM(J12:J16)</f>
        <v>191776</v>
      </c>
      <c r="K17" s="1688">
        <f>SUM(K12:K16)</f>
        <v>19280</v>
      </c>
      <c r="L17" s="347"/>
    </row>
    <row r="18" spans="1:12" ht="15" customHeight="1" thickTop="1" x14ac:dyDescent="0.2">
      <c r="A18" s="1744" t="s">
        <v>1654</v>
      </c>
      <c r="B18" s="1745">
        <v>4180</v>
      </c>
      <c r="C18" s="1742">
        <f t="shared" ref="C18:H18" si="3">C9</f>
        <v>990121</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3649720</v>
      </c>
      <c r="D19" s="1688">
        <f t="shared" si="4"/>
        <v>264052</v>
      </c>
      <c r="E19" s="1688">
        <f t="shared" si="4"/>
        <v>248337</v>
      </c>
      <c r="F19" s="1688">
        <f t="shared" si="4"/>
        <v>249225</v>
      </c>
      <c r="G19" s="1688">
        <f t="shared" si="4"/>
        <v>104949</v>
      </c>
      <c r="H19" s="1688">
        <f t="shared" si="4"/>
        <v>0</v>
      </c>
      <c r="I19" s="468"/>
      <c r="J19" s="1688">
        <f>SUM(J17:J18)</f>
        <v>191776</v>
      </c>
      <c r="K19" s="1688">
        <f>SUM(K17:K18)</f>
        <v>19280</v>
      </c>
      <c r="L19" s="347"/>
    </row>
    <row r="20" spans="1:12" ht="16.5" thickTop="1" thickBot="1" x14ac:dyDescent="0.25">
      <c r="A20" s="2133" t="s">
        <v>1655</v>
      </c>
      <c r="B20" s="2134"/>
      <c r="C20" s="1746">
        <f>C8-C17</f>
        <v>-11497</v>
      </c>
      <c r="D20" s="1746">
        <f t="shared" ref="D20:K20" si="5">D8-D17</f>
        <v>-90778</v>
      </c>
      <c r="E20" s="1746">
        <f t="shared" si="5"/>
        <v>-9839</v>
      </c>
      <c r="F20" s="1746">
        <f t="shared" si="5"/>
        <v>-106813</v>
      </c>
      <c r="G20" s="1746">
        <f t="shared" si="5"/>
        <v>91155</v>
      </c>
      <c r="H20" s="1746">
        <f t="shared" si="5"/>
        <v>0</v>
      </c>
      <c r="I20" s="1746">
        <f t="shared" si="5"/>
        <v>17399</v>
      </c>
      <c r="J20" s="1746">
        <f t="shared" si="5"/>
        <v>53663</v>
      </c>
      <c r="K20" s="1746">
        <f t="shared" si="5"/>
        <v>-2599</v>
      </c>
      <c r="L20" s="347"/>
    </row>
    <row r="21" spans="1:12" ht="16.7" customHeight="1" thickTop="1" x14ac:dyDescent="0.2">
      <c r="A21" s="2145" t="s">
        <v>595</v>
      </c>
      <c r="B21" s="2146"/>
      <c r="C21" s="1570"/>
      <c r="D21" s="1571"/>
      <c r="E21" s="1571"/>
      <c r="F21" s="1571"/>
      <c r="G21" s="1571"/>
      <c r="H21" s="1571"/>
      <c r="I21" s="1571"/>
      <c r="J21" s="1571"/>
      <c r="K21" s="1572"/>
      <c r="L21" s="524"/>
    </row>
    <row r="22" spans="1:12" ht="15.75" customHeight="1" collapsed="1" x14ac:dyDescent="0.2">
      <c r="A22" s="2141" t="s">
        <v>596</v>
      </c>
      <c r="B22" s="2142"/>
      <c r="C22" s="477"/>
      <c r="D22" s="477"/>
      <c r="E22" s="477"/>
      <c r="F22" s="477"/>
      <c r="G22" s="477"/>
      <c r="H22" s="477"/>
      <c r="I22" s="477"/>
      <c r="J22" s="477"/>
      <c r="K22" s="477"/>
      <c r="L22" s="347"/>
    </row>
    <row r="23" spans="1:12" s="485" customFormat="1" ht="15.75" customHeight="1" x14ac:dyDescent="0.2">
      <c r="A23" s="2137" t="s">
        <v>293</v>
      </c>
      <c r="B23" s="2138"/>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1793</v>
      </c>
      <c r="B30" s="527">
        <v>7160</v>
      </c>
      <c r="C30" s="477"/>
      <c r="D30" s="467"/>
      <c r="E30" s="477"/>
      <c r="F30" s="477"/>
      <c r="G30" s="477"/>
      <c r="H30" s="477"/>
      <c r="I30" s="477"/>
      <c r="J30" s="477"/>
      <c r="K30" s="477"/>
      <c r="L30" s="524"/>
    </row>
    <row r="31" spans="1:12" s="485" customFormat="1" ht="26.25" x14ac:dyDescent="0.2">
      <c r="A31" s="1489" t="s">
        <v>1797</v>
      </c>
      <c r="B31" s="527">
        <v>7170</v>
      </c>
      <c r="C31" s="477"/>
      <c r="D31" s="477"/>
      <c r="E31" s="474"/>
      <c r="F31" s="477"/>
      <c r="G31" s="477"/>
      <c r="H31" s="477"/>
      <c r="I31" s="477"/>
      <c r="J31" s="477"/>
      <c r="K31" s="477"/>
      <c r="L31" s="524"/>
    </row>
    <row r="32" spans="1:12" s="485" customFormat="1" ht="15.75" customHeight="1" x14ac:dyDescent="0.2">
      <c r="A32" s="2139" t="s">
        <v>981</v>
      </c>
      <c r="B32" s="2140"/>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v>3376</v>
      </c>
      <c r="E36" s="467"/>
      <c r="F36" s="467">
        <v>8107</v>
      </c>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v>14411</v>
      </c>
      <c r="F42" s="467"/>
      <c r="G42" s="467"/>
      <c r="H42" s="467"/>
      <c r="I42" s="480"/>
      <c r="J42" s="480"/>
      <c r="K42" s="467"/>
      <c r="L42" s="524"/>
    </row>
    <row r="43" spans="1:12" s="485" customFormat="1" ht="13.5" customHeight="1" x14ac:dyDescent="0.2">
      <c r="A43" s="1489" t="s">
        <v>373</v>
      </c>
      <c r="B43" s="483">
        <v>7990</v>
      </c>
      <c r="C43" s="467"/>
      <c r="D43" s="467"/>
      <c r="E43" s="467"/>
      <c r="F43" s="467">
        <v>90672</v>
      </c>
      <c r="G43" s="467"/>
      <c r="H43" s="467"/>
      <c r="I43" s="467"/>
      <c r="J43" s="467"/>
      <c r="K43" s="467"/>
      <c r="L43" s="524"/>
    </row>
    <row r="44" spans="1:12" s="485" customFormat="1" ht="13.5" customHeight="1" thickBot="1" x14ac:dyDescent="0.25">
      <c r="A44" s="2147" t="s">
        <v>374</v>
      </c>
      <c r="B44" s="2148"/>
      <c r="C44" s="1703">
        <f>SUM(C24:C43)</f>
        <v>0</v>
      </c>
      <c r="D44" s="1703">
        <f t="shared" ref="D44:K44" si="6">SUM(D24:D43)</f>
        <v>3376</v>
      </c>
      <c r="E44" s="1703">
        <f t="shared" si="6"/>
        <v>14411</v>
      </c>
      <c r="F44" s="1703">
        <f t="shared" si="6"/>
        <v>98779</v>
      </c>
      <c r="G44" s="1703">
        <f t="shared" si="6"/>
        <v>0</v>
      </c>
      <c r="H44" s="1703">
        <f t="shared" si="6"/>
        <v>0</v>
      </c>
      <c r="I44" s="1703">
        <f t="shared" si="6"/>
        <v>0</v>
      </c>
      <c r="J44" s="1703">
        <f t="shared" si="6"/>
        <v>0</v>
      </c>
      <c r="K44" s="1703">
        <f t="shared" si="6"/>
        <v>0</v>
      </c>
      <c r="L44" s="524"/>
    </row>
    <row r="45" spans="1:12" ht="15.75" customHeight="1" thickTop="1" x14ac:dyDescent="0.2">
      <c r="A45" s="2141" t="s">
        <v>108</v>
      </c>
      <c r="B45" s="2142"/>
      <c r="C45" s="528"/>
      <c r="D45" s="528"/>
      <c r="E45" s="528"/>
      <c r="F45" s="528"/>
      <c r="G45" s="528"/>
      <c r="H45" s="528"/>
      <c r="I45" s="528"/>
      <c r="J45" s="528"/>
      <c r="K45" s="528"/>
      <c r="L45" s="347"/>
    </row>
    <row r="46" spans="1:12" s="485" customFormat="1" ht="15.75" customHeight="1" x14ac:dyDescent="0.2">
      <c r="A46" s="2149" t="s">
        <v>109</v>
      </c>
      <c r="B46" s="2150"/>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1796</v>
      </c>
      <c r="B52" s="483">
        <v>8160</v>
      </c>
      <c r="C52" s="477"/>
      <c r="D52" s="477"/>
      <c r="E52" s="477"/>
      <c r="F52" s="477"/>
      <c r="G52" s="477"/>
      <c r="H52" s="477"/>
      <c r="I52" s="477"/>
      <c r="J52" s="477"/>
      <c r="K52" s="1743">
        <f>D30</f>
        <v>0</v>
      </c>
      <c r="L52" s="524"/>
    </row>
    <row r="53" spans="1:12" s="485" customFormat="1" ht="26.25" x14ac:dyDescent="0.2">
      <c r="A53" s="1490" t="s">
        <v>1795</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v>14411</v>
      </c>
      <c r="E74" s="480"/>
      <c r="F74" s="530"/>
      <c r="G74" s="530"/>
      <c r="H74" s="530"/>
      <c r="I74" s="480"/>
      <c r="J74" s="480"/>
      <c r="K74" s="530"/>
      <c r="L74" s="524"/>
    </row>
    <row r="75" spans="1:12" s="485" customFormat="1" ht="14.25" thickTop="1" thickBot="1" x14ac:dyDescent="0.25">
      <c r="A75" s="1493" t="s">
        <v>439</v>
      </c>
      <c r="B75" s="483">
        <v>8990</v>
      </c>
      <c r="C75" s="531">
        <v>8489</v>
      </c>
      <c r="D75" s="531"/>
      <c r="E75" s="530"/>
      <c r="F75" s="532"/>
      <c r="G75" s="532"/>
      <c r="H75" s="532"/>
      <c r="I75" s="530"/>
      <c r="J75" s="530"/>
      <c r="K75" s="532"/>
      <c r="L75" s="524"/>
    </row>
    <row r="76" spans="1:12" s="485" customFormat="1" ht="14.25" thickTop="1" thickBot="1" x14ac:dyDescent="0.25">
      <c r="A76" s="2123" t="s">
        <v>440</v>
      </c>
      <c r="B76" s="2124"/>
      <c r="C76" s="1703">
        <f t="shared" ref="C76:K76" si="7">SUM(C47:C75)</f>
        <v>8489</v>
      </c>
      <c r="D76" s="1703">
        <f t="shared" si="7"/>
        <v>14411</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25" t="s">
        <v>1177</v>
      </c>
      <c r="B77" s="2126"/>
      <c r="C77" s="1703">
        <f t="shared" ref="C77:K77" si="8">C44-C76</f>
        <v>-8489</v>
      </c>
      <c r="D77" s="1703">
        <f t="shared" si="8"/>
        <v>-11035</v>
      </c>
      <c r="E77" s="1703">
        <f t="shared" si="8"/>
        <v>14411</v>
      </c>
      <c r="F77" s="1703">
        <f t="shared" si="8"/>
        <v>98779</v>
      </c>
      <c r="G77" s="1703">
        <f t="shared" si="8"/>
        <v>0</v>
      </c>
      <c r="H77" s="1703">
        <f t="shared" si="8"/>
        <v>0</v>
      </c>
      <c r="I77" s="1703">
        <f t="shared" si="8"/>
        <v>0</v>
      </c>
      <c r="J77" s="1703">
        <f t="shared" si="8"/>
        <v>0</v>
      </c>
      <c r="K77" s="1703">
        <f t="shared" si="8"/>
        <v>0</v>
      </c>
      <c r="L77" s="347"/>
    </row>
    <row r="78" spans="1:12" ht="21.75" customHeight="1" thickTop="1" thickBot="1" x14ac:dyDescent="0.25">
      <c r="A78" s="2129" t="s">
        <v>597</v>
      </c>
      <c r="B78" s="2130"/>
      <c r="C78" s="1702">
        <f t="shared" ref="C78:K78" si="9">C20+C77</f>
        <v>-19986</v>
      </c>
      <c r="D78" s="1702">
        <f t="shared" si="9"/>
        <v>-101813</v>
      </c>
      <c r="E78" s="1702">
        <f t="shared" si="9"/>
        <v>4572</v>
      </c>
      <c r="F78" s="1702">
        <f t="shared" si="9"/>
        <v>-8034</v>
      </c>
      <c r="G78" s="1702">
        <f t="shared" si="9"/>
        <v>91155</v>
      </c>
      <c r="H78" s="1702">
        <f t="shared" si="9"/>
        <v>0</v>
      </c>
      <c r="I78" s="1702">
        <f t="shared" si="9"/>
        <v>17399</v>
      </c>
      <c r="J78" s="1702">
        <f t="shared" si="9"/>
        <v>53663</v>
      </c>
      <c r="K78" s="1702">
        <f t="shared" si="9"/>
        <v>-2599</v>
      </c>
      <c r="L78" s="533"/>
    </row>
    <row r="79" spans="1:12" ht="13.5" thickTop="1" x14ac:dyDescent="0.2">
      <c r="A79" s="1494" t="s">
        <v>1946</v>
      </c>
      <c r="B79" s="534"/>
      <c r="C79" s="478">
        <v>510677</v>
      </c>
      <c r="D79" s="535">
        <v>279623</v>
      </c>
      <c r="E79" s="535">
        <v>14250</v>
      </c>
      <c r="F79" s="535">
        <v>45242</v>
      </c>
      <c r="G79" s="535">
        <v>421834</v>
      </c>
      <c r="H79" s="535">
        <v>0</v>
      </c>
      <c r="I79" s="535">
        <v>85686</v>
      </c>
      <c r="J79" s="535">
        <v>292878</v>
      </c>
      <c r="K79" s="535">
        <v>2694</v>
      </c>
      <c r="L79" s="347"/>
    </row>
    <row r="80" spans="1:12" x14ac:dyDescent="0.2">
      <c r="A80" s="2135" t="s">
        <v>1794</v>
      </c>
      <c r="B80" s="2136"/>
      <c r="C80" s="467"/>
      <c r="D80" s="467"/>
      <c r="E80" s="467"/>
      <c r="F80" s="467"/>
      <c r="G80" s="467"/>
      <c r="H80" s="467"/>
      <c r="I80" s="467"/>
      <c r="J80" s="467"/>
      <c r="K80" s="467"/>
      <c r="L80" s="347"/>
    </row>
    <row r="81" spans="1:12" ht="13.5" thickBot="1" x14ac:dyDescent="0.25">
      <c r="A81" s="2127" t="s">
        <v>1947</v>
      </c>
      <c r="B81" s="2128"/>
      <c r="C81" s="1688">
        <f>(SUM(C78:C80))</f>
        <v>490691</v>
      </c>
      <c r="D81" s="1688">
        <f>SUM(D78:D80)</f>
        <v>177810</v>
      </c>
      <c r="E81" s="1688">
        <f t="shared" ref="E81:K81" si="10">SUM(E78:E80)</f>
        <v>18822</v>
      </c>
      <c r="F81" s="1688">
        <f t="shared" si="10"/>
        <v>37208</v>
      </c>
      <c r="G81" s="1688">
        <f t="shared" si="10"/>
        <v>512989</v>
      </c>
      <c r="H81" s="1688">
        <f t="shared" si="10"/>
        <v>0</v>
      </c>
      <c r="I81" s="1688">
        <f t="shared" si="10"/>
        <v>103085</v>
      </c>
      <c r="J81" s="1688">
        <f t="shared" si="10"/>
        <v>346541</v>
      </c>
      <c r="K81" s="1688">
        <f t="shared" si="10"/>
        <v>95</v>
      </c>
      <c r="L81" s="347"/>
    </row>
    <row r="82" spans="1:12" ht="0.75" customHeight="1" thickTop="1" thickBot="1" x14ac:dyDescent="0.25">
      <c r="A82" s="536" t="s">
        <v>343</v>
      </c>
      <c r="B82" s="537"/>
      <c r="C82" s="538">
        <f>(C81-C79)</f>
        <v>-19986</v>
      </c>
      <c r="D82" s="538">
        <f t="shared" ref="D82:K82" si="11">(D81-D79)</f>
        <v>-101813</v>
      </c>
      <c r="E82" s="538">
        <f t="shared" si="11"/>
        <v>4572</v>
      </c>
      <c r="F82" s="538">
        <f t="shared" si="11"/>
        <v>-8034</v>
      </c>
      <c r="G82" s="538">
        <f t="shared" si="11"/>
        <v>91155</v>
      </c>
      <c r="H82" s="538">
        <f t="shared" si="11"/>
        <v>0</v>
      </c>
      <c r="I82" s="538">
        <f t="shared" si="11"/>
        <v>17399</v>
      </c>
      <c r="J82" s="538">
        <f t="shared" si="11"/>
        <v>53663</v>
      </c>
      <c r="K82" s="538">
        <f t="shared" si="11"/>
        <v>-2599</v>
      </c>
    </row>
    <row r="83" spans="1:12" ht="14.25" hidden="1" thickTop="1" thickBot="1" x14ac:dyDescent="0.25">
      <c r="A83" s="539" t="s">
        <v>344</v>
      </c>
      <c r="B83" s="464"/>
      <c r="C83" s="540">
        <f>C82/C81</f>
        <v>-4.0730317042701004E-2</v>
      </c>
      <c r="D83" s="540">
        <f t="shared" ref="D83:K83" si="12">D82/D81</f>
        <v>-0.57259434227546258</v>
      </c>
      <c r="E83" s="540">
        <f t="shared" si="12"/>
        <v>0.2429072362129423</v>
      </c>
      <c r="F83" s="540">
        <f t="shared" si="12"/>
        <v>-0.21592130724575359</v>
      </c>
      <c r="G83" s="540">
        <f t="shared" si="12"/>
        <v>0.17769386867944537</v>
      </c>
      <c r="H83" s="540" t="e">
        <f t="shared" si="12"/>
        <v>#DIV/0!</v>
      </c>
      <c r="I83" s="540">
        <f t="shared" si="12"/>
        <v>0.16878304311975553</v>
      </c>
      <c r="J83" s="540">
        <f t="shared" si="12"/>
        <v>0.15485324968762715</v>
      </c>
      <c r="K83" s="540">
        <f t="shared" si="12"/>
        <v>-27.357894736842105</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&amp;L&amp;8The notes to the financial statements are an integral part of these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3" tint="0.59999389629810485"/>
  </sheetPr>
  <dimension ref="A1:L279"/>
  <sheetViews>
    <sheetView showGridLines="0" defaultGridColor="0" colorId="8" zoomScale="85" zoomScaleNormal="85" zoomScaleSheetLayoutView="75" workbookViewId="0">
      <pane ySplit="2" topLeftCell="A201" activePane="bottomLeft" state="frozen"/>
      <selection activeCell="D37" sqref="D37"/>
      <selection pane="bottomLeft" activeCell="C214" sqref="C214"/>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1" t="s">
        <v>1801</v>
      </c>
      <c r="B1" s="452"/>
      <c r="C1" s="453" t="s">
        <v>425</v>
      </c>
      <c r="D1" s="453" t="s">
        <v>426</v>
      </c>
      <c r="E1" s="453" t="s">
        <v>427</v>
      </c>
      <c r="F1" s="453" t="s">
        <v>428</v>
      </c>
      <c r="G1" s="453" t="s">
        <v>429</v>
      </c>
      <c r="H1" s="453" t="s">
        <v>430</v>
      </c>
      <c r="I1" s="453" t="s">
        <v>431</v>
      </c>
      <c r="J1" s="453" t="s">
        <v>432</v>
      </c>
      <c r="K1" s="453" t="s">
        <v>756</v>
      </c>
    </row>
    <row r="2" spans="1:12" ht="36" x14ac:dyDescent="0.2">
      <c r="A2" s="2132"/>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811057</v>
      </c>
      <c r="D5" s="481">
        <v>166202</v>
      </c>
      <c r="E5" s="466">
        <v>238000</v>
      </c>
      <c r="F5" s="548">
        <v>66481</v>
      </c>
      <c r="G5" s="466">
        <v>105770</v>
      </c>
      <c r="H5" s="466"/>
      <c r="I5" s="466">
        <v>16621</v>
      </c>
      <c r="J5" s="467">
        <v>239064</v>
      </c>
      <c r="K5" s="466">
        <v>16621</v>
      </c>
    </row>
    <row r="6" spans="1:12" ht="15" x14ac:dyDescent="0.2">
      <c r="A6" s="463" t="s">
        <v>1662</v>
      </c>
      <c r="B6" s="470">
        <v>1130</v>
      </c>
      <c r="C6" s="466">
        <v>16621</v>
      </c>
      <c r="D6" s="466"/>
      <c r="E6" s="475"/>
      <c r="F6" s="475"/>
      <c r="G6" s="468"/>
      <c r="H6" s="468"/>
      <c r="I6" s="468"/>
      <c r="J6" s="468"/>
      <c r="K6" s="468"/>
    </row>
    <row r="7" spans="1:12" x14ac:dyDescent="0.2">
      <c r="A7" s="463" t="s">
        <v>110</v>
      </c>
      <c r="B7" s="549">
        <v>1140</v>
      </c>
      <c r="C7" s="466">
        <v>13296</v>
      </c>
      <c r="D7" s="466"/>
      <c r="E7" s="468"/>
      <c r="F7" s="467"/>
      <c r="G7" s="467"/>
      <c r="H7" s="467"/>
      <c r="I7" s="468"/>
      <c r="J7" s="468"/>
      <c r="K7" s="468"/>
    </row>
    <row r="8" spans="1:12" x14ac:dyDescent="0.2">
      <c r="A8" s="463" t="s">
        <v>413</v>
      </c>
      <c r="B8" s="470">
        <v>1150</v>
      </c>
      <c r="C8" s="475"/>
      <c r="D8" s="475"/>
      <c r="E8" s="477"/>
      <c r="F8" s="477"/>
      <c r="G8" s="481">
        <v>83332</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840974</v>
      </c>
      <c r="D12" s="1707">
        <f t="shared" si="0"/>
        <v>166202</v>
      </c>
      <c r="E12" s="1707">
        <f t="shared" si="0"/>
        <v>238000</v>
      </c>
      <c r="F12" s="1707">
        <f t="shared" si="0"/>
        <v>66481</v>
      </c>
      <c r="G12" s="1707">
        <f t="shared" si="0"/>
        <v>189102</v>
      </c>
      <c r="H12" s="1707">
        <f t="shared" si="0"/>
        <v>0</v>
      </c>
      <c r="I12" s="1707">
        <f t="shared" si="0"/>
        <v>16621</v>
      </c>
      <c r="J12" s="1707">
        <f t="shared" si="0"/>
        <v>239064</v>
      </c>
      <c r="K12" s="1688">
        <f t="shared" si="0"/>
        <v>16621</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51624</v>
      </c>
      <c r="D16" s="466"/>
      <c r="E16" s="466"/>
      <c r="F16" s="466"/>
      <c r="G16" s="466">
        <v>3000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51624</v>
      </c>
      <c r="D18" s="1710">
        <f t="shared" ref="D18:K18" si="1">SUM(D14:D17)</f>
        <v>0</v>
      </c>
      <c r="E18" s="1710">
        <f t="shared" si="1"/>
        <v>0</v>
      </c>
      <c r="F18" s="1710">
        <f t="shared" si="1"/>
        <v>0</v>
      </c>
      <c r="G18" s="1710">
        <f t="shared" si="1"/>
        <v>3000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5399</v>
      </c>
      <c r="D65" s="466">
        <v>2072</v>
      </c>
      <c r="E65" s="466">
        <v>498</v>
      </c>
      <c r="F65" s="467">
        <v>396</v>
      </c>
      <c r="G65" s="466">
        <v>4002</v>
      </c>
      <c r="H65" s="466"/>
      <c r="I65" s="466">
        <v>778</v>
      </c>
      <c r="J65" s="467">
        <v>2898</v>
      </c>
      <c r="K65" s="466">
        <v>60</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5399</v>
      </c>
      <c r="D67" s="1688">
        <f t="shared" ref="D67:K67" si="2">SUM(D65:D66)</f>
        <v>2072</v>
      </c>
      <c r="E67" s="1688">
        <f t="shared" si="2"/>
        <v>498</v>
      </c>
      <c r="F67" s="1688">
        <f t="shared" si="2"/>
        <v>396</v>
      </c>
      <c r="G67" s="1688">
        <f t="shared" si="2"/>
        <v>4002</v>
      </c>
      <c r="H67" s="1688">
        <f t="shared" si="2"/>
        <v>0</v>
      </c>
      <c r="I67" s="1688">
        <f t="shared" si="2"/>
        <v>778</v>
      </c>
      <c r="J67" s="1688">
        <f t="shared" si="2"/>
        <v>2898</v>
      </c>
      <c r="K67" s="1688">
        <f t="shared" si="2"/>
        <v>60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29524</v>
      </c>
      <c r="D69" s="468"/>
      <c r="E69" s="468"/>
      <c r="F69" s="468"/>
      <c r="G69" s="468"/>
      <c r="H69" s="468"/>
      <c r="I69" s="468"/>
      <c r="J69" s="468"/>
      <c r="K69" s="468"/>
    </row>
    <row r="70" spans="1:11" ht="12.75" customHeight="1" x14ac:dyDescent="0.2">
      <c r="A70" s="463" t="s">
        <v>997</v>
      </c>
      <c r="B70" s="470">
        <v>1612</v>
      </c>
      <c r="C70" s="551">
        <v>8728</v>
      </c>
      <c r="D70" s="468"/>
      <c r="E70" s="468"/>
      <c r="F70" s="468"/>
      <c r="G70" s="468"/>
      <c r="H70" s="468"/>
      <c r="I70" s="468"/>
      <c r="J70" s="468"/>
      <c r="K70" s="468"/>
    </row>
    <row r="71" spans="1:11" ht="12.75" customHeight="1" x14ac:dyDescent="0.2">
      <c r="A71" s="463" t="s">
        <v>273</v>
      </c>
      <c r="B71" s="470">
        <v>1613</v>
      </c>
      <c r="C71" s="551">
        <v>1215</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7874</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47341</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11723</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6450</v>
      </c>
      <c r="D79" s="466"/>
      <c r="E79" s="468"/>
      <c r="F79" s="468"/>
      <c r="G79" s="468"/>
      <c r="H79" s="468"/>
      <c r="I79" s="468"/>
      <c r="J79" s="468"/>
      <c r="K79" s="468"/>
    </row>
    <row r="80" spans="1:11" ht="12.75" customHeight="1" x14ac:dyDescent="0.2">
      <c r="A80" s="463" t="s">
        <v>551</v>
      </c>
      <c r="B80" s="470">
        <v>1730</v>
      </c>
      <c r="C80" s="551">
        <v>1187</v>
      </c>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19360</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11573</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v>25</v>
      </c>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v>20</v>
      </c>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11618</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v>12639</v>
      </c>
      <c r="D96" s="551">
        <v>5000</v>
      </c>
      <c r="E96" s="479"/>
      <c r="F96" s="478">
        <v>3035</v>
      </c>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1996</v>
      </c>
      <c r="D99" s="466"/>
      <c r="E99" s="466"/>
      <c r="F99" s="466"/>
      <c r="G99" s="466"/>
      <c r="H99" s="466"/>
      <c r="I99" s="468"/>
      <c r="J99" s="467">
        <v>3477</v>
      </c>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1687</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v>5052</v>
      </c>
      <c r="D106" s="489"/>
      <c r="E106" s="467"/>
      <c r="F106" s="467"/>
      <c r="G106" s="467"/>
      <c r="H106" s="467"/>
      <c r="I106" s="521"/>
      <c r="J106" s="467"/>
      <c r="K106" s="467"/>
    </row>
    <row r="107" spans="1:12" ht="12.75" customHeight="1" x14ac:dyDescent="0.2">
      <c r="A107" s="463" t="s">
        <v>78</v>
      </c>
      <c r="B107" s="470">
        <v>1999</v>
      </c>
      <c r="C107" s="551">
        <v>18</v>
      </c>
      <c r="D107" s="466"/>
      <c r="E107" s="466"/>
      <c r="F107" s="466"/>
      <c r="G107" s="466"/>
      <c r="H107" s="466"/>
      <c r="I107" s="466"/>
      <c r="J107" s="467"/>
      <c r="K107" s="466"/>
    </row>
    <row r="108" spans="1:12" ht="12.75" customHeight="1" thickBot="1" x14ac:dyDescent="0.25">
      <c r="A108" s="1708" t="s">
        <v>487</v>
      </c>
      <c r="B108" s="1712"/>
      <c r="C108" s="1707">
        <f>SUM(C95:C107)</f>
        <v>21392</v>
      </c>
      <c r="D108" s="1707">
        <f t="shared" ref="D108:K108" si="3">SUM(D95:D107)</f>
        <v>5000</v>
      </c>
      <c r="E108" s="1707">
        <f t="shared" si="3"/>
        <v>0</v>
      </c>
      <c r="F108" s="1707">
        <f t="shared" si="3"/>
        <v>3035</v>
      </c>
      <c r="G108" s="1707">
        <f t="shared" si="3"/>
        <v>0</v>
      </c>
      <c r="H108" s="1707">
        <f t="shared" si="3"/>
        <v>0</v>
      </c>
      <c r="I108" s="1707">
        <f t="shared" si="3"/>
        <v>0</v>
      </c>
      <c r="J108" s="1707">
        <f t="shared" si="3"/>
        <v>3477</v>
      </c>
      <c r="K108" s="1688">
        <f t="shared" si="3"/>
        <v>0</v>
      </c>
    </row>
    <row r="109" spans="1:12" ht="14.25" thickTop="1" thickBot="1" x14ac:dyDescent="0.25">
      <c r="A109" s="1713" t="s">
        <v>248</v>
      </c>
      <c r="B109" s="1714" t="s">
        <v>570</v>
      </c>
      <c r="C109" s="1715">
        <f t="shared" ref="C109:K109" si="4">SUM(C12,C18,C40,C63,C67,C75,C82,C93,C108,)</f>
        <v>997708</v>
      </c>
      <c r="D109" s="1715">
        <f t="shared" si="4"/>
        <v>173274</v>
      </c>
      <c r="E109" s="1715">
        <f t="shared" si="4"/>
        <v>238498</v>
      </c>
      <c r="F109" s="1715">
        <f t="shared" si="4"/>
        <v>69912</v>
      </c>
      <c r="G109" s="1715">
        <f t="shared" si="4"/>
        <v>196104</v>
      </c>
      <c r="H109" s="1715">
        <f t="shared" si="4"/>
        <v>0</v>
      </c>
      <c r="I109" s="1715">
        <f t="shared" si="4"/>
        <v>17399</v>
      </c>
      <c r="J109" s="1715">
        <f t="shared" si="4"/>
        <v>245439</v>
      </c>
      <c r="K109" s="1702">
        <f t="shared" si="4"/>
        <v>16681</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1242083</v>
      </c>
      <c r="D117" s="481"/>
      <c r="E117" s="466"/>
      <c r="F117" s="481"/>
      <c r="G117" s="481"/>
      <c r="H117" s="466"/>
      <c r="I117" s="468"/>
      <c r="J117" s="467"/>
      <c r="K117" s="466"/>
    </row>
    <row r="118" spans="1:11" ht="12.75" customHeight="1" x14ac:dyDescent="0.2">
      <c r="A118" s="463" t="s">
        <v>1798</v>
      </c>
      <c r="B118" s="562">
        <v>3002</v>
      </c>
      <c r="C118" s="551"/>
      <c r="D118" s="466"/>
      <c r="E118" s="466"/>
      <c r="F118" s="466"/>
      <c r="G118" s="466"/>
      <c r="H118" s="466"/>
      <c r="I118" s="468"/>
      <c r="J118" s="467"/>
      <c r="K118" s="466"/>
    </row>
    <row r="119" spans="1:11" ht="12.75" customHeight="1" x14ac:dyDescent="0.2">
      <c r="A119" s="463" t="s">
        <v>1799</v>
      </c>
      <c r="B119" s="562">
        <v>3005</v>
      </c>
      <c r="C119" s="551"/>
      <c r="D119" s="466"/>
      <c r="E119" s="466"/>
      <c r="F119" s="466"/>
      <c r="G119" s="466"/>
      <c r="H119" s="466"/>
      <c r="I119" s="468"/>
      <c r="J119" s="467"/>
      <c r="K119" s="466"/>
    </row>
    <row r="120" spans="1:11" ht="12.75" customHeight="1" x14ac:dyDescent="0.2">
      <c r="A120" s="1930" t="s">
        <v>1933</v>
      </c>
      <c r="B120" s="562">
        <v>3030</v>
      </c>
      <c r="C120" s="551"/>
      <c r="D120" s="466"/>
      <c r="E120" s="466"/>
      <c r="F120" s="466"/>
      <c r="G120" s="466"/>
      <c r="H120" s="466"/>
      <c r="I120" s="468"/>
      <c r="J120" s="467"/>
      <c r="K120" s="466"/>
    </row>
    <row r="121" spans="1:11" x14ac:dyDescent="0.2">
      <c r="A121" s="1496" t="s">
        <v>1800</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1242083</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11597</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11597</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34016</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34016</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1034</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3894</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39418</v>
      </c>
      <c r="G152" s="467"/>
      <c r="H152" s="468"/>
      <c r="I152" s="468"/>
      <c r="J152" s="468"/>
      <c r="K152" s="468"/>
    </row>
    <row r="153" spans="1:11" ht="12.75" customHeight="1" x14ac:dyDescent="0.2">
      <c r="A153" s="463" t="s">
        <v>1057</v>
      </c>
      <c r="B153" s="562">
        <v>3510</v>
      </c>
      <c r="C153" s="551"/>
      <c r="D153" s="466"/>
      <c r="E153" s="561"/>
      <c r="F153" s="466">
        <v>33082</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72500</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13506</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750</v>
      </c>
      <c r="D168" s="580"/>
      <c r="E168" s="580"/>
      <c r="F168" s="580"/>
      <c r="G168" s="581"/>
      <c r="H168" s="582"/>
      <c r="I168" s="581"/>
      <c r="J168" s="581"/>
      <c r="K168" s="582"/>
    </row>
    <row r="169" spans="1:11" ht="12.75" customHeight="1" thickTop="1" thickBot="1" x14ac:dyDescent="0.25">
      <c r="A169" s="2151" t="s">
        <v>398</v>
      </c>
      <c r="B169" s="2152"/>
      <c r="C169" s="1722">
        <f t="shared" ref="C169:K169" si="6">SUM(C132,C141,C145,C146:C150,C155,C156:C167,C168)</f>
        <v>64797</v>
      </c>
      <c r="D169" s="1722">
        <f t="shared" si="6"/>
        <v>0</v>
      </c>
      <c r="E169" s="1722">
        <f t="shared" si="6"/>
        <v>0</v>
      </c>
      <c r="F169" s="1722">
        <f t="shared" si="6"/>
        <v>72500</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1306880</v>
      </c>
      <c r="D170" s="1715">
        <f t="shared" si="7"/>
        <v>0</v>
      </c>
      <c r="E170" s="1715">
        <f t="shared" si="7"/>
        <v>0</v>
      </c>
      <c r="F170" s="1715">
        <f t="shared" si="7"/>
        <v>72500</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53" t="s">
        <v>1492</v>
      </c>
      <c r="B172" s="2154"/>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7" t="s">
        <v>1665</v>
      </c>
      <c r="B175" s="2158"/>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61" t="s">
        <v>1664</v>
      </c>
      <c r="B176" s="2162"/>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9" t="s">
        <v>785</v>
      </c>
      <c r="B181" s="2160"/>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5" t="s">
        <v>1802</v>
      </c>
      <c r="B182" s="2156"/>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47466</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18162</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65628</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246023</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246023</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v>2955</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2955</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57</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1934</v>
      </c>
      <c r="B261" s="470">
        <v>4981</v>
      </c>
      <c r="C261" s="575"/>
      <c r="D261" s="576"/>
      <c r="E261" s="468"/>
      <c r="F261" s="576"/>
      <c r="G261" s="576"/>
      <c r="H261" s="468"/>
      <c r="I261" s="468"/>
      <c r="J261" s="468"/>
      <c r="K261" s="468"/>
    </row>
    <row r="262" spans="1:11" ht="12.75" customHeight="1" thickTop="1" thickBot="1" x14ac:dyDescent="0.25">
      <c r="A262" s="1931" t="s">
        <v>1935</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14324</v>
      </c>
      <c r="D263" s="576"/>
      <c r="E263" s="468"/>
      <c r="F263" s="576"/>
      <c r="G263" s="576"/>
      <c r="H263" s="468"/>
      <c r="I263" s="468"/>
      <c r="J263" s="468"/>
      <c r="K263" s="468"/>
    </row>
    <row r="264" spans="1:11" ht="12.75" customHeight="1" thickTop="1" thickBot="1" x14ac:dyDescent="0.25">
      <c r="A264" s="463" t="s">
        <v>377</v>
      </c>
      <c r="B264" s="470">
        <v>4992</v>
      </c>
      <c r="C264" s="575">
        <v>3159</v>
      </c>
      <c r="D264" s="576"/>
      <c r="E264" s="468"/>
      <c r="F264" s="576"/>
      <c r="G264" s="576"/>
      <c r="H264" s="468"/>
      <c r="I264" s="468"/>
      <c r="J264" s="468"/>
      <c r="K264" s="468"/>
    </row>
    <row r="265" spans="1:11" s="593" customFormat="1" ht="12.75" customHeight="1" thickTop="1" thickBot="1" x14ac:dyDescent="0.25">
      <c r="A265" s="563" t="s">
        <v>75</v>
      </c>
      <c r="B265" s="557">
        <v>4999</v>
      </c>
      <c r="C265" s="575">
        <v>11368</v>
      </c>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343514</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343514</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2648102</v>
      </c>
      <c r="D268" s="1715">
        <f t="shared" si="12"/>
        <v>173274</v>
      </c>
      <c r="E268" s="1715">
        <f t="shared" si="12"/>
        <v>238498</v>
      </c>
      <c r="F268" s="1715">
        <f t="shared" si="12"/>
        <v>142412</v>
      </c>
      <c r="G268" s="1715">
        <f t="shared" si="12"/>
        <v>196104</v>
      </c>
      <c r="H268" s="1715">
        <f t="shared" si="12"/>
        <v>0</v>
      </c>
      <c r="I268" s="1715">
        <f t="shared" si="12"/>
        <v>17399</v>
      </c>
      <c r="J268" s="1715">
        <f t="shared" si="12"/>
        <v>245439</v>
      </c>
      <c r="K268" s="1702">
        <f t="shared" si="12"/>
        <v>16681</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&amp;L&amp;8The notes to the financial statements are an integral part of these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theme="3" tint="0.59999389629810485"/>
  </sheetPr>
  <dimension ref="A1:N368"/>
  <sheetViews>
    <sheetView showGridLines="0" defaultGridColor="0" colorId="8" zoomScale="85" zoomScaleNormal="85" workbookViewId="0">
      <pane ySplit="2" topLeftCell="A3" activePane="bottomLeft" state="frozen"/>
      <selection activeCell="D37" sqref="D37"/>
      <selection pane="bottomLeft" activeCell="I41" sqref="I41"/>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1" t="s">
        <v>1801</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5"/>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71" t="s">
        <v>297</v>
      </c>
      <c r="B3" s="2172"/>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887699</v>
      </c>
      <c r="D5" s="466">
        <v>100630</v>
      </c>
      <c r="E5" s="466">
        <v>1492</v>
      </c>
      <c r="F5" s="466">
        <v>5583</v>
      </c>
      <c r="G5" s="466"/>
      <c r="H5" s="466"/>
      <c r="I5" s="467"/>
      <c r="J5" s="467"/>
      <c r="K5" s="1671">
        <f>SUM(C5:J5)</f>
        <v>995404</v>
      </c>
      <c r="L5" s="466">
        <v>944675</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v>49783</v>
      </c>
      <c r="D7" s="467">
        <v>6017</v>
      </c>
      <c r="E7" s="467"/>
      <c r="F7" s="467">
        <v>1205</v>
      </c>
      <c r="G7" s="467"/>
      <c r="H7" s="467"/>
      <c r="I7" s="467"/>
      <c r="J7" s="467"/>
      <c r="K7" s="1671">
        <f t="shared" ref="K7:K32" si="0">SUM(C7:J7)</f>
        <v>57005</v>
      </c>
      <c r="L7" s="466">
        <v>58500</v>
      </c>
    </row>
    <row r="8" spans="1:14" x14ac:dyDescent="0.2">
      <c r="A8" s="1504" t="s">
        <v>164</v>
      </c>
      <c r="B8" s="614">
        <v>1200</v>
      </c>
      <c r="C8" s="466">
        <v>192993</v>
      </c>
      <c r="D8" s="466">
        <v>13933</v>
      </c>
      <c r="E8" s="466">
        <v>123</v>
      </c>
      <c r="F8" s="466">
        <v>5336</v>
      </c>
      <c r="G8" s="466"/>
      <c r="H8" s="466"/>
      <c r="I8" s="467"/>
      <c r="J8" s="467"/>
      <c r="K8" s="1671">
        <f t="shared" si="0"/>
        <v>212385</v>
      </c>
      <c r="L8" s="466">
        <v>149450</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v>63110</v>
      </c>
      <c r="D10" s="466">
        <v>6661</v>
      </c>
      <c r="E10" s="466">
        <v>2700</v>
      </c>
      <c r="F10" s="466">
        <v>71047</v>
      </c>
      <c r="G10" s="466">
        <v>10188</v>
      </c>
      <c r="H10" s="466"/>
      <c r="I10" s="467"/>
      <c r="J10" s="467"/>
      <c r="K10" s="1671">
        <f t="shared" si="0"/>
        <v>153706</v>
      </c>
      <c r="L10" s="466">
        <v>116500</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v>92884</v>
      </c>
      <c r="D13" s="466">
        <v>1524</v>
      </c>
      <c r="E13" s="466">
        <v>140</v>
      </c>
      <c r="F13" s="466">
        <v>7345</v>
      </c>
      <c r="G13" s="466">
        <v>1450</v>
      </c>
      <c r="H13" s="466">
        <v>432</v>
      </c>
      <c r="I13" s="467"/>
      <c r="J13" s="467"/>
      <c r="K13" s="1671">
        <f t="shared" si="0"/>
        <v>103775</v>
      </c>
      <c r="L13" s="466">
        <v>85175</v>
      </c>
    </row>
    <row r="14" spans="1:14" x14ac:dyDescent="0.2">
      <c r="A14" s="1504" t="s">
        <v>963</v>
      </c>
      <c r="B14" s="614">
        <v>1500</v>
      </c>
      <c r="C14" s="466">
        <v>31863</v>
      </c>
      <c r="D14" s="466">
        <v>266</v>
      </c>
      <c r="E14" s="466">
        <v>7881</v>
      </c>
      <c r="F14" s="466">
        <v>8016</v>
      </c>
      <c r="G14" s="466"/>
      <c r="H14" s="466">
        <v>4341</v>
      </c>
      <c r="I14" s="467"/>
      <c r="J14" s="467"/>
      <c r="K14" s="1671">
        <f t="shared" si="0"/>
        <v>52367</v>
      </c>
      <c r="L14" s="466">
        <v>40100</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v>11635</v>
      </c>
      <c r="D17" s="467">
        <v>199</v>
      </c>
      <c r="E17" s="467">
        <v>2838</v>
      </c>
      <c r="F17" s="467">
        <v>327</v>
      </c>
      <c r="G17" s="467"/>
      <c r="H17" s="467"/>
      <c r="I17" s="467"/>
      <c r="J17" s="467"/>
      <c r="K17" s="1671">
        <f t="shared" si="0"/>
        <v>14999</v>
      </c>
      <c r="L17" s="466">
        <v>16325</v>
      </c>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1329967</v>
      </c>
      <c r="D33" s="1670">
        <f t="shared" ref="D33:L33" si="1">SUM(D5:D32)</f>
        <v>129230</v>
      </c>
      <c r="E33" s="1670">
        <f t="shared" si="1"/>
        <v>15174</v>
      </c>
      <c r="F33" s="1670">
        <f t="shared" si="1"/>
        <v>98859</v>
      </c>
      <c r="G33" s="1670">
        <f t="shared" si="1"/>
        <v>11638</v>
      </c>
      <c r="H33" s="1670">
        <f t="shared" si="1"/>
        <v>4773</v>
      </c>
      <c r="I33" s="1670">
        <f t="shared" si="1"/>
        <v>0</v>
      </c>
      <c r="J33" s="1670">
        <f t="shared" si="1"/>
        <v>0</v>
      </c>
      <c r="K33" s="1670">
        <f t="shared" si="1"/>
        <v>1589641</v>
      </c>
      <c r="L33" s="1670">
        <f t="shared" si="1"/>
        <v>1410725</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v>8252</v>
      </c>
      <c r="G36" s="481"/>
      <c r="H36" s="481"/>
      <c r="I36" s="467"/>
      <c r="J36" s="467"/>
      <c r="K36" s="1671">
        <f t="shared" ref="K36:K41" si="2">SUM(C36:J36)</f>
        <v>8252</v>
      </c>
      <c r="L36" s="466"/>
    </row>
    <row r="37" spans="1:14" x14ac:dyDescent="0.2">
      <c r="A37" s="1504" t="s">
        <v>1090</v>
      </c>
      <c r="B37" s="614">
        <v>2120</v>
      </c>
      <c r="C37" s="466">
        <v>39379</v>
      </c>
      <c r="D37" s="466">
        <v>6113</v>
      </c>
      <c r="E37" s="466">
        <v>530</v>
      </c>
      <c r="F37" s="466"/>
      <c r="G37" s="466"/>
      <c r="H37" s="466"/>
      <c r="I37" s="467"/>
      <c r="J37" s="467"/>
      <c r="K37" s="1671">
        <f t="shared" si="2"/>
        <v>46022</v>
      </c>
      <c r="L37" s="466">
        <v>45160</v>
      </c>
    </row>
    <row r="38" spans="1:14" x14ac:dyDescent="0.2">
      <c r="A38" s="1504" t="s">
        <v>198</v>
      </c>
      <c r="B38" s="614">
        <v>2130</v>
      </c>
      <c r="C38" s="466">
        <v>6060</v>
      </c>
      <c r="D38" s="466"/>
      <c r="E38" s="466"/>
      <c r="F38" s="466">
        <v>1615</v>
      </c>
      <c r="G38" s="466"/>
      <c r="H38" s="466">
        <v>1139</v>
      </c>
      <c r="I38" s="467"/>
      <c r="J38" s="467"/>
      <c r="K38" s="1671">
        <f t="shared" si="2"/>
        <v>8814</v>
      </c>
      <c r="L38" s="466">
        <v>16550</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v>36091</v>
      </c>
      <c r="D40" s="466">
        <v>6062</v>
      </c>
      <c r="E40" s="466"/>
      <c r="F40" s="466">
        <v>269</v>
      </c>
      <c r="G40" s="466"/>
      <c r="H40" s="466"/>
      <c r="I40" s="467"/>
      <c r="J40" s="467"/>
      <c r="K40" s="1671">
        <f t="shared" si="2"/>
        <v>42422</v>
      </c>
      <c r="L40" s="466">
        <v>42100</v>
      </c>
    </row>
    <row r="41" spans="1:14" x14ac:dyDescent="0.2">
      <c r="A41" s="1504" t="s">
        <v>1669</v>
      </c>
      <c r="B41" s="614">
        <v>2190</v>
      </c>
      <c r="C41" s="466"/>
      <c r="D41" s="466"/>
      <c r="E41" s="466"/>
      <c r="F41" s="466">
        <v>2519</v>
      </c>
      <c r="G41" s="466"/>
      <c r="H41" s="466"/>
      <c r="I41" s="467"/>
      <c r="J41" s="467"/>
      <c r="K41" s="1671">
        <f t="shared" si="2"/>
        <v>2519</v>
      </c>
      <c r="L41" s="466">
        <v>2900</v>
      </c>
    </row>
    <row r="42" spans="1:14" ht="12.75" customHeight="1" thickBot="1" x14ac:dyDescent="0.25">
      <c r="A42" s="1668" t="s">
        <v>560</v>
      </c>
      <c r="B42" s="1669" t="s">
        <v>716</v>
      </c>
      <c r="C42" s="1670">
        <f>SUM(C36:C41)</f>
        <v>81530</v>
      </c>
      <c r="D42" s="1670">
        <f t="shared" ref="D42:L42" si="3">SUM(D36:D41)</f>
        <v>12175</v>
      </c>
      <c r="E42" s="1670">
        <f t="shared" si="3"/>
        <v>530</v>
      </c>
      <c r="F42" s="1670">
        <f t="shared" si="3"/>
        <v>12655</v>
      </c>
      <c r="G42" s="1670">
        <f t="shared" si="3"/>
        <v>0</v>
      </c>
      <c r="H42" s="1670">
        <f t="shared" si="3"/>
        <v>1139</v>
      </c>
      <c r="I42" s="1670">
        <f t="shared" si="3"/>
        <v>0</v>
      </c>
      <c r="J42" s="1670">
        <f t="shared" si="3"/>
        <v>0</v>
      </c>
      <c r="K42" s="1670">
        <f t="shared" si="3"/>
        <v>108029</v>
      </c>
      <c r="L42" s="1670">
        <f t="shared" si="3"/>
        <v>106710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3800</v>
      </c>
      <c r="D44" s="481">
        <v>15</v>
      </c>
      <c r="E44" s="481">
        <v>15214</v>
      </c>
      <c r="F44" s="481">
        <v>399</v>
      </c>
      <c r="G44" s="481"/>
      <c r="H44" s="481"/>
      <c r="I44" s="467"/>
      <c r="J44" s="467"/>
      <c r="K44" s="1672">
        <f>SUM(C44:J44)</f>
        <v>19428</v>
      </c>
      <c r="L44" s="481">
        <v>6510</v>
      </c>
    </row>
    <row r="45" spans="1:14" x14ac:dyDescent="0.2">
      <c r="A45" s="1504" t="s">
        <v>815</v>
      </c>
      <c r="B45" s="614">
        <v>2220</v>
      </c>
      <c r="C45" s="466">
        <v>32546</v>
      </c>
      <c r="D45" s="466">
        <v>490</v>
      </c>
      <c r="E45" s="466">
        <v>19592</v>
      </c>
      <c r="F45" s="466">
        <v>23974</v>
      </c>
      <c r="G45" s="466">
        <v>17496</v>
      </c>
      <c r="H45" s="466">
        <v>53292</v>
      </c>
      <c r="I45" s="467" t="s">
        <v>1169</v>
      </c>
      <c r="J45" s="467"/>
      <c r="K45" s="1672">
        <f>SUM(C45:J45)</f>
        <v>147390</v>
      </c>
      <c r="L45" s="466">
        <v>107550</v>
      </c>
    </row>
    <row r="46" spans="1:14" x14ac:dyDescent="0.2">
      <c r="A46" s="1504" t="s">
        <v>816</v>
      </c>
      <c r="B46" s="614">
        <v>2230</v>
      </c>
      <c r="C46" s="466"/>
      <c r="D46" s="466"/>
      <c r="E46" s="466"/>
      <c r="F46" s="466">
        <v>899</v>
      </c>
      <c r="G46" s="466"/>
      <c r="H46" s="466"/>
      <c r="I46" s="467"/>
      <c r="J46" s="467"/>
      <c r="K46" s="1672">
        <f>SUM(C46:J46)</f>
        <v>899</v>
      </c>
      <c r="L46" s="466">
        <v>1850</v>
      </c>
    </row>
    <row r="47" spans="1:14" ht="12.75" customHeight="1" thickBot="1" x14ac:dyDescent="0.25">
      <c r="A47" s="1668" t="s">
        <v>561</v>
      </c>
      <c r="B47" s="1669" t="s">
        <v>32</v>
      </c>
      <c r="C47" s="1670">
        <f>SUM(C44:C46)</f>
        <v>36346</v>
      </c>
      <c r="D47" s="1670">
        <f t="shared" ref="D47:K47" si="4">SUM(D44:D46)</f>
        <v>505</v>
      </c>
      <c r="E47" s="1670">
        <f t="shared" si="4"/>
        <v>34806</v>
      </c>
      <c r="F47" s="1670">
        <f t="shared" si="4"/>
        <v>25272</v>
      </c>
      <c r="G47" s="1670">
        <f t="shared" si="4"/>
        <v>17496</v>
      </c>
      <c r="H47" s="1670">
        <f t="shared" si="4"/>
        <v>53292</v>
      </c>
      <c r="I47" s="1670">
        <f t="shared" si="4"/>
        <v>0</v>
      </c>
      <c r="J47" s="1670">
        <f t="shared" si="4"/>
        <v>0</v>
      </c>
      <c r="K47" s="1670">
        <f t="shared" si="4"/>
        <v>167717</v>
      </c>
      <c r="L47" s="1670">
        <f>SUM(L44:L46)</f>
        <v>115910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2955</v>
      </c>
      <c r="D49" s="481"/>
      <c r="E49" s="481">
        <v>11270</v>
      </c>
      <c r="F49" s="481">
        <v>2060</v>
      </c>
      <c r="G49" s="481"/>
      <c r="H49" s="481">
        <v>9123</v>
      </c>
      <c r="I49" s="467"/>
      <c r="J49" s="467"/>
      <c r="K49" s="1672">
        <f>SUM(C49:J49)</f>
        <v>25408</v>
      </c>
      <c r="L49" s="481">
        <v>28250</v>
      </c>
    </row>
    <row r="50" spans="1:14" x14ac:dyDescent="0.2">
      <c r="A50" s="1504" t="s">
        <v>818</v>
      </c>
      <c r="B50" s="614">
        <v>2320</v>
      </c>
      <c r="C50" s="466">
        <v>60824</v>
      </c>
      <c r="D50" s="466">
        <v>5520</v>
      </c>
      <c r="E50" s="466">
        <v>10030</v>
      </c>
      <c r="F50" s="466">
        <v>2151</v>
      </c>
      <c r="G50" s="466"/>
      <c r="H50" s="466">
        <v>583</v>
      </c>
      <c r="I50" s="467"/>
      <c r="J50" s="467"/>
      <c r="K50" s="1672">
        <f>SUM(C50:J50)</f>
        <v>79108</v>
      </c>
      <c r="L50" s="466">
        <v>69965</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63779</v>
      </c>
      <c r="D53" s="1670">
        <f t="shared" ref="D53:L53" si="5">SUM(D49:D52)</f>
        <v>5520</v>
      </c>
      <c r="E53" s="1670">
        <f t="shared" si="5"/>
        <v>21300</v>
      </c>
      <c r="F53" s="1670">
        <f t="shared" si="5"/>
        <v>4211</v>
      </c>
      <c r="G53" s="1670">
        <f t="shared" si="5"/>
        <v>0</v>
      </c>
      <c r="H53" s="1670">
        <f t="shared" si="5"/>
        <v>9706</v>
      </c>
      <c r="I53" s="1670">
        <f t="shared" si="5"/>
        <v>0</v>
      </c>
      <c r="J53" s="1670">
        <f t="shared" si="5"/>
        <v>0</v>
      </c>
      <c r="K53" s="1670">
        <f t="shared" si="5"/>
        <v>104516</v>
      </c>
      <c r="L53" s="1670">
        <f t="shared" si="5"/>
        <v>98215</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182573</v>
      </c>
      <c r="D55" s="481">
        <v>8372</v>
      </c>
      <c r="E55" s="481">
        <v>1325</v>
      </c>
      <c r="F55" s="481">
        <v>13539</v>
      </c>
      <c r="G55" s="481"/>
      <c r="H55" s="481">
        <v>960</v>
      </c>
      <c r="I55" s="467"/>
      <c r="J55" s="467"/>
      <c r="K55" s="1672">
        <f>SUM(C55:J55)</f>
        <v>206769</v>
      </c>
      <c r="L55" s="481">
        <v>211350</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182573</v>
      </c>
      <c r="D57" s="1674">
        <f t="shared" ref="D57:K57" si="6">SUM(D55:D56)</f>
        <v>8372</v>
      </c>
      <c r="E57" s="1674">
        <f t="shared" si="6"/>
        <v>1325</v>
      </c>
      <c r="F57" s="1674">
        <f t="shared" si="6"/>
        <v>13539</v>
      </c>
      <c r="G57" s="1674">
        <f t="shared" si="6"/>
        <v>0</v>
      </c>
      <c r="H57" s="1674">
        <f t="shared" si="6"/>
        <v>960</v>
      </c>
      <c r="I57" s="1674">
        <f t="shared" si="6"/>
        <v>0</v>
      </c>
      <c r="J57" s="1674">
        <f t="shared" si="6"/>
        <v>0</v>
      </c>
      <c r="K57" s="1674">
        <f t="shared" si="6"/>
        <v>206769</v>
      </c>
      <c r="L57" s="1670">
        <f>SUM(L55:L56)</f>
        <v>211350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40764</v>
      </c>
      <c r="D60" s="466"/>
      <c r="E60" s="466"/>
      <c r="F60" s="466">
        <v>146</v>
      </c>
      <c r="G60" s="466"/>
      <c r="H60" s="466">
        <v>1350</v>
      </c>
      <c r="I60" s="467"/>
      <c r="J60" s="467"/>
      <c r="K60" s="1672">
        <f t="shared" si="7"/>
        <v>42260</v>
      </c>
      <c r="L60" s="466">
        <v>40900</v>
      </c>
      <c r="M60" s="609"/>
      <c r="N60" s="609"/>
    </row>
    <row r="61" spans="1:14" s="343" customFormat="1" x14ac:dyDescent="0.2">
      <c r="A61" s="1504" t="s">
        <v>197</v>
      </c>
      <c r="B61" s="614">
        <v>2540</v>
      </c>
      <c r="C61" s="466">
        <v>115746</v>
      </c>
      <c r="D61" s="466">
        <v>14260</v>
      </c>
      <c r="E61" s="466">
        <v>18564</v>
      </c>
      <c r="F61" s="466">
        <v>22212</v>
      </c>
      <c r="G61" s="466">
        <v>3349</v>
      </c>
      <c r="H61" s="466"/>
      <c r="I61" s="467"/>
      <c r="J61" s="467"/>
      <c r="K61" s="1672">
        <f t="shared" si="7"/>
        <v>174131</v>
      </c>
      <c r="L61" s="466">
        <v>128300</v>
      </c>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55246</v>
      </c>
      <c r="D63" s="466">
        <v>8930</v>
      </c>
      <c r="E63" s="466">
        <v>6226</v>
      </c>
      <c r="F63" s="466">
        <v>97569</v>
      </c>
      <c r="G63" s="466">
        <v>2138</v>
      </c>
      <c r="H63" s="466"/>
      <c r="I63" s="467"/>
      <c r="J63" s="467"/>
      <c r="K63" s="1672">
        <f t="shared" si="7"/>
        <v>170109</v>
      </c>
      <c r="L63" s="466">
        <v>151075</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211756</v>
      </c>
      <c r="D65" s="1670">
        <f t="shared" ref="D65:L65" si="8">SUM(D59:D64)</f>
        <v>23190</v>
      </c>
      <c r="E65" s="1670">
        <f t="shared" si="8"/>
        <v>24790</v>
      </c>
      <c r="F65" s="1670">
        <f t="shared" si="8"/>
        <v>119927</v>
      </c>
      <c r="G65" s="1670">
        <f t="shared" si="8"/>
        <v>5487</v>
      </c>
      <c r="H65" s="1670">
        <f t="shared" si="8"/>
        <v>1350</v>
      </c>
      <c r="I65" s="1670">
        <f t="shared" si="8"/>
        <v>0</v>
      </c>
      <c r="J65" s="1670">
        <f t="shared" si="8"/>
        <v>0</v>
      </c>
      <c r="K65" s="1670">
        <f t="shared" si="8"/>
        <v>386500</v>
      </c>
      <c r="L65" s="1670">
        <f t="shared" si="8"/>
        <v>320275</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v>688</v>
      </c>
      <c r="D71" s="466">
        <v>10</v>
      </c>
      <c r="E71" s="466">
        <v>6630</v>
      </c>
      <c r="F71" s="466"/>
      <c r="G71" s="466"/>
      <c r="H71" s="466"/>
      <c r="I71" s="467"/>
      <c r="J71" s="467"/>
      <c r="K71" s="1672">
        <f>SUM(C71:J71)</f>
        <v>7328</v>
      </c>
      <c r="L71" s="466">
        <v>8000</v>
      </c>
      <c r="M71" s="609"/>
      <c r="N71" s="609"/>
    </row>
    <row r="72" spans="1:14" s="343" customFormat="1" ht="12.75" customHeight="1" thickBot="1" x14ac:dyDescent="0.25">
      <c r="A72" s="1668" t="s">
        <v>37</v>
      </c>
      <c r="B72" s="1675" t="s">
        <v>36</v>
      </c>
      <c r="C72" s="1670">
        <f>SUM(C67:C71)</f>
        <v>688</v>
      </c>
      <c r="D72" s="1670">
        <f t="shared" ref="D72:K72" si="9">SUM(D67:D71)</f>
        <v>10</v>
      </c>
      <c r="E72" s="1670">
        <f t="shared" si="9"/>
        <v>6630</v>
      </c>
      <c r="F72" s="1670">
        <f t="shared" si="9"/>
        <v>0</v>
      </c>
      <c r="G72" s="1670">
        <f t="shared" si="9"/>
        <v>0</v>
      </c>
      <c r="H72" s="1670">
        <f t="shared" si="9"/>
        <v>0</v>
      </c>
      <c r="I72" s="1670">
        <f t="shared" si="9"/>
        <v>0</v>
      </c>
      <c r="J72" s="1670">
        <f t="shared" si="9"/>
        <v>0</v>
      </c>
      <c r="K72" s="1670">
        <f t="shared" si="9"/>
        <v>7328</v>
      </c>
      <c r="L72" s="1670">
        <f>SUM(L67:L71)</f>
        <v>8000</v>
      </c>
      <c r="M72" s="609"/>
      <c r="N72" s="609"/>
    </row>
    <row r="73" spans="1:14" s="343" customFormat="1" ht="14.25" thickTop="1" thickBot="1" x14ac:dyDescent="0.25">
      <c r="A73" s="1510" t="s">
        <v>980</v>
      </c>
      <c r="B73" s="632" t="s">
        <v>574</v>
      </c>
      <c r="C73" s="573"/>
      <c r="D73" s="573"/>
      <c r="E73" s="573"/>
      <c r="F73" s="573">
        <v>22</v>
      </c>
      <c r="G73" s="573"/>
      <c r="H73" s="573"/>
      <c r="I73" s="531"/>
      <c r="J73" s="531"/>
      <c r="K73" s="1670">
        <f>SUM(C73:J73)</f>
        <v>22</v>
      </c>
      <c r="L73" s="576"/>
      <c r="M73" s="609"/>
      <c r="N73" s="609"/>
    </row>
    <row r="74" spans="1:14" ht="12.75" customHeight="1" thickTop="1" thickBot="1" x14ac:dyDescent="0.25">
      <c r="A74" s="1668" t="s">
        <v>811</v>
      </c>
      <c r="B74" s="1676">
        <v>2000</v>
      </c>
      <c r="C74" s="1677">
        <f>SUM(C42,C47,C53,C57,C65,C72,C73)</f>
        <v>576672</v>
      </c>
      <c r="D74" s="1677">
        <f t="shared" ref="D74:K74" si="10">SUM(D42,D47,D53,D57,D65,D72,D73)</f>
        <v>49772</v>
      </c>
      <c r="E74" s="1677">
        <f t="shared" si="10"/>
        <v>89381</v>
      </c>
      <c r="F74" s="1677">
        <f t="shared" si="10"/>
        <v>175626</v>
      </c>
      <c r="G74" s="1677">
        <f t="shared" si="10"/>
        <v>22983</v>
      </c>
      <c r="H74" s="1677">
        <f t="shared" si="10"/>
        <v>66447</v>
      </c>
      <c r="I74" s="1677">
        <f t="shared" si="10"/>
        <v>0</v>
      </c>
      <c r="J74" s="1677">
        <f t="shared" si="10"/>
        <v>0</v>
      </c>
      <c r="K74" s="1677">
        <f t="shared" si="10"/>
        <v>980881</v>
      </c>
      <c r="L74" s="1677">
        <f>SUM(L42,L47,L53,L57,L65,L72,L73)</f>
        <v>860460</v>
      </c>
    </row>
    <row r="75" spans="1:14" s="259" customFormat="1" ht="15.75" customHeight="1" thickTop="1" thickBot="1" x14ac:dyDescent="0.25">
      <c r="A75" s="1610" t="s">
        <v>47</v>
      </c>
      <c r="B75" s="1611" t="s">
        <v>575</v>
      </c>
      <c r="C75" s="573"/>
      <c r="D75" s="573"/>
      <c r="E75" s="573"/>
      <c r="F75" s="573">
        <v>4975</v>
      </c>
      <c r="G75" s="573"/>
      <c r="H75" s="573"/>
      <c r="I75" s="531"/>
      <c r="J75" s="531"/>
      <c r="K75" s="1670">
        <f>SUM(C75:J75)</f>
        <v>4975</v>
      </c>
      <c r="L75" s="576">
        <v>500</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c r="F79" s="616"/>
      <c r="G79" s="616"/>
      <c r="H79" s="466">
        <v>70258</v>
      </c>
      <c r="I79" s="477"/>
      <c r="J79" s="477"/>
      <c r="K79" s="1671">
        <f t="shared" si="11"/>
        <v>70258</v>
      </c>
      <c r="L79" s="466">
        <v>90000</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v>13844</v>
      </c>
      <c r="I81" s="477"/>
      <c r="J81" s="477"/>
      <c r="K81" s="1671">
        <f t="shared" si="11"/>
        <v>13844</v>
      </c>
      <c r="L81" s="466">
        <v>8000</v>
      </c>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0</v>
      </c>
      <c r="F84" s="616"/>
      <c r="G84" s="616"/>
      <c r="H84" s="1670">
        <f>SUM(H78:H83)</f>
        <v>84102</v>
      </c>
      <c r="I84" s="477"/>
      <c r="J84" s="477"/>
      <c r="K84" s="1670">
        <f>SUM(K78:K83)</f>
        <v>84102</v>
      </c>
      <c r="L84" s="1670">
        <f>SUM(L78:L83)</f>
        <v>98000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0</v>
      </c>
      <c r="F102" s="616"/>
      <c r="G102" s="616"/>
      <c r="H102" s="1677">
        <f>SUM(H84,H92,H100,H101)</f>
        <v>84102</v>
      </c>
      <c r="I102" s="477"/>
      <c r="J102" s="477"/>
      <c r="K102" s="1677">
        <f>SUM(K84,K92,K100,K101)</f>
        <v>84102</v>
      </c>
      <c r="L102" s="1677">
        <f>SUM(L84,L92,L100,L101)</f>
        <v>98000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v>1050</v>
      </c>
      <c r="M113" s="613"/>
      <c r="N113" s="613"/>
    </row>
    <row r="114" spans="1:14" ht="12.75" customHeight="1" thickTop="1" thickBot="1" x14ac:dyDescent="0.25">
      <c r="A114" s="1668" t="s">
        <v>48</v>
      </c>
      <c r="B114" s="1682"/>
      <c r="C114" s="1670">
        <f>SUM(C33,C74,C75,C102,C112,C113)</f>
        <v>1906639</v>
      </c>
      <c r="D114" s="1670">
        <f t="shared" ref="D114:K114" si="13">SUM(D33,D74,D75,D102,D112,D113)</f>
        <v>179002</v>
      </c>
      <c r="E114" s="1670">
        <f t="shared" si="13"/>
        <v>104555</v>
      </c>
      <c r="F114" s="1670">
        <f t="shared" si="13"/>
        <v>279460</v>
      </c>
      <c r="G114" s="1670">
        <f t="shared" si="13"/>
        <v>34621</v>
      </c>
      <c r="H114" s="1670">
        <f>SUM(H33,H74,H75,H102,H112,H113)</f>
        <v>155322</v>
      </c>
      <c r="I114" s="1670">
        <f t="shared" si="13"/>
        <v>0</v>
      </c>
      <c r="J114" s="1670">
        <f t="shared" si="13"/>
        <v>0</v>
      </c>
      <c r="K114" s="1670">
        <f t="shared" si="13"/>
        <v>2659599</v>
      </c>
      <c r="L114" s="1670">
        <f>SUM(L33,L74,L75,L102,L112,L113)</f>
        <v>2370735</v>
      </c>
    </row>
    <row r="115" spans="1:14" ht="13.5" thickTop="1" x14ac:dyDescent="0.2">
      <c r="A115" s="2163" t="s">
        <v>996</v>
      </c>
      <c r="B115" s="2164"/>
      <c r="C115" s="618"/>
      <c r="D115" s="618"/>
      <c r="E115" s="618"/>
      <c r="F115" s="618"/>
      <c r="G115" s="618"/>
      <c r="H115" s="618"/>
      <c r="I115" s="618"/>
      <c r="J115" s="618"/>
      <c r="K115" s="1684">
        <f>'Revenues 9-14'!C268-'Expenditures 15-22'!K114</f>
        <v>-11497</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8" t="s">
        <v>296</v>
      </c>
      <c r="B117" s="2169"/>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2057</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v>2350</v>
      </c>
      <c r="F123" s="466"/>
      <c r="G123" s="466">
        <v>7990</v>
      </c>
      <c r="H123" s="466"/>
      <c r="I123" s="467"/>
      <c r="J123" s="467"/>
      <c r="K123" s="1670">
        <f>SUM(C123:J123)</f>
        <v>10340</v>
      </c>
      <c r="L123" s="466">
        <v>800</v>
      </c>
    </row>
    <row r="124" spans="1:14" ht="14.25" thickTop="1" thickBot="1" x14ac:dyDescent="0.25">
      <c r="A124" s="1504" t="s">
        <v>197</v>
      </c>
      <c r="B124" s="614">
        <v>2540</v>
      </c>
      <c r="C124" s="466"/>
      <c r="D124" s="466"/>
      <c r="E124" s="466">
        <v>96495</v>
      </c>
      <c r="F124" s="466">
        <v>99304</v>
      </c>
      <c r="G124" s="466">
        <v>57454</v>
      </c>
      <c r="H124" s="466">
        <v>96</v>
      </c>
      <c r="I124" s="467"/>
      <c r="J124" s="467"/>
      <c r="K124" s="1670">
        <f>SUM(C124:J124)</f>
        <v>253349</v>
      </c>
      <c r="L124" s="466">
        <v>113500</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0</v>
      </c>
      <c r="D127" s="1670">
        <f t="shared" ref="D127:L127" si="14">SUM(D122:D126)</f>
        <v>0</v>
      </c>
      <c r="E127" s="1670">
        <f t="shared" si="14"/>
        <v>98845</v>
      </c>
      <c r="F127" s="1670">
        <f t="shared" si="14"/>
        <v>99304</v>
      </c>
      <c r="G127" s="1670">
        <f t="shared" si="14"/>
        <v>65444</v>
      </c>
      <c r="H127" s="1670">
        <f t="shared" si="14"/>
        <v>96</v>
      </c>
      <c r="I127" s="1670">
        <f t="shared" si="14"/>
        <v>0</v>
      </c>
      <c r="J127" s="1670">
        <f t="shared" si="14"/>
        <v>0</v>
      </c>
      <c r="K127" s="1670">
        <f t="shared" si="14"/>
        <v>263689</v>
      </c>
      <c r="L127" s="1670">
        <f t="shared" si="14"/>
        <v>114300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0</v>
      </c>
      <c r="D129" s="1677">
        <f t="shared" ref="D129:L129" si="15">SUM(D120,D127,D128)</f>
        <v>0</v>
      </c>
      <c r="E129" s="1677">
        <f t="shared" si="15"/>
        <v>98845</v>
      </c>
      <c r="F129" s="1677">
        <f t="shared" si="15"/>
        <v>99304</v>
      </c>
      <c r="G129" s="1677">
        <f t="shared" si="15"/>
        <v>65444</v>
      </c>
      <c r="H129" s="1677">
        <f t="shared" si="15"/>
        <v>96</v>
      </c>
      <c r="I129" s="1677">
        <f t="shared" si="15"/>
        <v>0</v>
      </c>
      <c r="J129" s="1677">
        <f t="shared" si="15"/>
        <v>0</v>
      </c>
      <c r="K129" s="1677">
        <f t="shared" si="15"/>
        <v>263689</v>
      </c>
      <c r="L129" s="1677">
        <f t="shared" si="15"/>
        <v>114300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1843</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v>363</v>
      </c>
      <c r="I148" s="468"/>
      <c r="J148" s="616"/>
      <c r="K148" s="1672">
        <f>SUM(H148)</f>
        <v>363</v>
      </c>
      <c r="L148" s="492"/>
    </row>
    <row r="149" spans="1:14" ht="12.75" customHeight="1" thickBot="1" x14ac:dyDescent="0.25">
      <c r="A149" s="1507" t="s">
        <v>638</v>
      </c>
      <c r="B149" s="617" t="s">
        <v>492</v>
      </c>
      <c r="C149" s="616"/>
      <c r="D149" s="616"/>
      <c r="E149" s="616"/>
      <c r="F149" s="616"/>
      <c r="G149" s="616"/>
      <c r="H149" s="1670">
        <f>SUM(H147,H148)</f>
        <v>363</v>
      </c>
      <c r="I149" s="468"/>
      <c r="J149" s="616"/>
      <c r="K149" s="1670">
        <f>SUM(K147:K148)</f>
        <v>363</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80" t="s">
        <v>620</v>
      </c>
      <c r="B151" s="2160"/>
      <c r="C151" s="1670">
        <f>SUM(C129,C130,C139,C149,C150)</f>
        <v>0</v>
      </c>
      <c r="D151" s="1670">
        <f t="shared" ref="D151:K151" si="16">SUM(D129,D130,D139,D149,D150)</f>
        <v>0</v>
      </c>
      <c r="E151" s="1670">
        <f t="shared" si="16"/>
        <v>98845</v>
      </c>
      <c r="F151" s="1670">
        <f t="shared" si="16"/>
        <v>99304</v>
      </c>
      <c r="G151" s="1670">
        <f t="shared" si="16"/>
        <v>65444</v>
      </c>
      <c r="H151" s="1670">
        <f t="shared" si="16"/>
        <v>459</v>
      </c>
      <c r="I151" s="1670">
        <f t="shared" si="16"/>
        <v>0</v>
      </c>
      <c r="J151" s="1670">
        <f t="shared" si="16"/>
        <v>0</v>
      </c>
      <c r="K151" s="1670">
        <f t="shared" si="16"/>
        <v>264052</v>
      </c>
      <c r="L151" s="1670">
        <f>SUM(L129,L130,L139,L149,L150)</f>
        <v>114300</v>
      </c>
    </row>
    <row r="152" spans="1:14" ht="12.75" customHeight="1" thickTop="1" x14ac:dyDescent="0.2">
      <c r="A152" s="2183" t="s">
        <v>1178</v>
      </c>
      <c r="B152" s="2184"/>
      <c r="C152" s="618"/>
      <c r="D152" s="618"/>
      <c r="E152" s="618"/>
      <c r="F152" s="618"/>
      <c r="G152" s="618"/>
      <c r="H152" s="618"/>
      <c r="I152" s="618"/>
      <c r="J152" s="616"/>
      <c r="K152" s="1684">
        <f>'Revenues 9-14'!D268-'Expenditures 15-22'!K151</f>
        <v>-90778</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8" t="s">
        <v>621</v>
      </c>
      <c r="B154" s="2170"/>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1844</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1843</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1845</v>
      </c>
      <c r="C158" s="616"/>
      <c r="D158" s="616"/>
      <c r="E158" s="616"/>
      <c r="F158" s="616"/>
      <c r="G158" s="616"/>
      <c r="H158" s="467"/>
      <c r="I158" s="616"/>
      <c r="J158" s="616"/>
      <c r="K158" s="1671">
        <f>H158</f>
        <v>0</v>
      </c>
      <c r="L158" s="467"/>
      <c r="M158" s="619"/>
      <c r="N158" s="619"/>
    </row>
    <row r="159" spans="1:14" s="620" customFormat="1" ht="12" x14ac:dyDescent="0.2">
      <c r="A159" s="1826" t="s">
        <v>1846</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1847</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35726</v>
      </c>
      <c r="I169" s="616"/>
      <c r="J169" s="616"/>
      <c r="K169" s="1671">
        <f>SUM(C169:H169)</f>
        <v>35726</v>
      </c>
      <c r="L169" s="656">
        <v>41000</v>
      </c>
    </row>
    <row r="170" spans="1:14" ht="33.75" customHeight="1" x14ac:dyDescent="0.2">
      <c r="A170" s="669" t="s">
        <v>1670</v>
      </c>
      <c r="B170" s="671" t="s">
        <v>31</v>
      </c>
      <c r="C170" s="616"/>
      <c r="D170" s="616"/>
      <c r="E170" s="616"/>
      <c r="F170" s="616"/>
      <c r="G170" s="616"/>
      <c r="H170" s="569">
        <v>212611</v>
      </c>
      <c r="I170" s="616"/>
      <c r="J170" s="616"/>
      <c r="K170" s="1671">
        <f>SUM(C170:J170)</f>
        <v>212611</v>
      </c>
      <c r="L170" s="569">
        <v>195000</v>
      </c>
    </row>
    <row r="171" spans="1:14" ht="15.75" customHeight="1" x14ac:dyDescent="0.2">
      <c r="A171" s="621" t="s">
        <v>766</v>
      </c>
      <c r="B171" s="672" t="s">
        <v>84</v>
      </c>
      <c r="C171" s="616"/>
      <c r="D171" s="616"/>
      <c r="E171" s="466"/>
      <c r="F171" s="616"/>
      <c r="G171" s="616"/>
      <c r="H171" s="569"/>
      <c r="I171" s="477"/>
      <c r="J171" s="616"/>
      <c r="K171" s="1671">
        <f>SUM(C171:J171)</f>
        <v>0</v>
      </c>
      <c r="L171" s="569">
        <v>500</v>
      </c>
    </row>
    <row r="172" spans="1:14" ht="12.75" customHeight="1" thickBot="1" x14ac:dyDescent="0.25">
      <c r="A172" s="1668" t="s">
        <v>638</v>
      </c>
      <c r="B172" s="1669" t="s">
        <v>492</v>
      </c>
      <c r="C172" s="616"/>
      <c r="D172" s="616"/>
      <c r="E172" s="1677">
        <f>SUM(E168,E169,E170,E171)</f>
        <v>0</v>
      </c>
      <c r="F172" s="616"/>
      <c r="G172" s="616"/>
      <c r="H172" s="1677">
        <f>SUM(H168,H169,H170,H171)</f>
        <v>248337</v>
      </c>
      <c r="I172" s="638"/>
      <c r="J172" s="616"/>
      <c r="K172" s="1677">
        <f>SUM(K168,K169,K170,K171)</f>
        <v>248337</v>
      </c>
      <c r="L172" s="1677">
        <f>SUM(L168,L169,L170,L171)</f>
        <v>236500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248337</v>
      </c>
      <c r="I174" s="638"/>
      <c r="J174" s="616"/>
      <c r="K174" s="1677">
        <f>SUM(K160,K172,K173)</f>
        <v>248337</v>
      </c>
      <c r="L174" s="1677">
        <f>SUM(L160,L172,L173)</f>
        <v>236500</v>
      </c>
    </row>
    <row r="175" spans="1:14" ht="13.5" thickTop="1" x14ac:dyDescent="0.2">
      <c r="A175" s="2163" t="s">
        <v>996</v>
      </c>
      <c r="B175" s="2164"/>
      <c r="C175" s="616"/>
      <c r="D175" s="616"/>
      <c r="E175" s="616"/>
      <c r="F175" s="616"/>
      <c r="G175" s="616"/>
      <c r="H175" s="618"/>
      <c r="I175" s="616"/>
      <c r="J175" s="616"/>
      <c r="K175" s="1684">
        <f>'Revenues 9-14'!E268-'Expenditures 15-22'!K174</f>
        <v>-9839</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2057</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73117</v>
      </c>
      <c r="D182" s="466">
        <v>1006</v>
      </c>
      <c r="E182" s="466">
        <v>30986</v>
      </c>
      <c r="F182" s="466">
        <v>27627</v>
      </c>
      <c r="G182" s="466">
        <v>90672</v>
      </c>
      <c r="H182" s="466">
        <v>5</v>
      </c>
      <c r="I182" s="467"/>
      <c r="J182" s="467"/>
      <c r="K182" s="1671">
        <f>SUM(C182:J182)</f>
        <v>223413</v>
      </c>
      <c r="L182" s="466">
        <v>154870</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73117</v>
      </c>
      <c r="D184" s="1677">
        <f t="shared" ref="D184:J184" si="17">SUM(D180,D182,D183)</f>
        <v>1006</v>
      </c>
      <c r="E184" s="1677">
        <f t="shared" si="17"/>
        <v>30986</v>
      </c>
      <c r="F184" s="1677">
        <f t="shared" si="17"/>
        <v>27627</v>
      </c>
      <c r="G184" s="1677">
        <f t="shared" si="17"/>
        <v>90672</v>
      </c>
      <c r="H184" s="1677">
        <f t="shared" si="17"/>
        <v>5</v>
      </c>
      <c r="I184" s="1677">
        <f t="shared" si="17"/>
        <v>0</v>
      </c>
      <c r="J184" s="1677">
        <f t="shared" si="17"/>
        <v>0</v>
      </c>
      <c r="K184" s="1677">
        <f>SUM(K180,K182,K183)</f>
        <v>223413</v>
      </c>
      <c r="L184" s="1677">
        <f>SUM(L180, L182:L183)</f>
        <v>154870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v>25812</v>
      </c>
      <c r="I206" s="616"/>
      <c r="J206" s="616"/>
      <c r="K206" s="1671">
        <f>SUM(H206)</f>
        <v>25812</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25812</v>
      </c>
      <c r="I208" s="616"/>
      <c r="J208" s="616"/>
      <c r="K208" s="1677">
        <f>SUM(K204,K205,K206,K207)</f>
        <v>25812</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73117</v>
      </c>
      <c r="D210" s="1670">
        <f>SUM(D184,D185)</f>
        <v>1006</v>
      </c>
      <c r="E210" s="1670">
        <f>SUM(E184,E185,E196)</f>
        <v>30986</v>
      </c>
      <c r="F210" s="1670">
        <f>SUM(F184,F185)</f>
        <v>27627</v>
      </c>
      <c r="G210" s="1670">
        <f>SUM(G184,G185)</f>
        <v>90672</v>
      </c>
      <c r="H210" s="1670">
        <f>SUM(H184,H185,H196,H208,H209)</f>
        <v>25817</v>
      </c>
      <c r="I210" s="1670">
        <f>SUM(I184,I185)</f>
        <v>0</v>
      </c>
      <c r="J210" s="1670">
        <f>SUM(J184,J185)</f>
        <v>0</v>
      </c>
      <c r="K210" s="1671">
        <f>SUM(K184,K185,K196,K208,K209)</f>
        <v>249225</v>
      </c>
      <c r="L210" s="1670">
        <f>SUM(L184,L185,L196,L208,L209)</f>
        <v>154870</v>
      </c>
    </row>
    <row r="211" spans="1:14" ht="13.5" thickTop="1" x14ac:dyDescent="0.2">
      <c r="A211" s="2163" t="s">
        <v>996</v>
      </c>
      <c r="B211" s="2164"/>
      <c r="C211" s="618"/>
      <c r="D211" s="618"/>
      <c r="E211" s="618"/>
      <c r="F211" s="618"/>
      <c r="G211" s="618"/>
      <c r="H211" s="618"/>
      <c r="I211" s="616"/>
      <c r="J211" s="616"/>
      <c r="K211" s="1684">
        <f>'Revenues 9-14'!F268-'Expenditures 15-22'!K210</f>
        <v>-106813</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5" t="s">
        <v>965</v>
      </c>
      <c r="B213" s="2186"/>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17399</v>
      </c>
      <c r="E215" s="616"/>
      <c r="F215" s="616"/>
      <c r="G215" s="616"/>
      <c r="H215" s="616"/>
      <c r="I215" s="616"/>
      <c r="J215" s="616"/>
      <c r="K215" s="1671">
        <f>D215</f>
        <v>17399</v>
      </c>
      <c r="L215" s="466">
        <v>21450</v>
      </c>
    </row>
    <row r="216" spans="1:14" x14ac:dyDescent="0.2">
      <c r="A216" s="1504" t="s">
        <v>163</v>
      </c>
      <c r="B216" s="614" t="s">
        <v>967</v>
      </c>
      <c r="C216" s="616"/>
      <c r="D216" s="467">
        <v>2954</v>
      </c>
      <c r="E216" s="616"/>
      <c r="F216" s="616"/>
      <c r="G216" s="616"/>
      <c r="H216" s="616"/>
      <c r="I216" s="616"/>
      <c r="J216" s="616"/>
      <c r="K216" s="1671">
        <f t="shared" ref="K216:K228" si="19">D216</f>
        <v>2954</v>
      </c>
      <c r="L216" s="466">
        <v>3630</v>
      </c>
    </row>
    <row r="217" spans="1:14" x14ac:dyDescent="0.2">
      <c r="A217" s="1504" t="s">
        <v>164</v>
      </c>
      <c r="B217" s="614">
        <v>1200</v>
      </c>
      <c r="C217" s="616"/>
      <c r="D217" s="466">
        <v>16883</v>
      </c>
      <c r="E217" s="616"/>
      <c r="F217" s="616"/>
      <c r="G217" s="616"/>
      <c r="H217" s="616"/>
      <c r="I217" s="616"/>
      <c r="J217" s="616"/>
      <c r="K217" s="1671">
        <f t="shared" si="19"/>
        <v>16883</v>
      </c>
      <c r="L217" s="466">
        <v>15150</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v>1047</v>
      </c>
      <c r="E219" s="616"/>
      <c r="F219" s="616"/>
      <c r="G219" s="616"/>
      <c r="H219" s="616"/>
      <c r="I219" s="616"/>
      <c r="J219" s="616"/>
      <c r="K219" s="1671">
        <f t="shared" si="19"/>
        <v>1047</v>
      </c>
      <c r="L219" s="466">
        <v>1300</v>
      </c>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v>1285</v>
      </c>
      <c r="E222" s="616"/>
      <c r="F222" s="616"/>
      <c r="G222" s="616"/>
      <c r="H222" s="616"/>
      <c r="I222" s="616"/>
      <c r="J222" s="616"/>
      <c r="K222" s="1671">
        <f t="shared" si="19"/>
        <v>1285</v>
      </c>
      <c r="L222" s="466">
        <v>3550</v>
      </c>
    </row>
    <row r="223" spans="1:14" x14ac:dyDescent="0.2">
      <c r="A223" s="1504" t="s">
        <v>963</v>
      </c>
      <c r="B223" s="614">
        <v>1500</v>
      </c>
      <c r="C223" s="616"/>
      <c r="D223" s="466">
        <v>1212</v>
      </c>
      <c r="E223" s="616"/>
      <c r="F223" s="616"/>
      <c r="G223" s="616"/>
      <c r="H223" s="616"/>
      <c r="I223" s="616"/>
      <c r="J223" s="616"/>
      <c r="K223" s="1671">
        <f t="shared" si="19"/>
        <v>1212</v>
      </c>
      <c r="L223" s="466">
        <v>1175</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v>190</v>
      </c>
      <c r="E226" s="616"/>
      <c r="F226" s="616"/>
      <c r="G226" s="616"/>
      <c r="H226" s="616"/>
      <c r="I226" s="616"/>
      <c r="J226" s="616"/>
      <c r="K226" s="1671">
        <f t="shared" si="19"/>
        <v>190</v>
      </c>
      <c r="L226" s="466">
        <v>200</v>
      </c>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40970</v>
      </c>
      <c r="E229" s="616"/>
      <c r="F229" s="616"/>
      <c r="G229" s="616"/>
      <c r="H229" s="616"/>
      <c r="I229" s="616"/>
      <c r="J229" s="616"/>
      <c r="K229" s="1670">
        <f>SUM(K215:K228)</f>
        <v>40970</v>
      </c>
      <c r="L229" s="1670">
        <f>SUM(L215:L228)</f>
        <v>46455</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v>548</v>
      </c>
      <c r="E233" s="616"/>
      <c r="F233" s="616"/>
      <c r="G233" s="616"/>
      <c r="H233" s="616"/>
      <c r="I233" s="616"/>
      <c r="J233" s="616"/>
      <c r="K233" s="1671">
        <f t="shared" si="20"/>
        <v>548</v>
      </c>
      <c r="L233" s="466">
        <v>550</v>
      </c>
    </row>
    <row r="234" spans="1:12" x14ac:dyDescent="0.2">
      <c r="A234" s="1504" t="s">
        <v>198</v>
      </c>
      <c r="B234" s="614">
        <v>2130</v>
      </c>
      <c r="C234" s="616"/>
      <c r="D234" s="466">
        <v>3262</v>
      </c>
      <c r="E234" s="616"/>
      <c r="F234" s="616"/>
      <c r="G234" s="616"/>
      <c r="H234" s="616"/>
      <c r="I234" s="616"/>
      <c r="J234" s="616"/>
      <c r="K234" s="1671">
        <f t="shared" si="20"/>
        <v>3262</v>
      </c>
      <c r="L234" s="466">
        <v>5100</v>
      </c>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v>461</v>
      </c>
      <c r="E236" s="616"/>
      <c r="F236" s="616"/>
      <c r="G236" s="616"/>
      <c r="H236" s="616"/>
      <c r="I236" s="616"/>
      <c r="J236" s="616"/>
      <c r="K236" s="1671">
        <f t="shared" si="20"/>
        <v>461</v>
      </c>
      <c r="L236" s="466">
        <v>500</v>
      </c>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4271</v>
      </c>
      <c r="E238" s="616"/>
      <c r="F238" s="616"/>
      <c r="G238" s="616"/>
      <c r="H238" s="616"/>
      <c r="I238" s="616"/>
      <c r="J238" s="616"/>
      <c r="K238" s="1670">
        <f>SUM(K232:K237)</f>
        <v>4271</v>
      </c>
      <c r="L238" s="1670">
        <f>SUM(L232:L237)</f>
        <v>6150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52</v>
      </c>
      <c r="E240" s="616"/>
      <c r="F240" s="616"/>
      <c r="G240" s="616"/>
      <c r="H240" s="616"/>
      <c r="I240" s="616"/>
      <c r="J240" s="616"/>
      <c r="K240" s="1672">
        <f>D240</f>
        <v>52</v>
      </c>
      <c r="L240" s="481">
        <v>50</v>
      </c>
    </row>
    <row r="241" spans="1:12" x14ac:dyDescent="0.2">
      <c r="A241" s="1504" t="s">
        <v>815</v>
      </c>
      <c r="B241" s="614">
        <v>2220</v>
      </c>
      <c r="C241" s="616"/>
      <c r="D241" s="466">
        <v>454</v>
      </c>
      <c r="E241" s="616"/>
      <c r="F241" s="616"/>
      <c r="G241" s="616"/>
      <c r="H241" s="616"/>
      <c r="I241" s="616"/>
      <c r="J241" s="616"/>
      <c r="K241" s="1672">
        <f>D241</f>
        <v>454</v>
      </c>
      <c r="L241" s="466">
        <v>500</v>
      </c>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506</v>
      </c>
      <c r="E243" s="616"/>
      <c r="F243" s="616"/>
      <c r="G243" s="616"/>
      <c r="H243" s="616"/>
      <c r="I243" s="616"/>
      <c r="J243" s="616"/>
      <c r="K243" s="1670">
        <f>SUM(K240:K242)</f>
        <v>506</v>
      </c>
      <c r="L243" s="1670">
        <f>SUM(L240:L242)</f>
        <v>550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442</v>
      </c>
      <c r="E245" s="616"/>
      <c r="F245" s="616"/>
      <c r="G245" s="616"/>
      <c r="H245" s="616"/>
      <c r="I245" s="616"/>
      <c r="J245" s="616"/>
      <c r="K245" s="1672">
        <f>D245</f>
        <v>442</v>
      </c>
      <c r="L245" s="481"/>
    </row>
    <row r="246" spans="1:12" x14ac:dyDescent="0.2">
      <c r="A246" s="1504" t="s">
        <v>818</v>
      </c>
      <c r="B246" s="614">
        <v>2320</v>
      </c>
      <c r="C246" s="616"/>
      <c r="D246" s="466">
        <v>3038</v>
      </c>
      <c r="E246" s="616"/>
      <c r="F246" s="616"/>
      <c r="G246" s="616"/>
      <c r="H246" s="616"/>
      <c r="I246" s="616"/>
      <c r="J246" s="616"/>
      <c r="K246" s="1672">
        <f t="shared" ref="K246:K256" si="21">D246</f>
        <v>3038</v>
      </c>
      <c r="L246" s="466">
        <v>11400</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1804</v>
      </c>
      <c r="B249" s="683" t="s">
        <v>282</v>
      </c>
      <c r="C249" s="616"/>
      <c r="D249" s="474"/>
      <c r="E249" s="616"/>
      <c r="F249" s="616"/>
      <c r="G249" s="616"/>
      <c r="H249" s="616"/>
      <c r="I249" s="616"/>
      <c r="J249" s="616"/>
      <c r="K249" s="1672">
        <f t="shared" si="21"/>
        <v>0</v>
      </c>
      <c r="L249" s="466"/>
    </row>
    <row r="250" spans="1:12" x14ac:dyDescent="0.2">
      <c r="A250" s="1505" t="s">
        <v>1805</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v>321</v>
      </c>
      <c r="E252" s="616"/>
      <c r="F252" s="616"/>
      <c r="G252" s="616"/>
      <c r="H252" s="616"/>
      <c r="I252" s="616"/>
      <c r="J252" s="616"/>
      <c r="K252" s="1672">
        <f t="shared" si="21"/>
        <v>321</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3801</v>
      </c>
      <c r="E257" s="616"/>
      <c r="F257" s="616"/>
      <c r="G257" s="616"/>
      <c r="H257" s="616"/>
      <c r="I257" s="616"/>
      <c r="J257" s="616"/>
      <c r="K257" s="1670">
        <f>SUM(K245:K256)</f>
        <v>3801</v>
      </c>
      <c r="L257" s="1670">
        <f>SUM(L245:L256)</f>
        <v>11400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11498</v>
      </c>
      <c r="E259" s="616"/>
      <c r="F259" s="616"/>
      <c r="G259" s="616"/>
      <c r="H259" s="616"/>
      <c r="I259" s="616"/>
      <c r="J259" s="616"/>
      <c r="K259" s="1672">
        <f>D259</f>
        <v>11498</v>
      </c>
      <c r="L259" s="481">
        <v>13500</v>
      </c>
    </row>
    <row r="260" spans="1:14" s="597" customFormat="1" x14ac:dyDescent="0.2">
      <c r="A260" s="1522" t="s">
        <v>1803</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11498</v>
      </c>
      <c r="E261" s="616"/>
      <c r="F261" s="616"/>
      <c r="G261" s="616"/>
      <c r="H261" s="616"/>
      <c r="I261" s="616"/>
      <c r="J261" s="616"/>
      <c r="K261" s="1670">
        <f>SUM(K259:K260)</f>
        <v>11498</v>
      </c>
      <c r="L261" s="1670">
        <f>SUM(L259:L260)</f>
        <v>13500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v>6091</v>
      </c>
      <c r="E264" s="616"/>
      <c r="F264" s="616"/>
      <c r="G264" s="616"/>
      <c r="H264" s="616"/>
      <c r="I264" s="616"/>
      <c r="J264" s="616"/>
      <c r="K264" s="1672">
        <f t="shared" ref="K264:K269" si="22">D264</f>
        <v>6091</v>
      </c>
      <c r="L264" s="466"/>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21188</v>
      </c>
      <c r="E266" s="616"/>
      <c r="F266" s="616"/>
      <c r="G266" s="616"/>
      <c r="H266" s="616"/>
      <c r="I266" s="616"/>
      <c r="J266" s="616"/>
      <c r="K266" s="1672">
        <f t="shared" si="22"/>
        <v>21188</v>
      </c>
      <c r="L266" s="466">
        <v>24800</v>
      </c>
    </row>
    <row r="267" spans="1:14" x14ac:dyDescent="0.2">
      <c r="A267" s="1504" t="s">
        <v>953</v>
      </c>
      <c r="B267" s="614">
        <v>2550</v>
      </c>
      <c r="C267" s="616"/>
      <c r="D267" s="466">
        <v>7801</v>
      </c>
      <c r="E267" s="616"/>
      <c r="F267" s="616"/>
      <c r="G267" s="616"/>
      <c r="H267" s="616"/>
      <c r="I267" s="616"/>
      <c r="J267" s="616"/>
      <c r="K267" s="1672">
        <f t="shared" si="22"/>
        <v>7801</v>
      </c>
      <c r="L267" s="466">
        <v>12500</v>
      </c>
    </row>
    <row r="268" spans="1:14" x14ac:dyDescent="0.2">
      <c r="A268" s="1504" t="s">
        <v>100</v>
      </c>
      <c r="B268" s="614">
        <v>2560</v>
      </c>
      <c r="C268" s="616"/>
      <c r="D268" s="466">
        <v>8814</v>
      </c>
      <c r="E268" s="616"/>
      <c r="F268" s="616"/>
      <c r="G268" s="616"/>
      <c r="H268" s="616"/>
      <c r="I268" s="616"/>
      <c r="J268" s="616"/>
      <c r="K268" s="1672">
        <f t="shared" si="22"/>
        <v>8814</v>
      </c>
      <c r="L268" s="466">
        <v>10300</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43894</v>
      </c>
      <c r="E270" s="616"/>
      <c r="F270" s="616"/>
      <c r="G270" s="616"/>
      <c r="H270" s="616"/>
      <c r="I270" s="616"/>
      <c r="J270" s="616"/>
      <c r="K270" s="1670">
        <f>SUM(K263:K269)</f>
        <v>43894</v>
      </c>
      <c r="L270" s="1670">
        <f>SUM(L263:L269)</f>
        <v>47600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v>9</v>
      </c>
      <c r="E276" s="616"/>
      <c r="F276" s="616"/>
      <c r="G276" s="616"/>
      <c r="H276" s="616"/>
      <c r="I276" s="616"/>
      <c r="J276" s="616"/>
      <c r="K276" s="1672">
        <f>D276</f>
        <v>9</v>
      </c>
      <c r="L276" s="466"/>
    </row>
    <row r="277" spans="1:12" ht="12.75" customHeight="1" thickBot="1" x14ac:dyDescent="0.25">
      <c r="A277" s="1691" t="s">
        <v>37</v>
      </c>
      <c r="B277" s="1669" t="s">
        <v>36</v>
      </c>
      <c r="C277" s="616"/>
      <c r="D277" s="1670">
        <f>SUM(D272:D276)</f>
        <v>9</v>
      </c>
      <c r="E277" s="616"/>
      <c r="F277" s="616"/>
      <c r="G277" s="616"/>
      <c r="H277" s="616"/>
      <c r="I277" s="616"/>
      <c r="J277" s="616"/>
      <c r="K277" s="1670">
        <f>SUM(K272:K276)</f>
        <v>9</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63979</v>
      </c>
      <c r="E279" s="616"/>
      <c r="F279" s="616"/>
      <c r="G279" s="616"/>
      <c r="H279" s="616"/>
      <c r="I279" s="616"/>
      <c r="J279" s="616"/>
      <c r="K279" s="1677">
        <f>SUM(K238,K243,K257,K261,K270,K277,K278)</f>
        <v>63979</v>
      </c>
      <c r="L279" s="1677">
        <f>SUM(L238,L243,L257,L261,L270,L277,L278)</f>
        <v>79200</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1843</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81" t="s">
        <v>505</v>
      </c>
      <c r="B295" s="2182"/>
      <c r="C295" s="616"/>
      <c r="D295" s="1670">
        <f>SUM(D229,D279,D280,D285)</f>
        <v>104949</v>
      </c>
      <c r="E295" s="616"/>
      <c r="F295" s="616"/>
      <c r="G295" s="616"/>
      <c r="H295" s="1670">
        <f>H293</f>
        <v>0</v>
      </c>
      <c r="I295" s="616"/>
      <c r="J295" s="616"/>
      <c r="K295" s="1670">
        <f>SUM(K229,K279,K280,K285,K293,K294)</f>
        <v>104949</v>
      </c>
      <c r="L295" s="1670">
        <f>SUM(L229,L279,L280,L285,L293,L294)</f>
        <v>125655</v>
      </c>
    </row>
    <row r="296" spans="1:14" ht="13.5" thickTop="1" x14ac:dyDescent="0.2">
      <c r="A296" s="2163" t="s">
        <v>996</v>
      </c>
      <c r="B296" s="2164"/>
      <c r="C296" s="616"/>
      <c r="D296" s="618"/>
      <c r="E296" s="616"/>
      <c r="F296" s="616"/>
      <c r="G296" s="616"/>
      <c r="H296" s="687"/>
      <c r="I296" s="616"/>
      <c r="J296" s="616"/>
      <c r="K296" s="1684">
        <f>'Revenues 9-14'!G268-'Expenditures 15-22'!K295</f>
        <v>91155</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3" t="s">
        <v>143</v>
      </c>
      <c r="B298" s="2167"/>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1848</v>
      </c>
      <c r="B306" s="690" t="s">
        <v>1843</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8" t="s">
        <v>277</v>
      </c>
      <c r="B312" s="2179"/>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74" t="s">
        <v>996</v>
      </c>
      <c r="B313" s="2175"/>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7" t="s">
        <v>149</v>
      </c>
      <c r="B315" s="2188"/>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9" t="s">
        <v>898</v>
      </c>
      <c r="B317" s="2188"/>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1804</v>
      </c>
      <c r="B320" s="698" t="s">
        <v>282</v>
      </c>
      <c r="C320" s="467"/>
      <c r="D320" s="467"/>
      <c r="E320" s="467">
        <v>38881</v>
      </c>
      <c r="F320" s="467"/>
      <c r="G320" s="467"/>
      <c r="H320" s="467"/>
      <c r="I320" s="467"/>
      <c r="J320" s="467"/>
      <c r="K320" s="1671">
        <f t="shared" ref="K320:K327" si="24">SUM(C320:J320)</f>
        <v>38881</v>
      </c>
      <c r="L320" s="467">
        <v>25000</v>
      </c>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v>1000</v>
      </c>
      <c r="M321" s="665"/>
      <c r="N321" s="665"/>
    </row>
    <row r="322" spans="1:14" s="674" customFormat="1" x14ac:dyDescent="0.2">
      <c r="A322" s="1519" t="s">
        <v>238</v>
      </c>
      <c r="B322" s="697" t="s">
        <v>284</v>
      </c>
      <c r="C322" s="467"/>
      <c r="D322" s="467"/>
      <c r="E322" s="467">
        <v>9935</v>
      </c>
      <c r="F322" s="467"/>
      <c r="G322" s="467"/>
      <c r="H322" s="467"/>
      <c r="I322" s="467"/>
      <c r="J322" s="467"/>
      <c r="K322" s="1671">
        <f t="shared" si="24"/>
        <v>9935</v>
      </c>
      <c r="L322" s="467">
        <v>13000</v>
      </c>
      <c r="M322" s="665"/>
      <c r="N322" s="665"/>
    </row>
    <row r="323" spans="1:14" s="674" customFormat="1" x14ac:dyDescent="0.2">
      <c r="A323" s="1519" t="s">
        <v>702</v>
      </c>
      <c r="B323" s="697" t="s">
        <v>285</v>
      </c>
      <c r="C323" s="467">
        <v>104069</v>
      </c>
      <c r="D323" s="467"/>
      <c r="E323" s="467"/>
      <c r="F323" s="467"/>
      <c r="G323" s="467"/>
      <c r="H323" s="467"/>
      <c r="I323" s="467"/>
      <c r="J323" s="467"/>
      <c r="K323" s="1671">
        <f t="shared" si="24"/>
        <v>104069</v>
      </c>
      <c r="L323" s="467">
        <v>115000</v>
      </c>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v>728</v>
      </c>
      <c r="F325" s="467"/>
      <c r="G325" s="467"/>
      <c r="H325" s="467"/>
      <c r="I325" s="467"/>
      <c r="J325" s="467"/>
      <c r="K325" s="1671">
        <f t="shared" si="24"/>
        <v>728</v>
      </c>
      <c r="L325" s="467">
        <v>1500</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v>28392</v>
      </c>
      <c r="F328" s="474"/>
      <c r="G328" s="474"/>
      <c r="H328" s="474"/>
      <c r="I328" s="474"/>
      <c r="J328" s="474"/>
      <c r="K328" s="1699">
        <f>SUM(C328:J328)</f>
        <v>28392</v>
      </c>
      <c r="L328" s="474">
        <v>28000</v>
      </c>
      <c r="M328" s="665"/>
      <c r="N328" s="665"/>
    </row>
    <row r="329" spans="1:14" s="674" customFormat="1" x14ac:dyDescent="0.2">
      <c r="A329" s="1520" t="s">
        <v>1133</v>
      </c>
      <c r="B329" s="690" t="s">
        <v>1134</v>
      </c>
      <c r="C329" s="474"/>
      <c r="D329" s="474"/>
      <c r="E329" s="474">
        <v>9771</v>
      </c>
      <c r="F329" s="474"/>
      <c r="G329" s="474"/>
      <c r="H329" s="474"/>
      <c r="I329" s="474"/>
      <c r="J329" s="474"/>
      <c r="K329" s="1699">
        <f>SUM(C329:J329)</f>
        <v>9771</v>
      </c>
      <c r="L329" s="474">
        <v>7500</v>
      </c>
      <c r="M329" s="665"/>
      <c r="N329" s="665"/>
    </row>
    <row r="330" spans="1:14" s="674" customFormat="1" ht="12.75" customHeight="1" thickBot="1" x14ac:dyDescent="0.25">
      <c r="A330" s="1700" t="s">
        <v>717</v>
      </c>
      <c r="B330" s="1669" t="s">
        <v>569</v>
      </c>
      <c r="C330" s="1670">
        <f>SUM(C319:C329)</f>
        <v>104069</v>
      </c>
      <c r="D330" s="1670">
        <f t="shared" ref="D330:J330" si="25">SUM(D319:D329)</f>
        <v>0</v>
      </c>
      <c r="E330" s="1670">
        <f t="shared" si="25"/>
        <v>87707</v>
      </c>
      <c r="F330" s="1670">
        <f t="shared" si="25"/>
        <v>0</v>
      </c>
      <c r="G330" s="1670">
        <f t="shared" si="25"/>
        <v>0</v>
      </c>
      <c r="H330" s="1670">
        <f t="shared" si="25"/>
        <v>0</v>
      </c>
      <c r="I330" s="1670">
        <f t="shared" si="25"/>
        <v>0</v>
      </c>
      <c r="J330" s="1670">
        <f t="shared" si="25"/>
        <v>0</v>
      </c>
      <c r="K330" s="1670">
        <f>SUM(K319:K329)</f>
        <v>191776</v>
      </c>
      <c r="L330" s="1670">
        <f>SUM(L319:L329)</f>
        <v>191000</v>
      </c>
      <c r="M330" s="665"/>
      <c r="N330" s="665"/>
    </row>
    <row r="331" spans="1:14" s="674" customFormat="1" ht="12.75" customHeight="1" thickTop="1" x14ac:dyDescent="0.2">
      <c r="A331" s="1831" t="s">
        <v>1849</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1843</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1845</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1850</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104069</v>
      </c>
      <c r="D342" s="1670">
        <f>SUM(D330)</f>
        <v>0</v>
      </c>
      <c r="E342" s="1670">
        <f>SUM(E330)</f>
        <v>87707</v>
      </c>
      <c r="F342" s="1670">
        <f>SUM(F330)</f>
        <v>0</v>
      </c>
      <c r="G342" s="1670">
        <f>SUM(G330)</f>
        <v>0</v>
      </c>
      <c r="H342" s="1670">
        <f>SUM(H330,H334,H340)</f>
        <v>0</v>
      </c>
      <c r="I342" s="1670">
        <f>SUM(I330)</f>
        <v>0</v>
      </c>
      <c r="J342" s="1670">
        <f>SUM(J330)</f>
        <v>0</v>
      </c>
      <c r="K342" s="1670">
        <f>SUM(K330,K334,K340)</f>
        <v>191776</v>
      </c>
      <c r="L342" s="1677">
        <f>SUM(L330,L334,L340,L341)</f>
        <v>191000</v>
      </c>
    </row>
    <row r="343" spans="1:14" ht="12.75" customHeight="1" thickTop="1" x14ac:dyDescent="0.2">
      <c r="A343" s="2176" t="s">
        <v>996</v>
      </c>
      <c r="B343" s="2177"/>
      <c r="C343" s="616"/>
      <c r="D343" s="616"/>
      <c r="E343" s="616"/>
      <c r="F343" s="616"/>
      <c r="G343" s="616"/>
      <c r="H343" s="616"/>
      <c r="I343" s="616"/>
      <c r="J343" s="616"/>
      <c r="K343" s="1684">
        <f>'Revenues 9-14'!J268-'Expenditures 15-22'!K342</f>
        <v>53663</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6" t="s">
        <v>966</v>
      </c>
      <c r="B345" s="2167"/>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v>7376</v>
      </c>
      <c r="H348" s="466"/>
      <c r="I348" s="467"/>
      <c r="J348" s="467"/>
      <c r="K348" s="1671">
        <f>SUM(C348:J348)</f>
        <v>7376</v>
      </c>
      <c r="L348" s="466">
        <v>6000</v>
      </c>
    </row>
    <row r="349" spans="1:14" x14ac:dyDescent="0.2">
      <c r="A349" s="1504" t="s">
        <v>197</v>
      </c>
      <c r="B349" s="614">
        <v>2540</v>
      </c>
      <c r="C349" s="466"/>
      <c r="D349" s="466"/>
      <c r="E349" s="466">
        <v>11904</v>
      </c>
      <c r="F349" s="466"/>
      <c r="G349" s="466"/>
      <c r="H349" s="466"/>
      <c r="I349" s="467"/>
      <c r="J349" s="467"/>
      <c r="K349" s="1671">
        <f>SUM(C349:J349)</f>
        <v>11904</v>
      </c>
      <c r="L349" s="466">
        <v>11700</v>
      </c>
    </row>
    <row r="350" spans="1:14" ht="12.75" customHeight="1" thickBot="1" x14ac:dyDescent="0.25">
      <c r="A350" s="1668" t="s">
        <v>719</v>
      </c>
      <c r="B350" s="1669" t="s">
        <v>35</v>
      </c>
      <c r="C350" s="1670">
        <f>SUM(C348:C349)</f>
        <v>0</v>
      </c>
      <c r="D350" s="1670">
        <f t="shared" ref="D350:L350" si="26">SUM(D348:D349)</f>
        <v>0</v>
      </c>
      <c r="E350" s="1670">
        <f t="shared" si="26"/>
        <v>11904</v>
      </c>
      <c r="F350" s="1670">
        <f t="shared" si="26"/>
        <v>0</v>
      </c>
      <c r="G350" s="1670">
        <f t="shared" si="26"/>
        <v>7376</v>
      </c>
      <c r="H350" s="1670">
        <f t="shared" si="26"/>
        <v>0</v>
      </c>
      <c r="I350" s="1670">
        <f t="shared" si="26"/>
        <v>0</v>
      </c>
      <c r="J350" s="1670">
        <f t="shared" si="26"/>
        <v>0</v>
      </c>
      <c r="K350" s="1670">
        <f t="shared" si="26"/>
        <v>19280</v>
      </c>
      <c r="L350" s="1670">
        <f t="shared" si="26"/>
        <v>17700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11904</v>
      </c>
      <c r="F352" s="1670">
        <f t="shared" si="27"/>
        <v>0</v>
      </c>
      <c r="G352" s="1670">
        <f t="shared" si="27"/>
        <v>7376</v>
      </c>
      <c r="H352" s="1670">
        <f t="shared" si="27"/>
        <v>0</v>
      </c>
      <c r="I352" s="1670">
        <f t="shared" si="27"/>
        <v>0</v>
      </c>
      <c r="J352" s="1670">
        <f t="shared" si="27"/>
        <v>0</v>
      </c>
      <c r="K352" s="1670">
        <f t="shared" si="27"/>
        <v>19280</v>
      </c>
      <c r="L352" s="1670">
        <f t="shared" si="27"/>
        <v>17700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1851</v>
      </c>
      <c r="B354" s="683" t="s">
        <v>1843</v>
      </c>
      <c r="C354" s="616"/>
      <c r="D354" s="616"/>
      <c r="E354" s="616"/>
      <c r="F354" s="616"/>
      <c r="G354" s="616"/>
      <c r="H354" s="474"/>
      <c r="I354" s="701"/>
      <c r="J354" s="616"/>
      <c r="K354" s="1699">
        <f>H354</f>
        <v>0</v>
      </c>
      <c r="L354" s="471"/>
    </row>
    <row r="355" spans="1:14" ht="12.75" customHeight="1" x14ac:dyDescent="0.2">
      <c r="A355" s="1513" t="s">
        <v>1852</v>
      </c>
      <c r="B355" s="690" t="s">
        <v>1845</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11904</v>
      </c>
      <c r="F367" s="1670">
        <f t="shared" si="28"/>
        <v>0</v>
      </c>
      <c r="G367" s="1670">
        <f t="shared" si="28"/>
        <v>7376</v>
      </c>
      <c r="H367" s="1670">
        <f t="shared" si="28"/>
        <v>0</v>
      </c>
      <c r="I367" s="1670">
        <f t="shared" si="28"/>
        <v>0</v>
      </c>
      <c r="J367" s="1670">
        <f t="shared" si="28"/>
        <v>0</v>
      </c>
      <c r="K367" s="1670">
        <f t="shared" si="28"/>
        <v>19280</v>
      </c>
      <c r="L367" s="1670">
        <f t="shared" si="28"/>
        <v>17700</v>
      </c>
    </row>
    <row r="368" spans="1:14" ht="13.5" thickTop="1" x14ac:dyDescent="0.2">
      <c r="A368" s="2163" t="s">
        <v>996</v>
      </c>
      <c r="B368" s="2164"/>
      <c r="C368" s="654"/>
      <c r="D368" s="654"/>
      <c r="E368" s="626"/>
      <c r="F368" s="626"/>
      <c r="G368" s="626"/>
      <c r="H368" s="626"/>
      <c r="I368" s="626"/>
      <c r="J368" s="623"/>
      <c r="K368" s="1671">
        <f>'Revenues 9-14'!K268-'Expenditures 15-22'!K367</f>
        <v>-2599</v>
      </c>
      <c r="L368" s="654"/>
    </row>
  </sheetData>
  <sheetProtection algorithmName="SHA-512" hashValue="jzzNE6gaZWET+y6T5aosJtCATdA6zyfwuTqC+CTODp4dbJrQt41UnBxqpssdLhxOdI8LmMLRZDYFsF1oB0M7Iw==" saltValue="LNHf/VcevKDKMmwcM5/SP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&amp;L&amp;8The notes to the financial statements are an integral part of these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office/2006/documentManagement/types"/>
    <ds:schemaRef ds:uri="http://purl.org/dc/dcmitype/"/>
    <ds:schemaRef ds:uri="4d435f69-8686-490b-bd6d-b153bf22ab50"/>
    <ds:schemaRef ds:uri="http://schemas.microsoft.com/office/infopath/2007/PartnerControls"/>
    <ds:schemaRef ds:uri="http://www.w3.org/XML/1998/namespace"/>
    <ds:schemaRef ds:uri="http://purl.org/dc/terms/"/>
    <ds:schemaRef ds:uri="d21dc803-237d-4c68-8692-8d731fd29118"/>
    <ds:schemaRef ds:uri="http://purl.org/dc/elements/1.1/"/>
    <ds:schemaRef ds:uri="http://schemas.microsoft.com/sharepoint/v3"/>
    <ds:schemaRef ds:uri="http://schemas.openxmlformats.org/package/2006/metadata/core-properties"/>
    <ds:schemaRef ds:uri="6ce3111e-7420-4802-b50a-75d4e9a0b980"/>
    <ds:schemaRef ds:uri="http://schemas.microsoft.com/office/2006/metadata/properties"/>
  </ds:schemaRefs>
</ds:datastoreItem>
</file>

<file path=customXml/itemProps3.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Sec-2 (2)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HOPKINS CONSTANCE</cp:lastModifiedBy>
  <cp:lastPrinted>2019-11-18T17:03:20Z</cp:lastPrinted>
  <dcterms:created xsi:type="dcterms:W3CDTF">2003-10-29T19:06:34Z</dcterms:created>
  <dcterms:modified xsi:type="dcterms:W3CDTF">2019-12-26T21:21:24Z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