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20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CHNME2">#REF!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E22" i="181"/>
  <c r="E21" i="181"/>
  <c r="E20" i="181"/>
  <c r="F20" i="181" s="1"/>
  <c r="E19" i="181"/>
  <c r="F19" i="181" s="1"/>
  <c r="F23" i="181" l="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F36"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E33" i="108" l="1"/>
  <c r="L22" i="37"/>
  <c r="D68" i="36"/>
  <c r="F70" i="34"/>
  <c r="F68" i="34"/>
  <c r="G35" i="108"/>
  <c r="E35" i="108"/>
  <c r="E34" i="108"/>
  <c r="B1126" i="106"/>
  <c r="D1126" i="106" s="1"/>
  <c r="B2724" i="106"/>
  <c r="D2724" i="106" s="1"/>
  <c r="D36" i="108"/>
  <c r="B1124" i="106"/>
  <c r="D1124" i="106" s="1"/>
  <c r="G29" i="108"/>
  <c r="F56" i="34"/>
  <c r="D14" i="4"/>
  <c r="B2570" i="106" s="1"/>
  <c r="D2570" i="106" s="1"/>
  <c r="F37" i="34"/>
  <c r="F71" i="34"/>
  <c r="F52" i="34"/>
  <c r="G39" i="108"/>
  <c r="H28" i="118"/>
  <c r="J22" i="37"/>
  <c r="D69" i="36"/>
  <c r="D54" i="36"/>
  <c r="L5" i="11"/>
  <c r="B2056" i="106" s="1"/>
  <c r="D2056" i="106" s="1"/>
  <c r="D22" i="37"/>
  <c r="D24" i="37"/>
  <c r="B4270" i="106" s="1"/>
  <c r="D4270" i="106" s="1"/>
  <c r="F69" i="34"/>
  <c r="F50" i="34"/>
  <c r="F72" i="34"/>
  <c r="G14" i="4"/>
  <c r="B2609" i="106" s="1"/>
  <c r="D2609" i="106" s="1"/>
  <c r="F36" i="34"/>
  <c r="F67" i="34"/>
  <c r="E38" i="108"/>
  <c r="E29" i="108"/>
  <c r="B6995" i="106"/>
  <c r="D6995" i="106" s="1"/>
  <c r="F38" i="34"/>
  <c r="B2836" i="106"/>
  <c r="D2836" i="106" s="1"/>
  <c r="F28" i="108"/>
  <c r="D6103" i="106"/>
  <c r="L13" i="11"/>
  <c r="B2060" i="106" s="1"/>
  <c r="D2060" i="106" s="1"/>
  <c r="F19" i="7"/>
  <c r="B1807" i="106" s="1"/>
  <c r="D1807" i="106" s="1"/>
  <c r="G26" i="108"/>
  <c r="E26" i="108"/>
  <c r="G15" i="145"/>
  <c r="B7047" i="106"/>
  <c r="D7047" i="106" s="1"/>
  <c r="F46" i="34"/>
  <c r="F42" i="34"/>
  <c r="B1274" i="106"/>
  <c r="D1274" i="106" s="1"/>
  <c r="L342" i="29"/>
  <c r="I129" i="29"/>
  <c r="B7037" i="106" s="1"/>
  <c r="D7037" i="106" s="1"/>
  <c r="H76" i="4"/>
  <c r="B3298" i="106" s="1"/>
  <c r="D3298" i="106" s="1"/>
  <c r="F77" i="4"/>
  <c r="B3255" i="106" s="1"/>
  <c r="D3255" i="106" s="1"/>
  <c r="J77" i="4"/>
  <c r="B6262" i="106" s="1"/>
  <c r="D6262" i="106" s="1"/>
  <c r="K76" i="4"/>
  <c r="B3586" i="106" s="1"/>
  <c r="D3586" i="106" s="1"/>
  <c r="B6289" i="106"/>
  <c r="D6289" i="106" s="1"/>
  <c r="G30" i="108"/>
  <c r="J352" i="29"/>
  <c r="J367" i="29" s="1"/>
  <c r="B7245" i="106" s="1"/>
  <c r="D7245" i="106" s="1"/>
  <c r="C342" i="29"/>
  <c r="B7216" i="106" s="1"/>
  <c r="D7216" i="106" s="1"/>
  <c r="H342" i="29"/>
  <c r="B7221" i="106" s="1"/>
  <c r="D7221" i="106" s="1"/>
  <c r="C129" i="29"/>
  <c r="C151" i="29" s="1"/>
  <c r="B1226" i="106" s="1"/>
  <c r="D1226" i="106" s="1"/>
  <c r="F34" i="34"/>
  <c r="H365" i="29"/>
  <c r="B7242" i="106" s="1"/>
  <c r="D7242" i="106" s="1"/>
  <c r="L367" i="29"/>
  <c r="K184" i="29"/>
  <c r="F13" i="4" s="1"/>
  <c r="B2596" i="106" s="1"/>
  <c r="D2596" i="106" s="1"/>
  <c r="J210" i="29"/>
  <c r="B7072" i="106" s="1"/>
  <c r="D7072" i="106" s="1"/>
  <c r="J129" i="29"/>
  <c r="B7038" i="106" s="1"/>
  <c r="D7038" i="106" s="1"/>
  <c r="I210" i="29"/>
  <c r="B7071" i="106" s="1"/>
  <c r="D7071" i="106" s="1"/>
  <c r="C352" i="29"/>
  <c r="C367" i="29" s="1"/>
  <c r="B3622" i="106" s="1"/>
  <c r="D3622" i="106" s="1"/>
  <c r="G210" i="29"/>
  <c r="H112" i="29"/>
  <c r="B7018" i="106" s="1"/>
  <c r="D7018" i="106" s="1"/>
  <c r="B3647" i="106"/>
  <c r="D3647" i="106" s="1"/>
  <c r="H33" i="118"/>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28" i="118" l="1"/>
  <c r="O27" i="118" s="1"/>
  <c r="O29" i="118" s="1"/>
  <c r="B3621" i="106"/>
  <c r="D3621" i="106" s="1"/>
  <c r="K365" i="29"/>
  <c r="K16" i="4" s="1"/>
  <c r="B4435" i="106"/>
  <c r="D4435" i="106" s="1"/>
  <c r="L16" i="11"/>
  <c r="B2061" i="106" s="1"/>
  <c r="D2061" i="106" s="1"/>
  <c r="B2031" i="106"/>
  <c r="D2031" i="106" s="1"/>
  <c r="I151" i="29"/>
  <c r="F59" i="34" s="1"/>
  <c r="B1381" i="106"/>
  <c r="D1381" i="106" s="1"/>
  <c r="F41" i="108"/>
  <c r="G43" i="108" s="1"/>
  <c r="B5527" i="106"/>
  <c r="D5527" i="106" s="1"/>
  <c r="B1328" i="106"/>
  <c r="D1328" i="106" s="1"/>
  <c r="F66" i="34"/>
  <c r="D41" i="108"/>
  <c r="E43" i="108" s="1"/>
  <c r="B1266" i="106"/>
  <c r="D1266" i="106" s="1"/>
  <c r="B1225" i="106"/>
  <c r="D1225" i="106" s="1"/>
  <c r="D51" i="36"/>
  <c r="H77" i="4"/>
  <c r="B3299" i="106" s="1"/>
  <c r="D3299" i="106" s="1"/>
  <c r="K77" i="4"/>
  <c r="B3587" i="106" s="1"/>
  <c r="D3587" i="106" s="1"/>
  <c r="D7256" i="106"/>
  <c r="D7254" i="106"/>
  <c r="D7251" i="106"/>
  <c r="D7250" i="106"/>
  <c r="B1365" i="106"/>
  <c r="D1365" i="106" s="1"/>
  <c r="F65" i="34"/>
  <c r="G170" i="5"/>
  <c r="B5778" i="106" s="1"/>
  <c r="D5778" i="106" s="1"/>
  <c r="N23" i="3"/>
  <c r="B284" i="106" s="1"/>
  <c r="D284" i="106" s="1"/>
  <c r="B7235" i="106"/>
  <c r="D7235" i="106" s="1"/>
  <c r="J151" i="29"/>
  <c r="B7052" i="106" s="1"/>
  <c r="D7052" i="106" s="1"/>
  <c r="K342" i="29"/>
  <c r="F13" i="34" s="1"/>
  <c r="C114" i="29"/>
  <c r="B757" i="106" s="1"/>
  <c r="D757" i="106" s="1"/>
  <c r="J16" i="4"/>
  <c r="B6226" i="106" s="1"/>
  <c r="D6226" i="106" s="1"/>
  <c r="L114" i="29"/>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224" i="106"/>
  <c r="D7224" i="106" s="1"/>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B6227" i="106"/>
  <c r="D6227" i="106" s="1"/>
  <c r="K17" i="4"/>
  <c r="K19" i="4" s="1"/>
  <c r="B4144" i="106" s="1"/>
  <c r="D4144" i="106" s="1"/>
  <c r="J20" i="4"/>
  <c r="J78" i="4"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B6230" i="106"/>
  <c r="D6230"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10" i="146"/>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<sst xmlns="http://schemas.openxmlformats.org/spreadsheetml/2006/main" count="5134" uniqueCount="2134">
  <si>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</si>
  <si>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</si>
  <si>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</si>
  <si>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</si>
  <si>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</si>
  <si>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</si>
  <si>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</si>
  <si>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</si>
  <si>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</si>
  <si>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</si>
  <si>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</si>
  <si>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</si>
  <si>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</si>
  <si>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</si>
  <si>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</si>
  <si>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</si>
  <si>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</si>
  <si>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</si>
  <si>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</si>
  <si>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</si>
  <si>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</si>
  <si>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</si>
  <si>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</si>
  <si>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</si>
  <si>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</si>
  <si>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</si>
  <si>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</si>
  <si>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</si>
  <si>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</si>
  <si>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</si>
  <si>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</si>
  <si>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</si>
  <si>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</si>
  <si>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</si>
  <si>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</si>
  <si>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</si>
  <si>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</si>
  <si>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</si>
  <si>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</si>
  <si>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</si>
  <si>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</si>
  <si>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</si>
  <si>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</si>
  <si>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</si>
  <si>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</si>
  <si>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</si>
  <si>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</si>
  <si>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</si>
  <si>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</si>
  <si>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</si>
  <si>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</si>
  <si>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</si>
  <si>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</si>
  <si>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</si>
  <si>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</si>
  <si>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</si>
  <si>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</si>
  <si>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</si>
  <si>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</si>
  <si>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</si>
  <si>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</si>
  <si>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</si>
  <si>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</si>
  <si>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</si>
  <si>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</si>
  <si>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</si>
  <si>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</si>
  <si>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</si>
  <si>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</si>
  <si>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</si>
  <si>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</si>
  <si>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</si>
  <si>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</si>
  <si>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</si>
  <si>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</si>
  <si>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</si>
  <si>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</si>
  <si>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</si>
  <si>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</si>
  <si>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</si>
  <si>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</si>
  <si>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</si>
  <si>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</si>
  <si>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</si>
  <si>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</si>
  <si>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</si>
  <si>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</si>
  <si>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</si>
  <si>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</si>
  <si>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</si>
  <si>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</si>
  <si>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</si>
  <si>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</si>
  <si>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</si>
  <si>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</si>
  <si>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</si>
  <si>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</si>
  <si>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</si>
  <si>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</si>
  <si>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</si>
  <si>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</si>
  <si>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</si>
  <si>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</si>
  <si>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</si>
  <si>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</si>
  <si>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</si>
  <si>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</si>
  <si>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</si>
  <si>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</si>
  <si>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</si>
  <si>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</si>
  <si>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</si>
  <si>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</si>
  <si>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</si>
  <si>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</si>
  <si>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</si>
  <si>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</si>
  <si>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</si>
  <si>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</si>
  <si>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</si>
  <si>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</si>
  <si>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</si>
  <si>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</si>
  <si>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</si>
  <si>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</si>
  <si>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</si>
  <si>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</si>
  <si>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</si>
  <si>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</si>
  <si>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</si>
  <si>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</si>
  <si>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</si>
  <si>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</si>
  <si>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</si>
  <si>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</si>
  <si>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</si>
  <si>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</si>
  <si>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</si>
  <si>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</si>
  <si>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</si>
  <si>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</si>
  <si>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</si>
  <si>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</si>
  <si>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</si>
  <si>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</si>
  <si>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</si>
  <si>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</si>
  <si>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</si>
  <si>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</si>
  <si>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</si>
  <si>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</si>
  <si>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</si>
  <si>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</si>
  <si>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</si>
  <si>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</si>
  <si>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</si>
  <si>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</si>
  <si>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</si>
  <si>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</si>
  <si>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</si>
  <si>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</si>
  <si>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</si>
  <si>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</si>
  <si>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</si>
  <si>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</si>
  <si>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</si>
  <si>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</si>
  <si>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</si>
  <si>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</si>
  <si>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</si>
  <si>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</si>
  <si>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</si>
  <si>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</si>
  <si>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</si>
  <si>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</si>
  <si>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</si>
  <si>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</si>
  <si>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</si>
  <si>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</si>
  <si>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</si>
  <si>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</si>
  <si>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</si>
  <si>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</si>
  <si>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</si>
  <si>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</si>
  <si>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</si>
  <si>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</si>
  <si>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</si>
  <si>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</si>
  <si>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</si>
  <si>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</si>
  <si>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</si>
  <si>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</si>
  <si>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</si>
  <si>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</si>
  <si>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</si>
  <si>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</si>
  <si>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</si>
  <si>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</si>
  <si>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</si>
  <si>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</si>
  <si>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</si>
  <si>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</si>
  <si>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</si>
  <si>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</si>
  <si>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</si>
  <si>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</si>
  <si>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</si>
  <si>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</si>
  <si>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</si>
  <si>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</si>
  <si>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</si>
  <si>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</si>
  <si>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</si>
  <si>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</si>
  <si>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</si>
  <si>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</si>
  <si>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</si>
  <si>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</si>
  <si>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</si>
  <si>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</si>
  <si>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</si>
  <si>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</si>
  <si>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</si>
  <si>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</si>
  <si>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</si>
  <si>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</si>
  <si>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</si>
  <si>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</si>
  <si>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</si>
  <si>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</si>
  <si>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</si>
  <si>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</si>
  <si>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</si>
  <si>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</si>
  <si>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</si>
  <si>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</si>
  <si>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</si>
  <si>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</si>
  <si>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</si>
  <si>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</si>
  <si>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</si>
  <si>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</si>
  <si>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</si>
  <si>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</si>
  <si>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</si>
  <si>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</si>
  <si>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</si>
  <si>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</si>
  <si>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</si>
  <si>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</si>
  <si>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</si>
  <si>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</si>
  <si>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</si>
  <si>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</si>
  <si>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</si>
  <si>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</si>
  <si>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</si>
  <si>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</si>
  <si>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</si>
  <si>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</si>
  <si>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</si>
  <si>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</si>
  <si>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</si>
  <si>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</si>
  <si>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</si>
  <si>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</si>
  <si>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</si>
  <si>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</si>
  <si>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</si>
  <si>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</si>
  <si>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</si>
  <si>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</si>
  <si>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</si>
  <si>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</si>
  <si>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</si>
  <si>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</si>
  <si>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</si>
  <si>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</si>
  <si>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</si>
  <si>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</si>
  <si>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</si>
  <si>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</si>
  <si>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</si>
  <si>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</si>
  <si>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</si>
  <si>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</si>
  <si>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</si>
  <si>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</si>
  <si>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</si>
  <si>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</si>
  <si>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</si>
  <si>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</si>
  <si>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</si>
  <si>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</si>
  <si>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</si>
  <si>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</si>
  <si>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</si>
  <si>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</si>
  <si>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</si>
  <si>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</si>
  <si>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</si>
  <si>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</si>
  <si>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</si>
  <si>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</si>
  <si>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</si>
  <si>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</si>
  <si>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</si>
  <si>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</si>
  <si>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</si>
  <si>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</si>
  <si>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</si>
  <si>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</si>
  <si>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</si>
  <si>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</si>
  <si>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</si>
  <si>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</si>
  <si>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</si>
  <si>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</si>
  <si>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</si>
  <si>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</si>
  <si>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</si>
  <si>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</si>
  <si>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</si>
  <si>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</si>
  <si>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</si>
  <si>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</si>
  <si>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</si>
  <si>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</si>
  <si>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</si>
  <si>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</si>
  <si>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</si>
  <si>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</si>
  <si>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</si>
  <si>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</si>
  <si>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</si>
  <si>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</si>
  <si>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</si>
  <si>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</si>
  <si>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</si>
  <si>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</si>
  <si>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</si>
  <si>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</si>
  <si>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</si>
  <si>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</si>
  <si>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</si>
  <si>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</si>
  <si>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</si>
  <si>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</si>
  <si>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</si>
  <si>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</si>
  <si>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</si>
  <si>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</si>
  <si>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</si>
  <si>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</si>
  <si>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</si>
  <si>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</si>
  <si>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</si>
  <si>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</si>
  <si>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</si>
  <si>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</si>
  <si>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</si>
  <si>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</si>
  <si>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</si>
  <si>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</si>
  <si>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</si>
  <si>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</si>
  <si>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</si>
  <si>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</si>
  <si>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</si>
  <si>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</si>
  <si>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</si>
  <si>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</si>
  <si>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</si>
  <si>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</si>
  <si>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</si>
  <si>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</si>
  <si>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</si>
  <si>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</si>
  <si>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</si>
  <si>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</si>
  <si>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</si>
  <si>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</si>
  <si>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</si>
  <si>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</si>
  <si>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</si>
  <si>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</si>
  <si>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</si>
  <si>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</si>
  <si>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</si>
  <si>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</si>
  <si>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</si>
  <si>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</si>
  <si>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</si>
  <si>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</si>
  <si>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</si>
  <si>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</si>
  <si>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</si>
  <si>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</si>
  <si>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</si>
  <si>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</si>
  <si>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</si>
  <si>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</si>
  <si>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</si>
  <si>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</si>
  <si>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</si>
  <si>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</si>
  <si>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</si>
  <si>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</si>
  <si>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</si>
  <si>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</si>
  <si>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</si>
  <si>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</si>
  <si>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</si>
  <si>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</si>
  <si>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</si>
  <si>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</si>
  <si>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</si>
  <si>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</si>
  <si>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</si>
  <si>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</si>
  <si>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</si>
  <si>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</si>
  <si>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</si>
  <si>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</si>
  <si>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</si>
  <si>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</si>
  <si>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</si>
  <si>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</si>
  <si>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</si>
  <si>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</si>
  <si>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</si>
  <si>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</si>
  <si>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</si>
  <si>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</si>
  <si>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</si>
  <si>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</si>
  <si>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</si>
  <si>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</si>
  <si>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</si>
  <si>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</si>
  <si>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</si>
  <si>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</si>
  <si>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</si>
  <si>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</si>
  <si>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</si>
  <si>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</si>
  <si>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</si>
  <si>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</si>
  <si>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</si>
  <si>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</si>
  <si>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</si>
  <si>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</si>
  <si>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</si>
  <si>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</si>
  <si>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</si>
  <si>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</si>
  <si>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</si>
  <si>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</si>
  <si>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</si>
  <si>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</si>
  <si>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</si>
  <si>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</si>
  <si>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</si>
  <si>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</si>
  <si>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</si>
  <si>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</si>
  <si>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</si>
  <si>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</si>
  <si>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</si>
  <si>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</si>
  <si>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</si>
  <si>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</si>
  <si>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</si>
  <si>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</si>
  <si>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</si>
  <si>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</si>
  <si>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</si>
  <si>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</si>
  <si>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</si>
  <si>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</si>
  <si>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</si>
  <si>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</si>
  <si>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</si>
  <si>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</si>
  <si>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</si>
  <si>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</si>
  <si>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</si>
  <si>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</si>
  <si>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</si>
  <si>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</si>
  <si>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</si>
  <si>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</si>
  <si>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</si>
  <si>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</si>
  <si>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</si>
  <si>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</si>
  <si>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</si>
  <si>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</si>
  <si>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</si>
  <si>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</si>
  <si>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</si>
  <si>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</si>
  <si>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</si>
  <si>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</si>
  <si>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</si>
  <si>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</si>
  <si>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</si>
  <si>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</si>
  <si>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</si>
  <si>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</si>
  <si>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</si>
  <si>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</si>
  <si>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</si>
  <si>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</si>
  <si>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</si>
  <si>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</si>
  <si>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</si>
  <si>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</si>
  <si>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</si>
  <si>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</si>
  <si>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</si>
  <si>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</si>
  <si>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</si>
  <si>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</si>
  <si>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</si>
  <si>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</si>
  <si>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</si>
  <si>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</si>
  <si>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</si>
  <si>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</si>
  <si>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</si>
  <si>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</si>
  <si>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</si>
  <si>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</si>
  <si>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</si>
  <si>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</si>
  <si>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</si>
  <si>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</si>
  <si>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</si>
  <si>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</si>
  <si>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</si>
  <si>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</si>
  <si>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</si>
  <si>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</si>
  <si>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</si>
  <si>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</si>
  <si>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</si>
  <si>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</si>
  <si>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</si>
  <si>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</si>
  <si>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</si>
  <si>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</si>
  <si>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</si>
  <si>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</si>
  <si>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</si>
  <si>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</si>
  <si>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</si>
  <si>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</si>
  <si>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</si>
  <si>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</si>
  <si>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</si>
  <si>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</si>
  <si>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</si>
  <si>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</si>
  <si>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</si>
  <si>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</si>
  <si>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</si>
  <si>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</si>
  <si>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</si>
  <si>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</si>
  <si>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</si>
  <si>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</si>
  <si>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</si>
  <si>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</si>
  <si>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</si>
  <si>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</si>
  <si>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</si>
  <si>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</si>
  <si>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</si>
  <si>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</si>
  <si>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</si>
  <si>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</si>
  <si>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</si>
  <si>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</si>
  <si>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</si>
  <si>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</si>
  <si>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</si>
  <si>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</si>
  <si>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</si>
  <si>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</si>
  <si>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</si>
  <si>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</si>
  <si>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</si>
  <si>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</si>
  <si>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</si>
  <si>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</si>
  <si>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</si>
  <si>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</si>
  <si>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</si>
  <si>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</si>
  <si>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</si>
  <si>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</si>
  <si>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</si>
  <si>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</si>
  <si>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</si>
  <si>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</si>
  <si>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</si>
  <si>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</si>
  <si>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</si>
  <si>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</si>
  <si>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</si>
  <si>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</si>
  <si>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</si>
  <si>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</si>
  <si>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</si>
  <si>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</si>
  <si>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</si>
  <si>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</si>
  <si>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</si>
  <si>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</si>
  <si>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</si>
  <si>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</si>
  <si>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</si>
  <si>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</si>
  <si>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</si>
  <si>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</si>
  <si>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</si>
  <si>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</si>
  <si>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</si>
  <si>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</si>
  <si>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</si>
  <si>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</si>
  <si>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</si>
  <si>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</si>
  <si>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</si>
  <si>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</si>
  <si>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</si>
  <si>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</si>
  <si>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</si>
  <si>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</si>
  <si>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</si>
  <si>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</si>
  <si>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</si>
  <si>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</si>
  <si>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</si>
  <si>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</si>
  <si>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</si>
  <si>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</si>
  <si>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</si>
  <si>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</si>
  <si>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</si>
  <si>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</si>
  <si>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</si>
  <si>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</si>
  <si>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</si>
  <si>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</si>
  <si>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</si>
  <si>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</si>
  <si>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</si>
  <si>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</si>
  <si>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</si>
  <si>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</si>
  <si>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</si>
  <si>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</si>
  <si>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</si>
  <si>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</si>
  <si>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</si>
  <si>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</si>
  <si>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</si>
  <si>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</si>
  <si>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</si>
  <si>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</si>
  <si>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</si>
  <si>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</si>
  <si>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</si>
  <si>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</si>
  <si>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</si>
  <si>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</si>
  <si>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</si>
  <si>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</si>
  <si>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</si>
  <si>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</si>
  <si>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</si>
  <si>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</si>
  <si>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</si>
  <si>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</si>
  <si>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</si>
  <si>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</si>
  <si>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</si>
  <si>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</si>
  <si>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</si>
  <si>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</si>
  <si>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</si>
  <si>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</si>
  <si>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</si>
  <si>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</si>
  <si>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</si>
  <si>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</si>
  <si>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</si>
  <si>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</si>
  <si>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</si>
  <si>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</si>
  <si>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</si>
  <si>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</si>
  <si>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</si>
  <si>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</si>
  <si>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</si>
  <si>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</si>
  <si>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</si>
  <si>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</si>
  <si>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</si>
  <si>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</si>
  <si>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</si>
  <si>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</si>
  <si>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</si>
  <si>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</si>
  <si>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</si>
  <si>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</si>
  <si>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</si>
  <si>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</si>
  <si>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</si>
  <si>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</si>
  <si>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</si>
  <si>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</si>
  <si>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</si>
  <si>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</si>
  <si>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</si>
  <si>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</si>
  <si>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</si>
  <si>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</si>
  <si>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</si>
  <si>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</si>
  <si>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</si>
  <si>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</si>
  <si>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</si>
  <si>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</si>
  <si>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</si>
  <si>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</si>
  <si>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</si>
  <si>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</si>
  <si>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</si>
  <si>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</si>
  <si>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</si>
  <si>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</si>
  <si>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</si>
  <si>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</si>
  <si>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</si>
  <si>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</si>
  <si>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</si>
  <si>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</si>
  <si>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</si>
  <si>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</si>
  <si>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</si>
  <si>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</si>
  <si>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</si>
  <si>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</si>
  <si>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</si>
  <si>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</si>
  <si>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</si>
  <si>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</si>
  <si>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</si>
  <si>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</si>
  <si>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</si>
  <si>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</si>
  <si>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</si>
  <si>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</si>
  <si>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</si>
  <si>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</si>
  <si>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</si>
  <si>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</si>
  <si>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</si>
  <si>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</si>
  <si>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</si>
  <si>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</si>
  <si>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</si>
  <si>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</si>
  <si>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</si>
  <si>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</si>
  <si>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</si>
  <si>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</si>
  <si>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</si>
  <si>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</si>
  <si>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</si>
  <si>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</si>
  <si>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</si>
  <si>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</si>
  <si>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</si>
  <si>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</si>
  <si>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</si>
  <si>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</si>
  <si>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</si>
  <si>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</si>
  <si>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</si>
  <si>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</si>
  <si>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</si>
  <si>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</si>
  <si>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</si>
  <si>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</si>
  <si>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</si>
  <si>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</si>
  <si>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</si>
  <si>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</si>
  <si>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</si>
  <si>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</si>
  <si>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</si>
  <si>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</si>
  <si>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</si>
  <si>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</si>
  <si>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</si>
  <si>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</si>
  <si>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</si>
  <si>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</si>
  <si>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</si>
  <si>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</si>
  <si>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</si>
  <si>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</si>
  <si>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</si>
  <si>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</si>
  <si>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</si>
  <si>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</si>
  <si>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</si>
  <si>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</si>
  <si>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</si>
  <si>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</si>
  <si>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</si>
  <si>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</si>
  <si>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</si>
  <si>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</si>
  <si>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</si>
  <si>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</si>
  <si>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</si>
  <si>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</si>
  <si>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</si>
  <si>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</si>
  <si>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</si>
  <si>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</si>
  <si>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</si>
  <si>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</si>
  <si>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</si>
  <si>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</si>
  <si>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</si>
  <si>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</si>
  <si>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</si>
  <si>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</si>
  <si>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</si>
  <si>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</si>
  <si>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</si>
  <si>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</si>
  <si>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</si>
  <si>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</si>
  <si>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</si>
  <si>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</si>
  <si>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</si>
  <si>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</si>
  <si>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</si>
  <si>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</si>
  <si>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</si>
  <si>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</si>
  <si>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</si>
  <si>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</si>
  <si>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</si>
  <si>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</si>
  <si>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</si>
  <si>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</si>
  <si>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</si>
  <si>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</si>
  <si>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</si>
  <si>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</si>
  <si>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</si>
  <si>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</si>
  <si>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</si>
  <si>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</si>
  <si>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</si>
  <si>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</si>
  <si>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</si>
  <si>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</si>
  <si>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</si>
  <si>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</si>
  <si>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</si>
  <si>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</si>
  <si>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</si>
  <si>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</si>
  <si>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</si>
  <si>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</si>
  <si>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</si>
  <si>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</si>
  <si>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</si>
  <si>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</si>
  <si>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</si>
  <si>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</si>
  <si>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</si>
  <si>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</si>
  <si>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</si>
  <si>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</si>
  <si>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</si>
  <si>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</si>
  <si>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</si>
  <si>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</si>
  <si>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</si>
  <si>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</si>
  <si>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</si>
  <si>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</si>
  <si>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</si>
  <si>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</si>
  <si>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</si>
  <si>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</si>
  <si>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</si>
  <si>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</si>
  <si>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</si>
  <si>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</si>
  <si>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</si>
  <si>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</si>
  <si>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</si>
  <si>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</si>
  <si>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</si>
  <si>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</si>
  <si>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</si>
  <si>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</si>
  <si>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</si>
  <si>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</si>
  <si>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</si>
  <si>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</si>
  <si>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</si>
  <si>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</si>
  <si>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</si>
  <si>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</si>
  <si>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</si>
  <si>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</si>
  <si>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</si>
  <si>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</si>
  <si>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</si>
  <si>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</si>
  <si>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</si>
  <si>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</si>
  <si>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</si>
  <si>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</si>
  <si>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</si>
  <si>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</si>
  <si>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</si>
  <si>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</si>
  <si>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</si>
  <si>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</si>
  <si>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</si>
  <si>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</si>
  <si>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</si>
  <si>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</si>
  <si>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</si>
  <si>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</si>
  <si>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</si>
  <si>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</si>
  <si>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</si>
  <si>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</si>
  <si>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</si>
  <si>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</si>
  <si>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</si>
  <si>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</si>
  <si>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</si>
  <si>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</si>
  <si>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</si>
  <si>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</si>
  <si>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</si>
  <si>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</si>
  <si>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</si>
  <si>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</si>
  <si>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</si>
  <si>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</si>
  <si>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</si>
  <si>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</si>
  <si>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</si>
  <si>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</si>
  <si>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</si>
  <si>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</si>
  <si>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</si>
  <si>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</si>
  <si>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</si>
  <si>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</si>
  <si>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</si>
  <si>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</si>
  <si>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</si>
  <si>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</si>
  <si>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</si>
  <si>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</si>
  <si>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</si>
  <si>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</si>
  <si>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</si>
  <si>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</si>
  <si>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</si>
  <si>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</si>
  <si>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</si>
  <si>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</si>
  <si>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</si>
  <si>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</si>
  <si>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</si>
  <si>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</si>
  <si>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</si>
  <si>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</si>
  <si>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</si>
  <si>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</si>
  <si>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</si>
  <si>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</si>
  <si>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</si>
  <si>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</si>
  <si>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</si>
  <si>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</si>
  <si>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</si>
  <si>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</si>
  <si>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</si>
  <si>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</si>
  <si>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</si>
  <si>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</si>
  <si>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</si>
  <si>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</si>
  <si>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</si>
  <si>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</si>
  <si>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</si>
  <si>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</si>
  <si>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</si>
  <si>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</si>
  <si>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</si>
  <si>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</si>
  <si>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</si>
  <si>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</si>
  <si>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</si>
  <si>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</si>
  <si>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</si>
  <si>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</si>
  <si>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</si>
  <si>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</si>
  <si>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</si>
  <si>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</si>
  <si>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</si>
  <si>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</si>
  <si>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</si>
  <si>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</si>
  <si>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</si>
  <si>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</si>
  <si>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</si>
  <si>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</si>
  <si>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</si>
  <si>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</si>
  <si>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</si>
  <si>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</si>
  <si>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</si>
  <si>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</si>
  <si>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</si>
  <si>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</si>
  <si>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</si>
  <si>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</si>
  <si>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</si>
  <si>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</si>
  <si>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</si>
  <si>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</si>
  <si>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</si>
  <si>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</si>
  <si>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</si>
  <si>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</si>
  <si>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</si>
  <si>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</si>
  <si>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</si>
  <si>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</si>
  <si>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</si>
  <si>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</si>
  <si>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</si>
  <si>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</si>
  <si>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</si>
  <si>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</si>
  <si>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</si>
  <si>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</si>
  <si>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</si>
  <si>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</si>
  <si>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</si>
  <si>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</si>
  <si>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</si>
  <si>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</si>
  <si>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</si>
  <si>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</si>
  <si>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</si>
  <si>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</si>
  <si>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</si>
  <si>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</si>
  <si>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</si>
  <si>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</si>
  <si>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</si>
  <si>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</si>
  <si>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</si>
  <si>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</si>
  <si>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</si>
  <si>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</si>
  <si>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</si>
  <si>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</si>
  <si>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</si>
  <si>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</si>
  <si>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</si>
  <si>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</si>
  <si>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</si>
  <si>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</si>
  <si>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</si>
  <si>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</si>
  <si>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</si>
  <si>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</si>
  <si>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</si>
  <si>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</si>
  <si>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</si>
  <si>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</si>
  <si>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</si>
  <si>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</si>
  <si>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</si>
  <si>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</si>
  <si>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</si>
  <si>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</si>
  <si>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</si>
  <si>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</si>
  <si>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</si>
  <si>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</si>
  <si>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</si>
  <si>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</si>
  <si>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</si>
  <si>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</si>
  <si>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</si>
  <si>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</si>
  <si>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</si>
  <si>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</si>
  <si>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</si>
  <si>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</si>
  <si>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</si>
  <si>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</si>
  <si>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</si>
  <si>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</si>
  <si>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</si>
  <si>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</si>
  <si>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</si>
  <si>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</si>
  <si>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</si>
  <si>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</si>
  <si>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</si>
  <si>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</si>
  <si>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</si>
  <si>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</si>
  <si>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</si>
  <si>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</si>
  <si>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</si>
  <si>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</si>
  <si>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</si>
  <si>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</si>
  <si>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</si>
  <si>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</si>
  <si>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</si>
  <si>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</si>
  <si>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</si>
  <si>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</si>
  <si>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</si>
  <si>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</si>
  <si>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</si>
  <si>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</si>
  <si>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</si>
  <si>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</si>
  <si>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</si>
  <si>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</si>
  <si>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</si>
  <si>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</si>
  <si>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</si>
  <si>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</si>
  <si>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</si>
  <si>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</si>
  <si>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</si>
  <si>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</si>
  <si>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</si>
  <si>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</si>
  <si>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</si>
  <si>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</si>
  <si>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</si>
  <si>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</si>
  <si>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</si>
  <si>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</si>
  <si>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</si>
  <si>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</si>
  <si>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</si>
  <si>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</si>
  <si>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</si>
  <si>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</si>
  <si>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</si>
  <si>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</si>
  <si>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</si>
  <si>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</si>
  <si>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</si>
  <si>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</si>
  <si>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</si>
  <si>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</si>
  <si>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</si>
  <si>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</si>
  <si>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</si>
  <si>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</si>
  <si>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</si>
  <si>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</si>
  <si>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</si>
  <si>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</si>
  <si>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</si>
  <si>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</si>
  <si>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</si>
  <si>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</si>
  <si>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</si>
  <si>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</si>
  <si>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</si>
  <si>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</si>
  <si>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</si>
  <si>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</si>
  <si>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</si>
  <si>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</si>
  <si>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</si>
  <si>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</si>
  <si>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</si>
  <si>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</si>
  <si>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</si>
  <si>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</si>
  <si>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</si>
  <si>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</si>
  <si>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</si>
  <si>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</si>
  <si>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</si>
  <si>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</si>
  <si>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</si>
  <si>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</si>
  <si>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</si>
  <si>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</si>
  <si>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</si>
  <si>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</si>
  <si>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</si>
  <si>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</si>
  <si>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</si>
  <si>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</si>
  <si>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</si>
  <si>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</si>
  <si>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</si>
  <si>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</si>
  <si>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</si>
  <si>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</si>
  <si>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</si>
  <si>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</si>
  <si>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</si>
  <si>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</si>
  <si>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</si>
  <si>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</si>
  <si>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</si>
  <si>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</si>
  <si>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</si>
  <si>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</si>
  <si>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</si>
  <si>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</si>
  <si>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</si>
  <si>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</si>
  <si>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</si>
  <si>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</si>
  <si>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</si>
  <si>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</si>
  <si>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</si>
  <si>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</si>
  <si>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</si>
  <si>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</si>
  <si>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</si>
  <si>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</si>
  <si>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</si>
  <si>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</si>
  <si>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</si>
  <si>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</si>
  <si>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</si>
  <si>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</si>
  <si>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</si>
  <si>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</si>
  <si>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</si>
  <si>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</si>
  <si>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</si>
  <si>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</si>
  <si>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</si>
  <si>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</si>
  <si>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</si>
  <si>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</si>
  <si>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</si>
  <si>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</si>
  <si>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</si>
  <si>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</si>
  <si>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</si>
  <si>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</si>
  <si>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</si>
  <si>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</si>
  <si>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</si>
  <si>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</si>
  <si>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</si>
  <si>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</si>
  <si>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</si>
  <si>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</si>
  <si>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</si>
  <si>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</si>
  <si>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</si>
  <si>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</si>
  <si>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</si>
  <si>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</si>
  <si>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</si>
  <si>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</si>
  <si>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</si>
  <si>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</si>
  <si>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</si>
  <si>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</si>
  <si>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</si>
  <si>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</si>
  <si>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</si>
  <si>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</si>
  <si>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</si>
  <si>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</si>
  <si>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</si>
  <si>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</si>
  <si>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</si>
  <si>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</si>
  <si>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</si>
  <si>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</si>
  <si>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</si>
  <si>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</si>
  <si>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</si>
  <si>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</si>
  <si>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</si>
  <si>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</si>
  <si>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</si>
  <si>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</si>
  <si>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</si>
  <si>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</si>
  <si>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</si>
  <si>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</si>
  <si>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</si>
  <si>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</si>
  <si>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</si>
  <si>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</si>
  <si>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</si>
  <si>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</si>
  <si>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</si>
  <si>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</si>
  <si>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</si>
  <si>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</si>
  <si>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</si>
  <si>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</si>
  <si>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</si>
  <si>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</si>
  <si>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</si>
  <si>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</si>
  <si>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</si>
  <si>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</si>
  <si>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</si>
  <si>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</si>
  <si>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</si>
  <si>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</si>
  <si>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</si>
  <si>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</si>
  <si>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</si>
  <si>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</si>
  <si>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</si>
  <si>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</si>
  <si>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</si>
  <si>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</si>
  <si>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</si>
  <si>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</si>
  <si>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</si>
  <si>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</si>
  <si>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</si>
  <si>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</si>
  <si>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</si>
  <si>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</si>
  <si>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</si>
  <si>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</si>
  <si>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</si>
  <si>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</si>
  <si>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</si>
  <si>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</si>
  <si>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</si>
  <si>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</si>
  <si>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</si>
  <si>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</si>
  <si>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</si>
  <si>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</si>
  <si>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</si>
  <si>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</si>
  <si>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</si>
  <si>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</si>
  <si>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</si>
  <si>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</si>
  <si>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</si>
  <si>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</si>
  <si>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</si>
  <si>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</si>
  <si>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</si>
  <si>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</si>
  <si>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</si>
  <si>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</si>
  <si>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</si>
  <si>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</si>
  <si>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</si>
  <si>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</si>
  <si>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</si>
  <si>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</si>
  <si>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</si>
  <si>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</si>
  <si>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</si>
  <si>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</si>
  <si>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</si>
  <si>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</si>
  <si>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</si>
  <si>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</si>
  <si>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</si>
  <si>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</si>
  <si>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</si>
  <si>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</si>
  <si>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</si>
  <si>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</si>
  <si>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</si>
  <si>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</si>
  <si>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</si>
  <si>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</si>
  <si>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</si>
  <si>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</si>
  <si>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</si>
  <si>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</si>
  <si>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</si>
  <si>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</si>
  <si>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</si>
  <si>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</si>
  <si>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</si>
  <si>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</si>
  <si>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</si>
  <si>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</si>
  <si>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</si>
  <si>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</si>
  <si>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</si>
  <si>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</si>
  <si>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</si>
  <si>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</si>
  <si>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</si>
  <si>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</si>
  <si>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</si>
  <si>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</si>
  <si>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</si>
  <si>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</si>
  <si>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</si>
  <si>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</si>
  <si>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</si>
  <si>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</si>
  <si>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</si>
  <si>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</si>
  <si>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</si>
  <si>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</si>
  <si>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</si>
  <si>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</si>
  <si>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</si>
  <si>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</si>
  <si>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</si>
  <si>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</si>
  <si>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</si>
  <si>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</si>
  <si>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</si>
  <si>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</si>
  <si>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</si>
  <si>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</si>
  <si>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</si>
  <si>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</si>
  <si>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</si>
  <si>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</si>
  <si>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</si>
  <si>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</si>
  <si>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</si>
  <si>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</si>
  <si>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</si>
  <si>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</si>
  <si>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</si>
  <si>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</si>
  <si>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</si>
  <si>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</si>
  <si>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</si>
  <si>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</si>
  <si>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</si>
  <si>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</si>
  <si>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</si>
  <si>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</si>
  <si>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</si>
  <si>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</si>
  <si>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</si>
  <si>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</si>
  <si>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</si>
  <si>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</si>
  <si>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</si>
  <si>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</si>
  <si>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</si>
  <si>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</si>
  <si>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</si>
  <si>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</si>
  <si>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</si>
  <si>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</si>
  <si>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</si>
  <si>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</si>
  <si>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</si>
  <si>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</si>
  <si>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</si>
  <si>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</si>
  <si>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</si>
  <si>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</si>
  <si>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</si>
  <si>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</si>
  <si>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</si>
  <si>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</si>
  <si>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</si>
  <si>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</si>
  <si>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</si>
  <si>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</si>
  <si>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</si>
  <si>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</si>
  <si>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</si>
  <si>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</si>
  <si>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</si>
  <si>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</si>
  <si>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</si>
  <si>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</si>
  <si>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</si>
  <si>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</si>
  <si>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</si>
  <si>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</si>
  <si>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</si>
  <si>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</si>
  <si>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</si>
  <si>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</si>
  <si>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</si>
  <si>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</si>
  <si>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</si>
  <si>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</si>
  <si>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</si>
  <si>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</si>
  <si>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</si>
  <si>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</si>
  <si>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</si>
  <si>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</si>
  <si>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</si>
  <si>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</si>
  <si>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</si>
  <si>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</si>
  <si>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</si>
  <si>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</si>
  <si>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</si>
  <si>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</si>
  <si>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</si>
  <si>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</si>
  <si>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</si>
  <si>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</si>
  <si>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</si>
  <si>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</si>
  <si>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</si>
  <si>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</si>
  <si>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</si>
  <si>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</si>
  <si>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</si>
  <si>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</si>
  <si>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</si>
  <si>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</si>
  <si>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</si>
  <si>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</si>
  <si>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</si>
  <si>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</si>
  <si>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</si>
  <si>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</si>
  <si>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</si>
  <si>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</si>
  <si>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</si>
  <si>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</si>
  <si>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</si>
  <si>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</si>
  <si>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</si>
  <si>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</si>
  <si>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</si>
  <si>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</si>
  <si>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</si>
  <si>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</si>
  <si>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</si>
  <si>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</si>
  <si>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</si>
  <si>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</si>
  <si>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</si>
  <si>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</si>
  <si>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</si>
  <si>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</si>
  <si>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</si>
  <si>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</si>
  <si>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</si>
  <si>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</si>
  <si>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</si>
  <si>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</si>
  <si>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</si>
  <si>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</si>
  <si>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</si>
  <si>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</si>
  <si>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</si>
  <si>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</si>
  <si>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</si>
  <si>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</si>
  <si>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</si>
  <si>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</si>
  <si>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</si>
  <si>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</si>
  <si>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</si>
  <si>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</si>
  <si>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</si>
  <si>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</si>
  <si>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</si>
  <si>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</si>
  <si>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</si>
  <si>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</si>
  <si>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</si>
  <si>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</si>
  <si>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</si>
  <si>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</si>
  <si>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</si>
  <si>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</si>
  <si>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</si>
  <si>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</si>
  <si>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</si>
  <si>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</si>
  <si>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</si>
  <si>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</si>
  <si>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</si>
  <si>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</si>
  <si>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</si>
  <si>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</si>
  <si>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</si>
  <si>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</si>
  <si>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</si>
  <si>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</si>
  <si>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</si>
  <si>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</si>
  <si>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</si>
  <si>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</si>
  <si>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</si>
  <si>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</si>
  <si>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</si>
  <si>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</si>
  <si>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</si>
  <si>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</si>
  <si>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</si>
  <si>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</si>
  <si>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</si>
  <si>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</si>
  <si>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</si>
  <si>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</si>
  <si>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</si>
  <si>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</si>
  <si>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</si>
  <si>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</si>
  <si>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</si>
  <si>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</si>
  <si>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</si>
  <si>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</si>
  <si>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</si>
  <si>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</si>
  <si>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</si>
  <si>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</si>
  <si>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</si>
  <si>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</si>
  <si>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</si>
  <si>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</si>
  <si>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</si>
  <si>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</si>
  <si>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</si>
  <si>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</si>
  <si>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</si>
  <si>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</si>
  <si>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</si>
  <si>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</si>
  <si>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</si>
  <si>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</si>
  <si>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</si>
  <si>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</si>
  <si>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</si>
  <si>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</si>
  <si>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</si>
  <si>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</si>
  <si>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</si>
  <si>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</si>
  <si>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</si>
  <si>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</si>
  <si>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</si>
  <si>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</si>
  <si>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</si>
  <si>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</si>
  <si>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</si>
  <si>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</si>
  <si>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</si>
  <si>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</si>
  <si>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</si>
  <si>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</si>
  <si>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</si>
  <si>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</si>
  <si>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</si>
  <si>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</si>
  <si>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</si>
  <si>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</si>
  <si>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</si>
  <si>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</si>
  <si>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</si>
  <si>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</si>
  <si>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</si>
  <si>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</si>
  <si>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</si>
  <si>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</si>
  <si>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</si>
  <si>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</si>
  <si>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</si>
  <si>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</si>
  <si>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</si>
  <si>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</si>
  <si>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</si>
  <si>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</si>
  <si>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</si>
  <si>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</si>
  <si>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</si>
  <si>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</si>
  <si>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</si>
  <si>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</si>
  <si>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</si>
  <si>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</si>
  <si>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</si>
  <si>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</si>
  <si>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</si>
  <si>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</si>
  <si>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</si>
  <si>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</si>
  <si>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</si>
  <si>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</si>
  <si>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</si>
  <si>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</si>
  <si>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</si>
  <si>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</si>
  <si>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</si>
  <si>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</si>
  <si>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</si>
  <si>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</si>
  <si>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</si>
  <si>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</si>
  <si>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</si>
  <si>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</si>
  <si>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</si>
  <si>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</si>
  <si>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</si>
  <si>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</si>
  <si>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</si>
  <si>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</si>
  <si>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</si>
  <si>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</si>
  <si>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</si>
  <si>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</si>
  <si>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</si>
  <si>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</si>
  <si>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</si>
  <si>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</si>
  <si>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</si>
  <si>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</si>
  <si>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</si>
  <si>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</si>
  <si>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</si>
  <si>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</si>
  <si>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</si>
  <si>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</si>
  <si>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</si>
  <si>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</si>
  <si>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</si>
  <si>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</si>
  <si>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</si>
  <si>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</si>
  <si>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</si>
  <si>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</si>
  <si>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</si>
  <si>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</si>
  <si>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</si>
  <si>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</si>
  <si>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</si>
  <si>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</si>
  <si>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</si>
  <si>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</si>
  <si>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</si>
  <si>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</si>
  <si>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</si>
  <si>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</si>
  <si>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</si>
  <si>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</si>
  <si>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</si>
  <si>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</si>
  <si>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</si>
  <si>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</si>
  <si>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</si>
  <si>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</si>
  <si>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</si>
  <si>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</si>
  <si>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</si>
  <si>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</si>
  <si>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</si>
  <si>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</si>
  <si>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</si>
  <si>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</si>
  <si>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</si>
  <si>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</si>
  <si>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</si>
  <si>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</si>
  <si>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</si>
  <si>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</si>
  <si>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</si>
  <si>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</si>
  <si>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</si>
  <si>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</si>
  <si>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</si>
  <si>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</si>
  <si>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</si>
  <si>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</si>
  <si>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</si>
  <si>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</si>
  <si>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</si>
  <si>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</si>
  <si>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</si>
  <si>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</si>
  <si>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</si>
  <si>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</si>
  <si>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</si>
  <si>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</si>
  <si>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</si>
  <si>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</si>
  <si>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</si>
  <si>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</si>
  <si>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</si>
  <si>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</si>
  <si>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</si>
  <si>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</si>
  <si>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</si>
  <si>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</si>
  <si>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</si>
  <si>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</si>
  <si>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</si>
  <si>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</si>
  <si>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</si>
  <si>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</si>
  <si>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</si>
  <si>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</si>
  <si>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</si>
  <si>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</si>
  <si>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</si>
  <si>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</si>
  <si>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</si>
  <si>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</si>
  <si>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</si>
  <si>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</si>
  <si>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</si>
  <si>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</si>
  <si>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</si>
  <si>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</si>
  <si>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</si>
  <si>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</si>
  <si>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</si>
  <si>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</si>
  <si>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</si>
  <si>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</si>
  <si>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</si>
  <si>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</si>
  <si>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</si>
  <si>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</si>
  <si>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</si>
  <si>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</si>
  <si>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</si>
  <si>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</si>
  <si>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</si>
  <si>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</si>
  <si>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</si>
  <si>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</si>
  <si>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</si>
  <si>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</si>
  <si>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</si>
  <si>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</si>
  <si>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</si>
  <si>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</si>
  <si>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</si>
  <si>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</si>
  <si>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</si>
  <si>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</si>
  <si>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</si>
  <si>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</si>
  <si>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</si>
  <si>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</si>
  <si>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</si>
  <si>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</si>
  <si>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</si>
  <si>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</si>
  <si>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</si>
  <si>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</si>
  <si>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</si>
  <si>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</si>
  <si>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</si>
  <si>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</si>
  <si>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</si>
  <si>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</si>
  <si>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</si>
  <si>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</si>
  <si>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</si>
  <si>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</si>
  <si>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</si>
  <si>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</si>
  <si>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</si>
  <si>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</si>
  <si>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</si>
  <si>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</si>
  <si>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</si>
  <si>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</si>
  <si>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</si>
  <si>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</si>
  <si>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</si>
  <si>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</si>
  <si>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</si>
  <si>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</si>
  <si>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</si>
  <si>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</si>
  <si>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</si>
  <si>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</si>
  <si>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</si>
  <si>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</si>
  <si>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</si>
  <si>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</si>
  <si>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</si>
  <si>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</si>
  <si>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</si>
  <si>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</si>
  <si>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</si>
  <si>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</si>
  <si>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</si>
  <si>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</si>
  <si>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</si>
  <si>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</si>
  <si>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</si>
  <si>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</si>
  <si>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</si>
  <si>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</si>
  <si>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</si>
  <si>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</si>
  <si>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</si>
  <si>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</si>
  <si>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</si>
  <si>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</si>
  <si>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</si>
  <si>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</si>
  <si>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</si>
  <si>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</si>
  <si>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</si>
  <si>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</si>
  <si>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</si>
  <si>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</si>
  <si>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</si>
  <si>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</si>
  <si>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</si>
  <si>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</si>
  <si>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</si>
  <si>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</si>
  <si>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</si>
  <si>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</si>
  <si>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</si>
  <si>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</si>
  <si>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</si>
  <si>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</si>
  <si>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</si>
  <si>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</si>
  <si>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</si>
  <si>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</si>
  <si>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</si>
  <si>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</si>
  <si>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</si>
  <si>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</si>
  <si>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</si>
  <si>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</si>
  <si>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</si>
  <si>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</si>
  <si>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</si>
  <si>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</si>
  <si>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</si>
  <si>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</si>
  <si>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</si>
  <si>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</si>
  <si>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</si>
  <si>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</si>
  <si>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</si>
  <si>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</si>
  <si>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</si>
  <si>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</si>
  <si>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</si>
  <si>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</si>
  <si>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</si>
  <si>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</si>
  <si>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</si>
  <si>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</si>
  <si>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</si>
  <si>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</si>
  <si>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</si>
  <si>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</si>
  <si>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</si>
  <si>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</si>
  <si>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</si>
  <si>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</si>
  <si>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</si>
  <si>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</si>
  <si>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</si>
  <si>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</si>
  <si>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</si>
  <si>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</si>
  <si>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</si>
  <si>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</si>
  <si>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</si>
  <si>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</si>
  <si>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</si>
  <si>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</si>
  <si>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</si>
  <si>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</si>
  <si>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</si>
  <si>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</si>
  <si>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</si>
  <si>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</si>
  <si>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</si>
  <si>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</si>
  <si>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</si>
  <si>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</si>
  <si>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</si>
  <si>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</si>
  <si>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</si>
  <si>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</si>
  <si>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</si>
  <si>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</si>
  <si>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</si>
  <si>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</si>
  <si>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</si>
  <si>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</si>
  <si>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</si>
  <si>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</si>
  <si>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</si>
  <si>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</si>
  <si>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</si>
  <si>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</si>
  <si>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</si>
  <si>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</si>
  <si>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</si>
  <si>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</si>
  <si>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</si>
  <si>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</si>
  <si>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</si>
  <si>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</si>
  <si>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</si>
  <si>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</si>
  <si>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</si>
  <si>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</si>
  <si>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</si>
  <si>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</si>
  <si>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</si>
  <si>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</si>
  <si>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</si>
  <si>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</si>
  <si>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</si>
  <si>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</si>
  <si>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</si>
  <si>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</si>
  <si>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</si>
  <si>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</si>
  <si>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</si>
  <si>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</si>
  <si>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</si>
  <si>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Crawford</t>
  </si>
  <si>
    <t>Hutsonville CUSD 1</t>
  </si>
  <si>
    <t>500 W Clover Street</t>
  </si>
  <si>
    <t>Hutsonville</t>
  </si>
  <si>
    <t>lori.crumrin@hutsonvilletigers.net</t>
  </si>
  <si>
    <t>Julie Kraemer</t>
  </si>
  <si>
    <t>julie.kraemer@hutsonvilletigers.com</t>
  </si>
  <si>
    <t>618-563-4912</t>
  </si>
  <si>
    <t>618-563-9122</t>
  </si>
  <si>
    <t>Kemper CPA Group</t>
  </si>
  <si>
    <t>Brian Bradbury</t>
  </si>
  <si>
    <t>302 E. Walnut Street</t>
  </si>
  <si>
    <t>Robinson</t>
  </si>
  <si>
    <t>IL</t>
  </si>
  <si>
    <t>618-546-1502</t>
  </si>
  <si>
    <t>618-544-2140</t>
  </si>
  <si>
    <t>066-003998</t>
  </si>
  <si>
    <t>bbradbury@kempercpa.com</t>
  </si>
  <si>
    <t>The Auditor's Report issued a qualified opinion because the financial statements do not include disclosures regarding postemployment health insurance benefits as required by GASB Statement 75 as required by the financial reporting provisions of the ISBE.</t>
  </si>
  <si>
    <t>Series 2013 General Obligation Refunding Bonds</t>
  </si>
  <si>
    <t>South Eastern Special Education</t>
  </si>
  <si>
    <t>TF-Support Services-Purchased Services</t>
  </si>
  <si>
    <t>Crawford Memorial</t>
  </si>
  <si>
    <t>80-2300-300</t>
  </si>
  <si>
    <t>10-2100-300</t>
  </si>
  <si>
    <t>ED-Support Services-Purchased Services</t>
  </si>
  <si>
    <t>Crawford County Health Dept</t>
  </si>
  <si>
    <t>Renaissance Learning</t>
  </si>
  <si>
    <t>10-1000-300</t>
  </si>
  <si>
    <t>ED-Instruction-Puchased Services</t>
  </si>
  <si>
    <t>Apptegy</t>
  </si>
  <si>
    <t>10-2300-300</t>
  </si>
  <si>
    <t>Twin Reivers Vocational System</t>
  </si>
  <si>
    <t>Page 10, Line 72, Column 10, Sales to Pupils - Other: Foods sales to other individuals $10,578</t>
  </si>
  <si>
    <t>Page 12, Line 168, Column 10, Other Restricted Revenue from State Sources: State Library Grants $750 and Other State Education Grants $569</t>
  </si>
  <si>
    <t>Page 14, Line 265, Column 10, Other Restricted Revenue from Federal Sources: Rural Achievemt Grant $19,227</t>
  </si>
  <si>
    <t>Page 15, Line 41, Column 300, Other Support Services - Puplis: Graduation speaker $100</t>
  </si>
  <si>
    <t>Page 15, Line 41, Column 400, Other Support Services - Puplis: Graduation supplies $1,366</t>
  </si>
  <si>
    <t>Page 18, Line 171, Column 600, Debt Services - Other: Bank fees - $500</t>
  </si>
  <si>
    <t>Internal controls should be in place to provide reasonable assurance that cash receipts and disbursements are properly recorded and authorized.</t>
  </si>
  <si>
    <t>In the absence of proper segregation of duties over cash receipts and disbursements, improper transactions may occur.</t>
  </si>
  <si>
    <t>Due to a lack of segregation of duties over cash receipts and disbursements, cash transactions may occur that are not properly recorded or authorized.</t>
  </si>
  <si>
    <t>The District does not have the resources to hire additional staff to adequately segregate duties.</t>
  </si>
  <si>
    <t>Job duties should be segregated to prevent any one person from controlling conflicting aspects of any single transaction.</t>
  </si>
  <si>
    <t>Due to limited personnel, management believes it is unfeasible to correct this deficiency.</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</si>
  <si>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</si>
  <si>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</si>
  <si>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</si>
  <si>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</si>
  <si>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 xml:space="preserve">The District's personnel have not obtained the necessary knowledge or expertise. </t>
  </si>
  <si>
    <t>The District should provide the necessary training to personnel or contract with an independent contractor with the knowledge to properly prepare the notes to the financial statements</t>
  </si>
  <si>
    <t>The District does not intend to correct the findings in the next fiscal year.</t>
  </si>
  <si>
    <t>2018-001</t>
  </si>
  <si>
    <t>The District has inadequate controls</t>
  </si>
  <si>
    <t>over cash receipts and disbursements due</t>
  </si>
  <si>
    <t>to a lack of segregation of duties</t>
  </si>
  <si>
    <t>Repeated as Financial Statement Finding 2019-001</t>
  </si>
  <si>
    <t>2018-002</t>
  </si>
  <si>
    <t xml:space="preserve">The District does not have an individual with </t>
  </si>
  <si>
    <t xml:space="preserve">the necessary knowledge and technical </t>
  </si>
  <si>
    <t xml:space="preserve">expertise to properly prepare the notes to the </t>
  </si>
  <si>
    <t>financial statements</t>
  </si>
  <si>
    <t>Repeated as Financial Statement Finding 2019-002</t>
  </si>
  <si>
    <t>Page 10, Line 107, Column 20, Other Local Revenues: Utility rebates $1,248 &amp; receipt for teacher resources $9,160</t>
  </si>
  <si>
    <t>Page 10, Line 107, Column 40, Other Local Revenues: Bus rental $1,000 &amp; other miscellaneous receipts $2,793</t>
  </si>
  <si>
    <t>Page 10, Line 107, Column 80, Other Local Revenues: Miscellaneous receipts $76</t>
  </si>
  <si>
    <t>Page 10, Line 107, Column 10, Other Local Revenues: Fitness membership income $935, rent income $1,200; and miscellaneous reimbursement income $11,616</t>
  </si>
  <si>
    <t>The District has inadequate controls over cash receipts and disbursements due to a lack of segregation of duties.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</si>
</sst>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4</xdr:row>
          <xdr:rowOff>19050</xdr:rowOff>
        </xdr:from>
        <xdr:to>
          <xdr:col>1</xdr:col>
          <xdr:colOff>2228850</xdr:colOff>
          <xdr:row>8</xdr:row>
          <xdr:rowOff>57150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4</xdr:row>
          <xdr:rowOff>28575</xdr:rowOff>
        </xdr:from>
        <xdr:to>
          <xdr:col>1</xdr:col>
          <xdr:colOff>3495675</xdr:colOff>
          <xdr:row>8</xdr:row>
          <xdr:rowOff>66675</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3924300</xdr:colOff>
          <xdr:row>4</xdr:row>
          <xdr:rowOff>9525</xdr:rowOff>
        </xdr:from>
        <xdr:to>
          <xdr:col>3</xdr:col>
          <xdr:colOff>247650</xdr:colOff>
          <xdr:row>8</xdr:row>
          <xdr:rowOff>47625</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12017001026</v>
      </c>
      <c r="B13" s="2022"/>
      <c r="C13" s="2022"/>
      <c r="D13" s="2022"/>
      <c r="E13" s="2022"/>
      <c r="F13" s="2022"/>
      <c r="G13" s="2022"/>
      <c r="H13" s="2023"/>
      <c r="I13" s="31"/>
      <c r="J13" s="30"/>
      <c r="K13" s="28"/>
      <c r="L13" s="30"/>
      <c r="M13" s="30"/>
      <c r="N13" s="30"/>
      <c r="O13" s="30"/>
      <c r="P13" s="30"/>
      <c r="Q13" s="30"/>
      <c r="R13" s="30"/>
      <c r="S13" s="30"/>
      <c r="T13" s="2026" t="s">
        <v>2075</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2066</v>
      </c>
      <c r="B15" s="2024"/>
      <c r="C15" s="2024"/>
      <c r="D15" s="2024"/>
      <c r="E15" s="2024"/>
      <c r="F15" s="2024"/>
      <c r="G15" s="2024"/>
      <c r="H15" s="2025"/>
      <c r="T15" s="2030" t="s">
        <v>2076</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2067</v>
      </c>
      <c r="B17" s="1981"/>
      <c r="C17" s="1981"/>
      <c r="D17" s="1981"/>
      <c r="E17" s="1981"/>
      <c r="F17" s="1981"/>
      <c r="G17" s="1981"/>
      <c r="H17" s="2006"/>
      <c r="T17" s="2037" t="s">
        <v>2077</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2068</v>
      </c>
      <c r="B19" s="1966"/>
      <c r="C19" s="1966"/>
      <c r="D19" s="1966"/>
      <c r="E19" s="1966"/>
      <c r="F19" s="1966"/>
      <c r="G19" s="1966"/>
      <c r="H19" s="1946"/>
      <c r="I19" s="30"/>
      <c r="J19" s="99"/>
      <c r="K19" s="40"/>
      <c r="L19" s="38"/>
      <c r="M19" s="112" t="s">
        <v>315</v>
      </c>
      <c r="P19" s="27"/>
      <c r="Q19" s="27"/>
      <c r="R19" s="27"/>
      <c r="S19" s="31"/>
      <c r="T19" s="2020" t="s">
        <v>2078</v>
      </c>
      <c r="U19" s="1945"/>
      <c r="V19" s="1945"/>
      <c r="W19" s="1946"/>
      <c r="X19" s="2035" t="s">
        <v>2079</v>
      </c>
      <c r="Y19" s="2036"/>
      <c r="Z19" s="2033">
        <v>62454</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2069</v>
      </c>
      <c r="B21" s="1945"/>
      <c r="C21" s="1945"/>
      <c r="D21" s="1945"/>
      <c r="E21" s="1945"/>
      <c r="F21" s="1945"/>
      <c r="G21" s="1945"/>
      <c r="H21" s="1946"/>
      <c r="I21" s="2000" t="s">
        <v>678</v>
      </c>
      <c r="J21" s="1995"/>
      <c r="K21" s="1995"/>
      <c r="L21" s="1995"/>
      <c r="M21" s="1995"/>
      <c r="N21" s="1995"/>
      <c r="O21" s="1995"/>
      <c r="P21" s="1995"/>
      <c r="Q21" s="1995"/>
      <c r="R21" s="1995"/>
      <c r="S21" s="2001"/>
      <c r="T21" s="2044" t="s">
        <v>2080</v>
      </c>
      <c r="U21" s="2045"/>
      <c r="V21" s="2045"/>
      <c r="W21" s="2045"/>
      <c r="X21" s="2050" t="s">
        <v>2081</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2070</v>
      </c>
      <c r="B23" s="1998"/>
      <c r="C23" s="1998"/>
      <c r="D23" s="1998"/>
      <c r="E23" s="1998"/>
      <c r="F23" s="1998"/>
      <c r="G23" s="1998"/>
      <c r="H23" s="1999"/>
      <c r="T23" s="1980" t="s">
        <v>2082</v>
      </c>
      <c r="U23" s="2043"/>
      <c r="V23" s="2043"/>
      <c r="W23" s="2043"/>
      <c r="X23" s="2047">
        <v>44469</v>
      </c>
      <c r="Y23" s="2048"/>
      <c r="Z23" s="2048"/>
      <c r="AA23" s="2049"/>
    </row>
    <row r="24" spans="1:27" ht="14.1" customHeight="1" x14ac:dyDescent="0.2">
      <c r="A24" s="88" t="s">
        <v>677</v>
      </c>
      <c r="B24" s="49"/>
      <c r="C24" s="49"/>
      <c r="D24" s="49"/>
      <c r="E24" s="49"/>
      <c r="F24" s="49"/>
      <c r="G24" s="49"/>
      <c r="H24" s="61"/>
      <c r="J24" s="1967" t="str">
        <f>IF(B5="x",IF(AUDITCHECK!D29="AFR form Incomplete.","",IF(AUDITCHECK!D29="Deficit reduction plan is required.","School District must complete a deficit reduction plan in the 2019-2020 Budget",)),"")</f>
        <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62433</v>
      </c>
      <c r="B25" s="1945"/>
      <c r="C25" s="1945"/>
      <c r="D25" s="1945"/>
      <c r="E25" s="1945"/>
      <c r="F25" s="1945"/>
      <c r="G25" s="1945"/>
      <c r="H25" s="1946"/>
      <c r="I25" s="113"/>
      <c r="J25" s="1969"/>
      <c r="K25" s="1969"/>
      <c r="L25" s="1969"/>
      <c r="M25" s="1969"/>
      <c r="N25" s="1969"/>
      <c r="O25" s="1969"/>
      <c r="P25" s="1969"/>
      <c r="Q25" s="1969"/>
      <c r="R25" s="1969"/>
      <c r="S25" s="1970"/>
      <c r="T25" s="2040" t="s">
        <v>2083</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2071</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2072</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2073</v>
      </c>
      <c r="B42" s="1964"/>
      <c r="C42" s="1965"/>
      <c r="D42" s="1963" t="s">
        <v>2074</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6" sqref="D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613751</v>
      </c>
      <c r="C4" s="1524"/>
      <c r="D4" s="1752">
        <f>B4-C4</f>
        <v>613751</v>
      </c>
      <c r="E4" s="1524">
        <v>658167</v>
      </c>
      <c r="F4" s="1752">
        <f>E4-C4</f>
        <v>658167</v>
      </c>
    </row>
    <row r="5" spans="1:6" ht="13.7" customHeight="1" x14ac:dyDescent="0.2">
      <c r="A5" s="715" t="s">
        <v>870</v>
      </c>
      <c r="B5" s="1750">
        <f>'Revenues 9-14'!D5</f>
        <v>118136</v>
      </c>
      <c r="C5" s="585"/>
      <c r="D5" s="1753">
        <f t="shared" ref="D5:D18" si="0">B5-C5</f>
        <v>118136</v>
      </c>
      <c r="E5" s="585">
        <v>126571</v>
      </c>
      <c r="F5" s="1753">
        <f>E5-C5</f>
        <v>126571</v>
      </c>
    </row>
    <row r="6" spans="1:6" ht="13.7" customHeight="1" x14ac:dyDescent="0.2">
      <c r="A6" s="715" t="s">
        <v>411</v>
      </c>
      <c r="B6" s="1750">
        <f>'Revenues 9-14'!E5</f>
        <v>95796</v>
      </c>
      <c r="C6" s="585"/>
      <c r="D6" s="1753">
        <f t="shared" si="0"/>
        <v>95796</v>
      </c>
      <c r="E6" s="585">
        <v>97053</v>
      </c>
      <c r="F6" s="1753">
        <f t="shared" ref="F6:F18" si="1">E6-C6</f>
        <v>97053</v>
      </c>
    </row>
    <row r="7" spans="1:6" ht="13.7" customHeight="1" x14ac:dyDescent="0.2">
      <c r="A7" s="715" t="s">
        <v>155</v>
      </c>
      <c r="B7" s="1750">
        <f>'Revenues 9-14'!F5</f>
        <v>47230</v>
      </c>
      <c r="C7" s="585"/>
      <c r="D7" s="1753">
        <f t="shared" si="0"/>
        <v>47230</v>
      </c>
      <c r="E7" s="585">
        <v>50628</v>
      </c>
      <c r="F7" s="1753">
        <f t="shared" si="1"/>
        <v>50628</v>
      </c>
    </row>
    <row r="8" spans="1:6" ht="13.7" customHeight="1" x14ac:dyDescent="0.2">
      <c r="A8" s="715" t="s">
        <v>1179</v>
      </c>
      <c r="B8" s="1750">
        <f>'Revenues 9-14'!G5</f>
        <v>52694</v>
      </c>
      <c r="C8" s="585"/>
      <c r="D8" s="1753">
        <f t="shared" si="0"/>
        <v>52694</v>
      </c>
      <c r="E8" s="585">
        <v>54783</v>
      </c>
      <c r="F8" s="1753">
        <f t="shared" si="1"/>
        <v>54783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11777</v>
      </c>
      <c r="C10" s="585"/>
      <c r="D10" s="1753">
        <f t="shared" si="0"/>
        <v>11777</v>
      </c>
      <c r="E10" s="585">
        <v>12657</v>
      </c>
      <c r="F10" s="1753">
        <f t="shared" si="1"/>
        <v>12657</v>
      </c>
    </row>
    <row r="11" spans="1:6" x14ac:dyDescent="0.2">
      <c r="A11" s="715" t="s">
        <v>409</v>
      </c>
      <c r="B11" s="1750">
        <f>'Revenues 9-14'!J5</f>
        <v>200820</v>
      </c>
      <c r="C11" s="585"/>
      <c r="D11" s="1753">
        <f t="shared" si="0"/>
        <v>200820</v>
      </c>
      <c r="E11" s="585">
        <v>204879</v>
      </c>
      <c r="F11" s="1753">
        <f t="shared" si="1"/>
        <v>204879</v>
      </c>
    </row>
    <row r="12" spans="1:6" ht="13.7" customHeight="1" x14ac:dyDescent="0.2">
      <c r="A12" s="715" t="s">
        <v>157</v>
      </c>
      <c r="B12" s="1750">
        <f>'Revenues 9-14'!K5</f>
        <v>11777</v>
      </c>
      <c r="C12" s="585"/>
      <c r="D12" s="1753">
        <f t="shared" si="0"/>
        <v>11777</v>
      </c>
      <c r="E12" s="585">
        <v>12657</v>
      </c>
      <c r="F12" s="1753">
        <f t="shared" si="1"/>
        <v>12657</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9470</v>
      </c>
      <c r="C14" s="585"/>
      <c r="D14" s="1753">
        <f t="shared" si="0"/>
        <v>9470</v>
      </c>
      <c r="E14" s="585">
        <v>10126</v>
      </c>
      <c r="F14" s="1753">
        <f t="shared" si="1"/>
        <v>10126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52694</v>
      </c>
      <c r="C16" s="585"/>
      <c r="D16" s="1753">
        <f t="shared" si="0"/>
        <v>52694</v>
      </c>
      <c r="E16" s="585">
        <v>54783</v>
      </c>
      <c r="F16" s="1753">
        <f t="shared" si="1"/>
        <v>54783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v>-3948</v>
      </c>
      <c r="F18" s="1753">
        <f t="shared" si="1"/>
        <v>-3948</v>
      </c>
    </row>
    <row r="19" spans="1:6" ht="13.7" customHeight="1" thickBot="1" x14ac:dyDescent="0.25">
      <c r="A19" s="1754" t="s">
        <v>1161</v>
      </c>
      <c r="B19" s="1751">
        <f>SUM(B4:B18)</f>
        <v>1214145</v>
      </c>
      <c r="C19" s="1751">
        <f>SUM(C4:C18)</f>
        <v>0</v>
      </c>
      <c r="D19" s="1751">
        <f>SUM(D4:D18)</f>
        <v>1214145</v>
      </c>
      <c r="E19" s="1751">
        <f>SUM(E4:E18)</f>
        <v>1278356</v>
      </c>
      <c r="F19" s="1751">
        <f>SUM(F4:F18)</f>
        <v>1278356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H54" sqref="H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4" t="s">
        <v>1954</v>
      </c>
      <c r="D2" s="723" t="s">
        <v>1955</v>
      </c>
      <c r="E2" s="723" t="s">
        <v>1956</v>
      </c>
      <c r="F2" s="1884" t="s">
        <v>1957</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5">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9" t="s">
        <v>631</v>
      </c>
      <c r="B15" s="2200"/>
      <c r="C15" s="1755">
        <f>SUM(C6:C14)</f>
        <v>0</v>
      </c>
      <c r="D15" s="1755">
        <f>SUM(D6:D14)</f>
        <v>0</v>
      </c>
      <c r="E15" s="1755">
        <f>SUM(E6:E14)</f>
        <v>0</v>
      </c>
      <c r="F15" s="1755">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388</v>
      </c>
      <c r="B19" s="2195"/>
      <c r="C19" s="726"/>
      <c r="D19" s="585"/>
      <c r="E19" s="726"/>
      <c r="F19" s="1755">
        <f>SUM(C19+D19)-E19</f>
        <v>0</v>
      </c>
    </row>
    <row r="20" spans="1:11" ht="12.75" customHeight="1" thickTop="1" thickBot="1" x14ac:dyDescent="0.25">
      <c r="A20" s="2194" t="s">
        <v>448</v>
      </c>
      <c r="B20" s="2195"/>
      <c r="C20" s="726"/>
      <c r="D20" s="585"/>
      <c r="E20" s="726"/>
      <c r="F20" s="1755">
        <f>SUM(C20+D20)-E20</f>
        <v>0</v>
      </c>
    </row>
    <row r="21" spans="1:11" ht="14.25" thickTop="1" thickBot="1" x14ac:dyDescent="0.25">
      <c r="A21" s="2199" t="s">
        <v>632</v>
      </c>
      <c r="B21" s="2200"/>
      <c r="C21" s="1755">
        <f>SUM(C17:C20)</f>
        <v>0</v>
      </c>
      <c r="D21" s="1755">
        <f>SUM(D17:D20)</f>
        <v>0</v>
      </c>
      <c r="E21" s="1755">
        <f>SUM(E17:E20)</f>
        <v>0</v>
      </c>
      <c r="F21" s="1755">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5">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5">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5">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2085</v>
      </c>
      <c r="B31" s="733">
        <v>41386</v>
      </c>
      <c r="C31" s="734">
        <v>938200</v>
      </c>
      <c r="D31" s="735">
        <v>3</v>
      </c>
      <c r="E31" s="734">
        <v>535200</v>
      </c>
      <c r="F31" s="734"/>
      <c r="G31" s="734"/>
      <c r="H31" s="734">
        <v>84700</v>
      </c>
      <c r="I31" s="1756">
        <f>((E31+F31)-H31)+G31</f>
        <v>450500</v>
      </c>
      <c r="J31" s="734">
        <v>444526</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938200</v>
      </c>
      <c r="D49" s="745"/>
      <c r="E49" s="1756">
        <f t="shared" ref="E49:J49" si="2">SUM(E31:E48)</f>
        <v>535200</v>
      </c>
      <c r="F49" s="1756">
        <f t="shared" si="2"/>
        <v>0</v>
      </c>
      <c r="G49" s="1756">
        <f t="shared" si="2"/>
        <v>0</v>
      </c>
      <c r="H49" s="1756">
        <f t="shared" si="2"/>
        <v>84700</v>
      </c>
      <c r="I49" s="1756">
        <f t="shared" si="2"/>
        <v>450500</v>
      </c>
      <c r="J49" s="1756">
        <f t="shared" si="2"/>
        <v>444526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O40" sqref="O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30"/>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1962</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v>9470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5507</v>
      </c>
    </row>
    <row r="10" spans="1:11" x14ac:dyDescent="0.2">
      <c r="A10" s="2220" t="s">
        <v>1813</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7"/>
      <c r="G12" s="1758">
        <f>SUM(G5:G11)</f>
        <v>0</v>
      </c>
      <c r="H12" s="1758">
        <f>SUM(H5:H11)</f>
        <v>9470</v>
      </c>
      <c r="I12" s="1758">
        <f>SUM(I5:I11)</f>
        <v>0</v>
      </c>
      <c r="J12" s="1758">
        <f>SUM(J5:J11)</f>
        <v>0</v>
      </c>
      <c r="K12" s="1758">
        <f>SUM(K5:K11)</f>
        <v>5507</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v>9470</v>
      </c>
      <c r="I14" s="771"/>
      <c r="J14" s="773"/>
      <c r="K14" s="765">
        <v>5507</v>
      </c>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9"/>
      <c r="G21" s="792"/>
      <c r="H21" s="796"/>
      <c r="I21" s="796"/>
      <c r="J21" s="1760">
        <f>SUM(J18:J20)</f>
        <v>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61"/>
      <c r="G23" s="1758">
        <f>SUM(G14:G16,G21,G22)</f>
        <v>0</v>
      </c>
      <c r="H23" s="1758">
        <f>SUM(H14:H16,H21,H22)</f>
        <v>9470</v>
      </c>
      <c r="I23" s="1758">
        <f>SUM(I14:I16,I21,I22)</f>
        <v>0</v>
      </c>
      <c r="J23" s="1758">
        <f>SUM(J14:J16,J21,J22)</f>
        <v>0</v>
      </c>
      <c r="K23" s="1758">
        <f>SUM(K14:K16,K21,K22)</f>
        <v>5507</v>
      </c>
    </row>
    <row r="24" spans="1:11" ht="14.25" thickTop="1" thickBot="1" x14ac:dyDescent="0.25">
      <c r="A24" s="2251" t="s">
        <v>1963</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M24" sqref="M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15425</v>
      </c>
      <c r="D5" s="841"/>
      <c r="E5" s="841"/>
      <c r="F5" s="1760">
        <f>(C5+D5)-E5</f>
        <v>15425</v>
      </c>
      <c r="G5" s="837"/>
      <c r="H5" s="842"/>
      <c r="I5" s="842"/>
      <c r="J5" s="842"/>
      <c r="K5" s="793"/>
      <c r="L5" s="1769">
        <f>F5-K5</f>
        <v>15425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7658784</v>
      </c>
      <c r="D8" s="844">
        <v>81431</v>
      </c>
      <c r="E8" s="844"/>
      <c r="F8" s="1760">
        <f>(C8+D8)-E8</f>
        <v>7740215</v>
      </c>
      <c r="G8" s="843">
        <v>50</v>
      </c>
      <c r="H8" s="765">
        <v>3022182</v>
      </c>
      <c r="I8" s="765">
        <v>130526</v>
      </c>
      <c r="J8" s="765"/>
      <c r="K8" s="1769">
        <f>(H8+I8)-J8</f>
        <v>3152708</v>
      </c>
      <c r="L8" s="1769">
        <f>F8-K8</f>
        <v>4587507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397541</v>
      </c>
      <c r="D10" s="846"/>
      <c r="E10" s="846"/>
      <c r="F10" s="1764">
        <f>(C10+D10)-E10</f>
        <v>397541</v>
      </c>
      <c r="G10" s="843">
        <v>20</v>
      </c>
      <c r="H10" s="847">
        <v>218959</v>
      </c>
      <c r="I10" s="847">
        <v>13494</v>
      </c>
      <c r="J10" s="847"/>
      <c r="K10" s="1769">
        <f>(H10+I10)-J10</f>
        <v>232453</v>
      </c>
      <c r="L10" s="1769">
        <f>F10-K10</f>
        <v>165088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260240</v>
      </c>
      <c r="D12" s="844"/>
      <c r="E12" s="844">
        <v>86845</v>
      </c>
      <c r="F12" s="1760">
        <f>(C12+D12)-E12</f>
        <v>173395</v>
      </c>
      <c r="G12" s="843">
        <v>10</v>
      </c>
      <c r="H12" s="765">
        <v>175070</v>
      </c>
      <c r="I12" s="765">
        <v>16718</v>
      </c>
      <c r="J12" s="765">
        <v>86845</v>
      </c>
      <c r="K12" s="1769">
        <f>(H12+I12)-J12</f>
        <v>104943</v>
      </c>
      <c r="L12" s="1769">
        <f>F12-K12</f>
        <v>68452</v>
      </c>
    </row>
    <row r="13" spans="1:14" ht="14.25" thickTop="1" thickBot="1" x14ac:dyDescent="0.25">
      <c r="A13" s="848" t="s">
        <v>1122</v>
      </c>
      <c r="B13" s="840">
        <v>252</v>
      </c>
      <c r="C13" s="844">
        <v>711960</v>
      </c>
      <c r="D13" s="844">
        <v>45799</v>
      </c>
      <c r="E13" s="844"/>
      <c r="F13" s="1760">
        <f>(C13+D13)-E13</f>
        <v>757759</v>
      </c>
      <c r="G13" s="843">
        <v>5</v>
      </c>
      <c r="H13" s="765">
        <v>681808</v>
      </c>
      <c r="I13" s="765">
        <v>18021</v>
      </c>
      <c r="J13" s="765"/>
      <c r="K13" s="1769">
        <f>(H13+I13)-J13</f>
        <v>699829</v>
      </c>
      <c r="L13" s="1769">
        <f>F13-K13</f>
        <v>57930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49698</v>
      </c>
      <c r="D15" s="844"/>
      <c r="E15" s="844">
        <v>49698</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9093648</v>
      </c>
      <c r="D16" s="1760">
        <f>SUM(D3,D5:D6,D8:D10,D12:D15)</f>
        <v>127230</v>
      </c>
      <c r="E16" s="1760">
        <f>SUM(E3,E5:E6,E8:E10,E12:E15)</f>
        <v>136543</v>
      </c>
      <c r="F16" s="1760">
        <f>SUM(F3,F5:F6,F8:F10,F12:F15)</f>
        <v>9084335</v>
      </c>
      <c r="G16" s="843"/>
      <c r="H16" s="1760">
        <f>SUM(H3,H6,H8:H10,H12:H14,)</f>
        <v>4098019</v>
      </c>
      <c r="I16" s="1760">
        <f>SUM(I3,I6,I8:I10,I12:I14,)</f>
        <v>178759</v>
      </c>
      <c r="J16" s="1760">
        <f>SUM(J3,J6,J8:J10,J12:J14,)</f>
        <v>86845</v>
      </c>
      <c r="K16" s="1760">
        <f>(H16+I16)-J16</f>
        <v>4189933</v>
      </c>
      <c r="L16" s="1760">
        <f>F16-K16</f>
        <v>4894402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42699</v>
      </c>
      <c r="G17" s="837">
        <v>10</v>
      </c>
      <c r="H17" s="769"/>
      <c r="I17" s="1769">
        <f>F17/G17</f>
        <v>4269.8999999999996</v>
      </c>
      <c r="J17" s="769"/>
      <c r="K17" s="795"/>
      <c r="L17" s="795"/>
    </row>
    <row r="18" spans="1:12" ht="14.25" thickTop="1" thickBot="1" x14ac:dyDescent="0.25">
      <c r="A18" s="1767" t="s">
        <v>685</v>
      </c>
      <c r="B18" s="1768"/>
      <c r="C18" s="771"/>
      <c r="D18" s="771"/>
      <c r="E18" s="771"/>
      <c r="F18" s="850"/>
      <c r="G18" s="851"/>
      <c r="H18" s="773"/>
      <c r="I18" s="1760">
        <f>SUM(I16,I17)</f>
        <v>183028.9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3327587</v>
      </c>
      <c r="G8" s="865"/>
    </row>
    <row r="9" spans="1:7" x14ac:dyDescent="0.2">
      <c r="A9" s="869" t="s">
        <v>460</v>
      </c>
      <c r="B9" s="870" t="s">
        <v>1876</v>
      </c>
      <c r="C9" s="871"/>
      <c r="D9" s="869" t="s">
        <v>501</v>
      </c>
      <c r="E9" s="868"/>
      <c r="F9" s="1909">
        <f>'Expenditures 15-22'!K151</f>
        <v>356000</v>
      </c>
      <c r="G9" s="872"/>
    </row>
    <row r="10" spans="1:7" x14ac:dyDescent="0.2">
      <c r="A10" s="869" t="s">
        <v>499</v>
      </c>
      <c r="B10" s="870" t="s">
        <v>1877</v>
      </c>
      <c r="C10" s="871"/>
      <c r="D10" s="869" t="s">
        <v>501</v>
      </c>
      <c r="E10" s="868"/>
      <c r="F10" s="1909">
        <f>'Expenditures 15-22'!K174</f>
        <v>95882</v>
      </c>
      <c r="G10" s="872"/>
    </row>
    <row r="11" spans="1:7" x14ac:dyDescent="0.2">
      <c r="A11" s="869" t="s">
        <v>461</v>
      </c>
      <c r="B11" s="870" t="s">
        <v>1878</v>
      </c>
      <c r="C11" s="871"/>
      <c r="D11" s="869" t="s">
        <v>501</v>
      </c>
      <c r="E11" s="868"/>
      <c r="F11" s="1909">
        <f>'Expenditures 15-22'!K210</f>
        <v>344126</v>
      </c>
      <c r="G11" s="872"/>
    </row>
    <row r="12" spans="1:7" x14ac:dyDescent="0.2">
      <c r="A12" s="869" t="s">
        <v>462</v>
      </c>
      <c r="B12" s="870" t="s">
        <v>1879</v>
      </c>
      <c r="C12" s="871"/>
      <c r="D12" s="869" t="s">
        <v>501</v>
      </c>
      <c r="E12" s="868"/>
      <c r="F12" s="1909">
        <f>'Expenditures 15-22'!K295</f>
        <v>173145</v>
      </c>
      <c r="G12" s="872"/>
    </row>
    <row r="13" spans="1:7" x14ac:dyDescent="0.2">
      <c r="A13" s="869" t="s">
        <v>106</v>
      </c>
      <c r="B13" s="870" t="s">
        <v>1880</v>
      </c>
      <c r="C13" s="871"/>
      <c r="D13" s="869" t="s">
        <v>501</v>
      </c>
      <c r="E13" s="868"/>
      <c r="F13" s="1909">
        <f>'Expenditures 15-22'!K342</f>
        <v>201199</v>
      </c>
      <c r="G13" s="873"/>
    </row>
    <row r="14" spans="1:7" ht="12" customHeight="1" thickBot="1" x14ac:dyDescent="0.25">
      <c r="A14" s="1770"/>
      <c r="B14" s="1771"/>
      <c r="C14" s="1772"/>
      <c r="D14" s="1773" t="s">
        <v>501</v>
      </c>
      <c r="E14" s="1774" t="s">
        <v>958</v>
      </c>
      <c r="F14" s="1775">
        <f>SUM(F8:F13)</f>
        <v>4497939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85865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378926</v>
      </c>
      <c r="G52" s="865"/>
    </row>
    <row r="53" spans="1:7" x14ac:dyDescent="0.2">
      <c r="A53" s="869" t="s">
        <v>459</v>
      </c>
      <c r="B53" s="869" t="s">
        <v>1475</v>
      </c>
      <c r="C53" s="889">
        <f>'Expenditures 15-22'!B102</f>
        <v>4000</v>
      </c>
      <c r="D53" s="888" t="str">
        <f>'Expenditures 15-22'!A102</f>
        <v>Total Payments to Other Govt Units</v>
      </c>
      <c r="E53" s="868"/>
      <c r="F53" s="1913">
        <f>'Expenditures 15-22'!K102</f>
        <v>480541</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42699</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31733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84700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45799</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6624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37066</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1193953</v>
      </c>
      <c r="G76" s="865"/>
    </row>
    <row r="77" spans="1:8" s="893" customFormat="1" ht="12" customHeight="1" thickTop="1" thickBot="1" x14ac:dyDescent="0.25">
      <c r="A77" s="1779"/>
      <c r="B77" s="1776"/>
      <c r="C77" s="1772"/>
      <c r="D77" s="1777" t="s">
        <v>1899</v>
      </c>
      <c r="E77" s="1774"/>
      <c r="F77" s="1780">
        <f>(F14-F76)</f>
        <v>3303986</v>
      </c>
      <c r="G77" s="869"/>
    </row>
    <row r="78" spans="1:8" s="893" customFormat="1" ht="12" customHeight="1" thickTop="1" x14ac:dyDescent="0.2">
      <c r="A78" s="1781"/>
      <c r="B78" s="1776"/>
      <c r="C78" s="1772"/>
      <c r="D78" s="1777" t="s">
        <v>2060</v>
      </c>
      <c r="E78" s="1774"/>
      <c r="F78" s="898">
        <v>287.5</v>
      </c>
      <c r="G78" s="899"/>
      <c r="H78" s="869"/>
    </row>
    <row r="79" spans="1:8" s="893" customFormat="1" ht="12" customHeight="1" thickBot="1" x14ac:dyDescent="0.25">
      <c r="A79" s="1782"/>
      <c r="B79" s="1776"/>
      <c r="C79" s="1772"/>
      <c r="D79" s="1777" t="s">
        <v>1900</v>
      </c>
      <c r="E79" s="1774" t="s">
        <v>958</v>
      </c>
      <c r="F79" s="1783">
        <f>IF(F78&gt;0,F77/F78," Complete Line 78")</f>
        <v>11492.125217391304</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50370</v>
      </c>
      <c r="G94" s="912"/>
    </row>
    <row r="95" spans="1:7" x14ac:dyDescent="0.2">
      <c r="A95" s="908" t="s">
        <v>140</v>
      </c>
      <c r="B95" s="908" t="s">
        <v>175</v>
      </c>
      <c r="C95" s="910">
        <v>1700</v>
      </c>
      <c r="D95" s="918" t="str">
        <f>'Revenues 9-14'!A82</f>
        <v>Total District/School Activity Income</v>
      </c>
      <c r="E95" s="906"/>
      <c r="F95" s="1789">
        <f>SUM('Revenues 9-14'!C82,'Revenues 9-14'!D82)</f>
        <v>21813</v>
      </c>
      <c r="G95" s="912"/>
    </row>
    <row r="96" spans="1:7" x14ac:dyDescent="0.2">
      <c r="A96" s="908" t="s">
        <v>459</v>
      </c>
      <c r="B96" s="908" t="s">
        <v>176</v>
      </c>
      <c r="C96" s="910">
        <f>'Revenues 9-14'!B84</f>
        <v>1811</v>
      </c>
      <c r="D96" s="911" t="str">
        <f>'Revenues 9-14'!A84</f>
        <v>Rentals - Regular Textbooks</v>
      </c>
      <c r="E96" s="906"/>
      <c r="F96" s="1789">
        <f>'Revenues 9-14'!C84</f>
        <v>17177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40500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19983</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16147</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2001</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5507</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185841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1319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106976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52994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192247</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5004</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6266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19227</v>
      </c>
      <c r="G170" s="927"/>
    </row>
    <row r="171" spans="1:7" x14ac:dyDescent="0.2">
      <c r="A171" s="1918" t="s">
        <v>5</v>
      </c>
      <c r="B171" s="1919" t="s">
        <v>1919</v>
      </c>
      <c r="C171" s="1920">
        <v>3100</v>
      </c>
      <c r="D171" s="1921" t="s">
        <v>1921</v>
      </c>
      <c r="E171" s="906"/>
      <c r="F171" s="1906">
        <v>82822</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826194</v>
      </c>
    </row>
    <row r="175" spans="1:7" ht="12" customHeight="1" x14ac:dyDescent="0.2">
      <c r="A175" s="1770"/>
      <c r="B175" s="1784"/>
      <c r="C175" s="1785"/>
      <c r="D175" s="1786" t="s">
        <v>2055</v>
      </c>
      <c r="E175" s="1787"/>
      <c r="F175" s="1789">
        <f>'PCTC-OEPP 27-28'!F77-F174</f>
        <v>2477792</v>
      </c>
    </row>
    <row r="176" spans="1:7" ht="12" customHeight="1" x14ac:dyDescent="0.2">
      <c r="A176" s="1770"/>
      <c r="B176" s="1784"/>
      <c r="C176" s="1785"/>
      <c r="D176" s="1786" t="s">
        <v>1817</v>
      </c>
      <c r="E176" s="1787"/>
      <c r="F176" s="1789">
        <f>'Cap Outlay Deprec 26'!I18</f>
        <v>183028.9</v>
      </c>
    </row>
    <row r="177" spans="1:7" ht="12" customHeight="1" x14ac:dyDescent="0.2">
      <c r="A177" s="1770"/>
      <c r="B177" s="1784"/>
      <c r="C177" s="1785"/>
      <c r="D177" s="1786" t="s">
        <v>2056</v>
      </c>
      <c r="E177" s="1787"/>
      <c r="F177" s="1789">
        <f>F175+F176</f>
        <v>2660820.9</v>
      </c>
    </row>
    <row r="178" spans="1:7" ht="12" customHeight="1" x14ac:dyDescent="0.2">
      <c r="A178" s="1770"/>
      <c r="B178" s="1790"/>
      <c r="C178" s="1785"/>
      <c r="D178" s="1786" t="str">
        <f>D78</f>
        <v>9 Month ADA from District Average Daily Attendance/Prior General State Aid Inquiry 2018-2019</v>
      </c>
      <c r="E178" s="1787"/>
      <c r="F178" s="1791">
        <f>'PCTC-OEPP 27-28'!F78</f>
        <v>287.5</v>
      </c>
      <c r="G178" s="930"/>
    </row>
    <row r="179" spans="1:7" ht="12" customHeight="1" thickBot="1" x14ac:dyDescent="0.25">
      <c r="A179" s="1770"/>
      <c r="B179" s="1790"/>
      <c r="C179" s="1785"/>
      <c r="D179" s="1786" t="s">
        <v>2057</v>
      </c>
      <c r="E179" s="1787" t="s">
        <v>1545</v>
      </c>
      <c r="F179" s="1792">
        <f>F177/F178</f>
        <v>9255.029217391304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L24" sqref="L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2087</v>
      </c>
      <c r="B18" s="1942" t="s">
        <v>2089</v>
      </c>
      <c r="C18" s="1943" t="s">
        <v>2088</v>
      </c>
      <c r="D18" s="1844">
        <v>4000</v>
      </c>
      <c r="E18" s="1540">
        <f t="shared" ref="E18:E142" si="0">IF(D18&lt;=25000,D18,IF(D18&gt;25000,25000,0))</f>
        <v>4000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4000</v>
      </c>
      <c r="G18" s="1793">
        <f>IF(F18=0,0,D18-F18)</f>
        <v>0</v>
      </c>
      <c r="H18" s="1647"/>
    </row>
    <row r="19" spans="1:8" x14ac:dyDescent="0.25">
      <c r="A19" s="1941" t="s">
        <v>2091</v>
      </c>
      <c r="B19" s="1942" t="s">
        <v>2090</v>
      </c>
      <c r="C19" s="1943" t="s">
        <v>2092</v>
      </c>
      <c r="D19" s="1844">
        <v>1289</v>
      </c>
      <c r="E19" s="1540">
        <f t="shared" ref="E19:E141" si="2">IF(D19&lt;=25000,D19,IF(D19&gt;25000,25000,0))</f>
        <v>1289</v>
      </c>
      <c r="F19" s="1936">
        <f t="shared" si="1"/>
        <v>1289</v>
      </c>
      <c r="G19" s="1793">
        <f t="shared" ref="G19:G141" si="3">IF(F19=0,0,D19-F19)</f>
        <v>0</v>
      </c>
    </row>
    <row r="20" spans="1:8" x14ac:dyDescent="0.25">
      <c r="A20" s="1941" t="s">
        <v>2095</v>
      </c>
      <c r="B20" s="1942" t="s">
        <v>2094</v>
      </c>
      <c r="C20" s="1943" t="s">
        <v>2093</v>
      </c>
      <c r="D20" s="1844">
        <v>9805</v>
      </c>
      <c r="E20" s="1540">
        <f t="shared" si="2"/>
        <v>9805</v>
      </c>
      <c r="F20" s="1936">
        <f t="shared" si="1"/>
        <v>9805</v>
      </c>
      <c r="G20" s="1793">
        <f t="shared" si="3"/>
        <v>0</v>
      </c>
    </row>
    <row r="21" spans="1:8" x14ac:dyDescent="0.25">
      <c r="A21" s="1941" t="s">
        <v>2091</v>
      </c>
      <c r="B21" s="1942" t="s">
        <v>2090</v>
      </c>
      <c r="C21" s="1943" t="s">
        <v>2093</v>
      </c>
      <c r="D21" s="1844">
        <v>720</v>
      </c>
      <c r="E21" s="1540">
        <f t="shared" si="2"/>
        <v>720</v>
      </c>
      <c r="F21" s="1936">
        <f t="shared" si="1"/>
        <v>720</v>
      </c>
      <c r="G21" s="1793">
        <f t="shared" si="3"/>
        <v>0</v>
      </c>
    </row>
    <row r="22" spans="1:8" x14ac:dyDescent="0.25">
      <c r="A22" s="1941" t="s">
        <v>2095</v>
      </c>
      <c r="B22" s="1942" t="s">
        <v>2094</v>
      </c>
      <c r="C22" s="1943" t="s">
        <v>2096</v>
      </c>
      <c r="D22" s="1844">
        <v>2590</v>
      </c>
      <c r="E22" s="1540">
        <f t="shared" si="2"/>
        <v>2590</v>
      </c>
      <c r="F22" s="1936">
        <f t="shared" si="1"/>
        <v>2590</v>
      </c>
      <c r="G22" s="1793">
        <f t="shared" si="3"/>
        <v>0</v>
      </c>
    </row>
    <row r="23" spans="1:8" x14ac:dyDescent="0.25">
      <c r="A23" s="1941" t="s">
        <v>2095</v>
      </c>
      <c r="B23" s="1942" t="s">
        <v>2097</v>
      </c>
      <c r="C23" s="1943" t="s">
        <v>2096</v>
      </c>
      <c r="D23" s="1844">
        <v>10900</v>
      </c>
      <c r="E23" s="1540">
        <f t="shared" si="2"/>
        <v>10900</v>
      </c>
      <c r="F23" s="1936">
        <f t="shared" si="1"/>
        <v>10900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29304</v>
      </c>
      <c r="E142" s="1541">
        <f t="shared" si="0"/>
        <v>25000</v>
      </c>
      <c r="F142" s="1932">
        <f>SUM(F18:F141)</f>
        <v>29304</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U34" sqref="U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104265</v>
      </c>
      <c r="F10" s="974"/>
      <c r="G10" s="975"/>
      <c r="H10" s="162"/>
      <c r="I10" s="162"/>
    </row>
    <row r="11" spans="1:9" s="668" customFormat="1" ht="22.5" customHeight="1" x14ac:dyDescent="0.2">
      <c r="A11" s="2290" t="s">
        <v>1975</v>
      </c>
      <c r="B11" s="2291"/>
      <c r="C11" s="2291"/>
      <c r="D11" s="2292"/>
      <c r="E11" s="977">
        <v>16665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1509706</v>
      </c>
      <c r="F19" s="1799"/>
      <c r="G19" s="1801">
        <f>'Expenditures 15-22'!K33-SUM('Expenditures 15-22'!G33,'Expenditures 15-22'!I33)+'Expenditures 15-22'!D229</f>
        <v>1509706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104801</v>
      </c>
      <c r="F21" s="1802"/>
      <c r="G21" s="1805">
        <f>'Expenditures 15-22'!K42-SUM('Expenditures 15-22'!G42,'Expenditures 15-22'!I42)+'Expenditures 15-22'!K120-SUM('Expenditures 15-22'!G120,'Expenditures 15-22'!I120)+'Expenditures 15-22'!K180-SUM('Expenditures 15-22'!G180,'Expenditures 15-22'!I180)+'Expenditures 15-22'!D238</f>
        <v>104801</v>
      </c>
      <c r="H21" s="987"/>
      <c r="I21" s="162"/>
    </row>
    <row r="22" spans="1:9" s="668" customFormat="1" ht="12" customHeight="1" x14ac:dyDescent="0.2">
      <c r="A22" s="994" t="s">
        <v>564</v>
      </c>
      <c r="B22" s="995"/>
      <c r="C22" s="993">
        <v>2200</v>
      </c>
      <c r="D22" s="1802"/>
      <c r="E22" s="1804">
        <f>'Expenditures 15-22'!K47-SUM('Expenditures 15-22'!G47,'Expenditures 15-22'!I47)+'Expenditures 15-22'!D243</f>
        <v>67667</v>
      </c>
      <c r="F22" s="1802"/>
      <c r="G22" s="1805">
        <f>'Expenditures 15-22'!K47-SUM('Expenditures 15-22'!G47,'Expenditures 15-22'!I47)+'Expenditures 15-22'!D243</f>
        <v>67667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443899</v>
      </c>
      <c r="F23" s="1802"/>
      <c r="G23" s="1804">
        <f>'Expenditures 15-22'!K53-SUM('Expenditures 15-22'!G53,'Expenditures 15-22'!I53)+'Expenditures 15-22'!D257+'Expenditures 15-22'!K330-SUM('Expenditures 15-22'!G330,'Expenditures 15-22'!I330)</f>
        <v>443899</v>
      </c>
      <c r="H23" s="987"/>
      <c r="I23" s="162"/>
    </row>
    <row r="24" spans="1:9" s="668" customFormat="1" ht="12" customHeight="1" x14ac:dyDescent="0.2">
      <c r="A24" s="994" t="s">
        <v>566</v>
      </c>
      <c r="B24" s="995"/>
      <c r="C24" s="993">
        <v>2400</v>
      </c>
      <c r="D24" s="1802"/>
      <c r="E24" s="1804">
        <f>'Expenditures 15-22'!K57-SUM('Expenditures 15-22'!G57,'Expenditures 15-22'!I57)+'Expenditures 15-22'!D261</f>
        <v>278422</v>
      </c>
      <c r="F24" s="1802"/>
      <c r="G24" s="1805">
        <f>'Expenditures 15-22'!K57-SUM('Expenditures 15-22'!G57,'Expenditures 15-22'!I57)+'Expenditures 15-22'!D261</f>
        <v>278422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40864</v>
      </c>
      <c r="E27" s="1804">
        <f>E8</f>
        <v>0</v>
      </c>
      <c r="F27" s="1804">
        <f>'Expenditures 15-22'!K60-SUM('Expenditures 15-22'!G60,'Expenditures 15-22'!I60)+'Expenditures 15-22'!D264-E8</f>
        <v>40864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364563</v>
      </c>
      <c r="F28" s="1806">
        <f>'Expenditures 15-22'!K61-SUM('Expenditures 15-22'!G61,'Expenditures 15-22'!I61)+'Expenditures 15-22'!K124-SUM('Expenditures 15-22'!G124,'Expenditures 15-22'!I124)+'Expenditures 15-22'!D266-E9</f>
        <v>364563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323898</v>
      </c>
      <c r="F29" s="1802"/>
      <c r="G29" s="1805">
        <f>'Expenditures 15-22'!K62-SUM('Expenditures 15-22'!G62,'Expenditures 15-22'!I62)+'Expenditures 15-22'!K125-SUM('Expenditures 15-22'!G125,'Expenditures 15-22'!I125)+'Expenditures 15-22'!K182-SUM('Expenditures 15-22'!G182,'Expenditures 15-22'!I182)+'Expenditures 15-22'!D267</f>
        <v>323898</v>
      </c>
      <c r="H29" s="985"/>
    </row>
    <row r="30" spans="1:9" ht="12" customHeight="1" x14ac:dyDescent="0.2">
      <c r="A30" s="994" t="s">
        <v>100</v>
      </c>
      <c r="B30" s="997"/>
      <c r="C30" s="993">
        <v>2560</v>
      </c>
      <c r="D30" s="1802"/>
      <c r="E30" s="1804">
        <f>'Expenditures 15-22'!K63-SUM('Expenditures 15-22'!G63,'Expenditures 15-22'!I63)+'Expenditures 15-22'!D268-E10</f>
        <v>95312</v>
      </c>
      <c r="F30" s="1802"/>
      <c r="G30" s="1804">
        <f>'Expenditures 15-22'!K63-SUM('Expenditures 15-22'!G63,'Expenditures 15-22'!I63)+'Expenditures 15-22'!D268-E10</f>
        <v>95312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51896</v>
      </c>
      <c r="E37" s="1804">
        <f>E14</f>
        <v>0</v>
      </c>
      <c r="F37" s="1804">
        <f>'Expenditures 15-22'!K71-SUM('Expenditures 15-22'!G71,'Expenditures 15-22'!I71)+'Expenditures 15-22'!D276-E14</f>
        <v>51896</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415992</v>
      </c>
      <c r="F39" s="1802"/>
      <c r="G39" s="1804">
        <f>'Expenditures 15-22'!K75-SUM('Expenditures 15-22'!G75,'Expenditures 15-22'!I75)+'Expenditures 15-22'!K130-SUM('Expenditures 15-22'!G130,'Expenditures 15-22'!I130)+'Expenditures 15-22'!K185-SUM('Expenditures 15-22'!G185,'Expenditures 15-22'!I185)+'Expenditures 15-22'!D280</f>
        <v>415992</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92760</v>
      </c>
      <c r="E41" s="1806">
        <f>SUM(E19:E40)</f>
        <v>3604260</v>
      </c>
      <c r="F41" s="1806">
        <f>SUM(F19:F39)</f>
        <v>457323</v>
      </c>
      <c r="G41" s="1806">
        <f>SUM(G19:G40)</f>
        <v>3239697</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92760</v>
      </c>
      <c r="F43" s="1807" t="s">
        <v>473</v>
      </c>
      <c r="G43" s="1808">
        <f>F41</f>
        <v>457323</v>
      </c>
    </row>
    <row r="44" spans="1:7" ht="12" customHeight="1" x14ac:dyDescent="0.2">
      <c r="A44" s="987"/>
      <c r="B44" s="162"/>
      <c r="C44" s="1001"/>
      <c r="D44" s="1807" t="s">
        <v>474</v>
      </c>
      <c r="E44" s="1808">
        <f>E41</f>
        <v>3604260</v>
      </c>
      <c r="F44" s="1807" t="s">
        <v>474</v>
      </c>
      <c r="G44" s="1808">
        <f>G41</f>
        <v>3239697</v>
      </c>
    </row>
    <row r="45" spans="1:7" ht="12" customHeight="1" x14ac:dyDescent="0.2">
      <c r="A45" s="987"/>
      <c r="B45" s="162"/>
      <c r="C45" s="162"/>
      <c r="D45" s="1809" t="s">
        <v>1006</v>
      </c>
      <c r="E45" s="1810">
        <f>(E43/E44)</f>
        <v>2.5736212148957067E-2</v>
      </c>
      <c r="F45" s="1809" t="s">
        <v>1006</v>
      </c>
      <c r="G45" s="1810">
        <f>(G43/G44)</f>
        <v>0.14116227536093653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8"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7" t="s">
        <v>1379</v>
      </c>
      <c r="B1" s="2307"/>
      <c r="C1" s="2307"/>
      <c r="D1" s="2307"/>
      <c r="E1" s="2307"/>
      <c r="F1" s="230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8" t="s">
        <v>1546</v>
      </c>
      <c r="B5" s="2309"/>
      <c r="C5" s="2310"/>
      <c r="D5" s="2310"/>
      <c r="E5" s="2310"/>
      <c r="F5" s="2310"/>
    </row>
    <row r="6" spans="1:10" ht="12" customHeight="1" x14ac:dyDescent="0.25">
      <c r="A6" s="1850"/>
      <c r="B6" s="1851"/>
      <c r="C6" s="2311" t="str">
        <f>COVER!A17</f>
        <v>Hutsonville CUSD 1</v>
      </c>
      <c r="D6" s="2311"/>
      <c r="E6" s="2311"/>
      <c r="F6" s="1852"/>
    </row>
    <row r="7" spans="1:10" ht="11.25" customHeight="1" thickBot="1" x14ac:dyDescent="0.3">
      <c r="A7" s="1850"/>
      <c r="B7" s="1851"/>
      <c r="C7" s="2312">
        <f>COVER!A13</f>
        <v>12017001026</v>
      </c>
      <c r="D7" s="2312"/>
      <c r="E7" s="231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2098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1391</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5" sqref="C3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Hutsonville CUSD 1</v>
      </c>
      <c r="J6" s="2321"/>
      <c r="Q6" s="1664"/>
    </row>
    <row r="7" spans="1:17" x14ac:dyDescent="0.2">
      <c r="A7" s="2322" t="s">
        <v>869</v>
      </c>
      <c r="B7" s="2323"/>
      <c r="C7" s="2323"/>
      <c r="D7" s="2323"/>
      <c r="E7" s="2324"/>
      <c r="F7" s="1017"/>
      <c r="G7" s="1009"/>
      <c r="H7" s="1016" t="s">
        <v>372</v>
      </c>
      <c r="I7" s="2325">
        <f>COVER!A13</f>
        <v>12017001026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207526</v>
      </c>
      <c r="F12" s="1039"/>
      <c r="G12" s="1811">
        <f t="shared" ref="G12:G18" si="0">SUM(E12:F12)</f>
        <v>207526</v>
      </c>
      <c r="H12" s="1040">
        <v>210023</v>
      </c>
      <c r="I12" s="1039"/>
      <c r="J12" s="1811">
        <f t="shared" ref="J12:J18" si="1">SUM(H12:I12)</f>
        <v>210023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207526</v>
      </c>
      <c r="F19" s="1813">
        <f t="shared" si="2"/>
        <v>0</v>
      </c>
      <c r="G19" s="1813">
        <f t="shared" si="2"/>
        <v>207526</v>
      </c>
      <c r="H19" s="1813">
        <f t="shared" si="2"/>
        <v>210023</v>
      </c>
      <c r="I19" s="1813">
        <f t="shared" si="2"/>
        <v>0</v>
      </c>
      <c r="J19" s="1813">
        <f t="shared" si="2"/>
        <v>210023</v>
      </c>
    </row>
    <row r="20" spans="1:10" ht="13.5" thickTop="1" x14ac:dyDescent="0.2">
      <c r="A20" s="1035">
        <v>9</v>
      </c>
      <c r="B20" s="2332" t="s">
        <v>1979</v>
      </c>
      <c r="C20" s="2332"/>
      <c r="D20" s="2333"/>
      <c r="E20" s="1046"/>
      <c r="F20" s="1046"/>
      <c r="G20" s="1046"/>
      <c r="H20" s="1046"/>
      <c r="I20" s="1046"/>
      <c r="J20" s="1814">
        <f>IF(AND(G19&gt;0,J19&gt;0),(((J19-G19)/G19)),"Enter Budget Data")</f>
        <v>1.2032227287183292E-2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16" sqref="G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2099</v>
      </c>
    </row>
    <row r="6" spans="1:2" x14ac:dyDescent="0.2">
      <c r="A6" s="1068">
        <v>2</v>
      </c>
      <c r="B6" s="329" t="s">
        <v>2132</v>
      </c>
    </row>
    <row r="7" spans="1:2" x14ac:dyDescent="0.2">
      <c r="A7" s="1068">
        <v>3</v>
      </c>
      <c r="B7" s="329" t="s">
        <v>2129</v>
      </c>
    </row>
    <row r="8" spans="1:2" x14ac:dyDescent="0.2">
      <c r="A8" s="1068">
        <v>4</v>
      </c>
      <c r="B8" s="329" t="s">
        <v>2130</v>
      </c>
    </row>
    <row r="9" spans="1:2" x14ac:dyDescent="0.2">
      <c r="A9" s="1068">
        <v>5</v>
      </c>
      <c r="B9" s="329" t="s">
        <v>2131</v>
      </c>
    </row>
    <row r="10" spans="1:2" x14ac:dyDescent="0.2">
      <c r="A10" s="1068">
        <v>6</v>
      </c>
      <c r="B10" s="329" t="s">
        <v>2100</v>
      </c>
    </row>
    <row r="11" spans="1:2" x14ac:dyDescent="0.2">
      <c r="A11" s="1068">
        <v>7</v>
      </c>
      <c r="B11" s="329" t="s">
        <v>2101</v>
      </c>
    </row>
    <row r="12" spans="1:2" x14ac:dyDescent="0.2">
      <c r="A12" s="1068">
        <v>8</v>
      </c>
      <c r="B12" s="329" t="s">
        <v>2102</v>
      </c>
    </row>
    <row r="13" spans="1:2" x14ac:dyDescent="0.2">
      <c r="A13" s="1068">
        <v>9</v>
      </c>
      <c r="B13" s="329" t="s">
        <v>2103</v>
      </c>
    </row>
    <row r="14" spans="1:2" x14ac:dyDescent="0.2">
      <c r="A14" s="1068">
        <v>10</v>
      </c>
      <c r="B14" s="329" t="s">
        <v>2104</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Hutsonville CUSD 1</v>
      </c>
    </row>
    <row r="65" spans="2:2" x14ac:dyDescent="0.2">
      <c r="B65" s="1070">
        <f>COVER!A13</f>
        <v>12017001026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M33" sqref="M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6" sqref="B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Document.2015" dvAspect="DVASPECT_ICON" shapeId="36867" r:id="rId4"/>
      </mc:Fallback>
    </mc:AlternateContent>
    <mc:AlternateContent xmlns:mc="http://schemas.openxmlformats.org/markup-compatibility/2006">
      <mc:Choice Requires="x14">
        <oleObject progId="Acrobat.Document.2015" dvAspect="DVASPECT_ICON" shapeId="36868" r:id="rId6">
          <objectPr defaultSize="0" r:id="rId7">
            <anchor moveWithCells="1">
              <from>
                <xdr:col>1</xdr:col>
                <xdr:colOff>1314450</xdr:colOff>
                <xdr:row>4</xdr:row>
                <xdr:rowOff>19050</xdr:rowOff>
              </from>
              <to>
                <xdr:col>1</xdr:col>
                <xdr:colOff>2228850</xdr:colOff>
                <xdr:row>8</xdr:row>
                <xdr:rowOff>57150</xdr:rowOff>
              </to>
            </anchor>
          </objectPr>
        </oleObject>
      </mc:Choice>
      <mc:Fallback>
        <oleObject progId="Acrobat.Document.2015" dvAspect="DVASPECT_ICON" shapeId="36868" r:id="rId6"/>
      </mc:Fallback>
    </mc:AlternateContent>
    <mc:AlternateContent xmlns:mc="http://schemas.openxmlformats.org/markup-compatibility/2006">
      <mc:Choice Requires="x14">
        <oleObject progId="Acrobat.Document.2015" dvAspect="DVASPECT_ICON" shapeId="36869" r:id="rId8">
          <objectPr defaultSize="0" r:id="rId9">
            <anchor moveWithCells="1">
              <from>
                <xdr:col>1</xdr:col>
                <xdr:colOff>2581275</xdr:colOff>
                <xdr:row>4</xdr:row>
                <xdr:rowOff>28575</xdr:rowOff>
              </from>
              <to>
                <xdr:col>1</xdr:col>
                <xdr:colOff>3495675</xdr:colOff>
                <xdr:row>8</xdr:row>
                <xdr:rowOff>66675</xdr:rowOff>
              </to>
            </anchor>
          </objectPr>
        </oleObject>
      </mc:Choice>
      <mc:Fallback>
        <oleObject progId="Acrobat.Document.2015" dvAspect="DVASPECT_ICON" shapeId="36869" r:id="rId8"/>
      </mc:Fallback>
    </mc:AlternateContent>
    <mc:AlternateContent xmlns:mc="http://schemas.openxmlformats.org/markup-compatibility/2006">
      <mc:Choice Requires="x14">
        <oleObject progId="Acrobat.Document.2015" dvAspect="DVASPECT_ICON" shapeId="36870" r:id="rId10">
          <objectPr defaultSize="0" r:id="rId11">
            <anchor moveWithCells="1">
              <from>
                <xdr:col>1</xdr:col>
                <xdr:colOff>3924300</xdr:colOff>
                <xdr:row>4</xdr:row>
                <xdr:rowOff>9525</xdr:rowOff>
              </from>
              <to>
                <xdr:col>3</xdr:col>
                <xdr:colOff>247650</xdr:colOff>
                <xdr:row>8</xdr:row>
                <xdr:rowOff>47625</xdr:rowOff>
              </to>
            </anchor>
          </objectPr>
        </oleObject>
      </mc:Choice>
      <mc:Fallback>
        <oleObject progId="Acrobat.Document.2015" dvAspect="DVASPECT_ICON" shapeId="3687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O23" sqref="O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3122335</v>
      </c>
      <c r="C8" s="1815">
        <f>'Acct Summary 7-8'!D8</f>
        <v>405983</v>
      </c>
      <c r="D8" s="1815">
        <f>'Acct Summary 7-8'!F8</f>
        <v>330210</v>
      </c>
      <c r="E8" s="1815">
        <f>'Acct Summary 7-8'!I8</f>
        <v>12807</v>
      </c>
      <c r="F8" s="1815">
        <f>SUM(B8:E8)</f>
        <v>3871335</v>
      </c>
    </row>
    <row r="9" spans="1:8" s="1079" customFormat="1" ht="14.25" customHeight="1" thickBot="1" x14ac:dyDescent="0.25">
      <c r="A9" s="1078" t="s">
        <v>1369</v>
      </c>
      <c r="B9" s="1816">
        <f>'Acct Summary 7-8'!C17</f>
        <v>3327587</v>
      </c>
      <c r="C9" s="1816">
        <f>'Acct Summary 7-8'!D17</f>
        <v>356000</v>
      </c>
      <c r="D9" s="1816">
        <f>'Acct Summary 7-8'!F17</f>
        <v>344126</v>
      </c>
      <c r="E9" s="1815"/>
      <c r="F9" s="1815">
        <f>SUM(B9:E9)</f>
        <v>4027713</v>
      </c>
    </row>
    <row r="10" spans="1:8" s="1079" customFormat="1" ht="14.25" thickTop="1" thickBot="1" x14ac:dyDescent="0.25">
      <c r="A10" s="1080" t="s">
        <v>1370</v>
      </c>
      <c r="B10" s="1817">
        <f>(B8-B9)</f>
        <v>-205252</v>
      </c>
      <c r="C10" s="1817">
        <f>(C8-C9)</f>
        <v>49983</v>
      </c>
      <c r="D10" s="1817">
        <f>(D8-D9)</f>
        <v>-13916</v>
      </c>
      <c r="E10" s="1816">
        <f>(E8-E9)</f>
        <v>12807</v>
      </c>
      <c r="F10" s="1818">
        <f>SUM(F8-F9)</f>
        <v>-156378</v>
      </c>
    </row>
    <row r="11" spans="1:8" s="1079" customFormat="1" ht="14.25" thickTop="1" thickBot="1" x14ac:dyDescent="0.25">
      <c r="A11" s="1081" t="s">
        <v>1983</v>
      </c>
      <c r="B11" s="1819">
        <f>'Acct Summary 7-8'!C81</f>
        <v>748398</v>
      </c>
      <c r="C11" s="1819">
        <f>'Acct Summary 7-8'!D81</f>
        <v>97945</v>
      </c>
      <c r="D11" s="1819">
        <f>'Acct Summary 7-8'!F81</f>
        <v>63194</v>
      </c>
      <c r="E11" s="1819">
        <f>'Acct Summary 7-8'!I81</f>
        <v>277574</v>
      </c>
      <c r="F11" s="1820">
        <f>SUM(B11:E11)</f>
        <v>1187111</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H31" sqref="H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12017001026</v>
      </c>
    </row>
    <row r="3" spans="1:2" x14ac:dyDescent="0.2">
      <c r="A3" t="s">
        <v>956</v>
      </c>
      <c r="B3" s="138" t="str">
        <f>COVER!A15</f>
        <v>Crawford</v>
      </c>
    </row>
    <row r="4" spans="1:2" x14ac:dyDescent="0.2">
      <c r="A4" t="s">
        <v>1007</v>
      </c>
      <c r="B4" s="138" t="str">
        <f>COVER!A17</f>
        <v>Hutsonville CUSD 1</v>
      </c>
    </row>
    <row r="5" spans="1:2" x14ac:dyDescent="0.2">
      <c r="A5" t="s">
        <v>704</v>
      </c>
      <c r="B5" s="138" t="str">
        <f>COVER!A38</f>
        <v>Julie Kraemer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v>
      </c>
    </row>
    <row r="17" spans="1:2" x14ac:dyDescent="0.2">
      <c r="A17" t="s">
        <v>884</v>
      </c>
      <c r="B17" s="138" t="str">
        <f>COVER!T15</f>
        <v>Brian Bradbury</v>
      </c>
    </row>
    <row r="18" spans="1:2" x14ac:dyDescent="0.2">
      <c r="A18" t="s">
        <v>1150</v>
      </c>
      <c r="B18" s="138" t="str">
        <f>COVER!T17</f>
        <v>302 E. Walnut Street</v>
      </c>
    </row>
    <row r="19" spans="1:2" x14ac:dyDescent="0.2">
      <c r="A19" t="s">
        <v>886</v>
      </c>
      <c r="B19" s="138" t="str">
        <f>COVER!T25</f>
        <v>bbradbury@kempercpa.com</v>
      </c>
    </row>
    <row r="20" spans="1:2" x14ac:dyDescent="0.2">
      <c r="A20" t="s">
        <v>887</v>
      </c>
      <c r="B20" s="138" t="str">
        <f>COVER!T19</f>
        <v>Robinson</v>
      </c>
    </row>
    <row r="21" spans="1:2" x14ac:dyDescent="0.2">
      <c r="A21" t="s">
        <v>479</v>
      </c>
      <c r="B21" s="138" t="str">
        <f>COVER!X19</f>
        <v>IL</v>
      </c>
    </row>
    <row r="22" spans="1:2" x14ac:dyDescent="0.2">
      <c r="A22" t="s">
        <v>888</v>
      </c>
      <c r="B22" s="138">
        <f>COVER!Z19</f>
        <v>62454</v>
      </c>
    </row>
    <row r="23" spans="1:2" x14ac:dyDescent="0.2">
      <c r="A23" t="s">
        <v>1152</v>
      </c>
      <c r="B23" s="138" t="str">
        <f>COVER!T21</f>
        <v>618-546-1502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748398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740498</v>
      </c>
      <c r="D92" s="2" t="str">
        <f t="shared" si="0"/>
        <v>Error?</v>
      </c>
    </row>
    <row r="93" spans="1:4" x14ac:dyDescent="0.2">
      <c r="A93" s="5">
        <v>32</v>
      </c>
      <c r="B93" s="138">
        <f>'Assets-Liab 5-6'!C41</f>
        <v>748398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97945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97945</v>
      </c>
      <c r="D123" s="2" t="str">
        <f t="shared" si="0"/>
        <v>Error?</v>
      </c>
    </row>
    <row r="124" spans="1:4" x14ac:dyDescent="0.2">
      <c r="A124" s="5">
        <v>63</v>
      </c>
      <c r="B124" s="138">
        <f>'Assets-Liab 5-6'!D41</f>
        <v>97945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5974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5974</v>
      </c>
      <c r="D140" s="2" t="str">
        <f t="shared" si="1"/>
        <v>Error?</v>
      </c>
    </row>
    <row r="141" spans="1:4" x14ac:dyDescent="0.2">
      <c r="A141" s="5">
        <v>80</v>
      </c>
      <c r="B141" s="138">
        <f>'Assets-Liab 5-6'!E41</f>
        <v>5974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63194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63194</v>
      </c>
      <c r="D170" s="2" t="str">
        <f t="shared" si="1"/>
        <v>Error?</v>
      </c>
    </row>
    <row r="171" spans="1:4" x14ac:dyDescent="0.2">
      <c r="A171" s="5">
        <v>110</v>
      </c>
      <c r="B171" s="138">
        <f>'Assets-Liab 5-6'!F41</f>
        <v>63194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113884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113884</v>
      </c>
      <c r="D189" s="2" t="str">
        <f t="shared" si="1"/>
        <v>Error?</v>
      </c>
    </row>
    <row r="190" spans="1:4" x14ac:dyDescent="0.2">
      <c r="A190" s="5">
        <v>129</v>
      </c>
      <c r="B190" s="138">
        <f>'Assets-Liab 5-6'!G41</f>
        <v>113884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15425</v>
      </c>
      <c r="D273" s="2" t="str">
        <f t="shared" si="3"/>
        <v>Error?</v>
      </c>
    </row>
    <row r="274" spans="1:4" x14ac:dyDescent="0.2">
      <c r="A274" s="5">
        <v>213</v>
      </c>
      <c r="B274" s="138">
        <f>'Assets-Liab 5-6'!M17</f>
        <v>8137756</v>
      </c>
      <c r="D274" s="2" t="str">
        <f t="shared" si="3"/>
        <v>Error?</v>
      </c>
    </row>
    <row r="275" spans="1:4" x14ac:dyDescent="0.2">
      <c r="A275" s="5">
        <v>214</v>
      </c>
      <c r="B275" s="138">
        <f>'Assets-Liab 5-6'!M18</f>
        <v>0</v>
      </c>
      <c r="D275" s="2" t="str">
        <f t="shared" si="3"/>
        <v>Error?</v>
      </c>
    </row>
    <row r="276" spans="1:4" x14ac:dyDescent="0.2">
      <c r="A276" s="5">
        <v>215</v>
      </c>
      <c r="B276" s="138">
        <f>'Assets-Liab 5-6'!M19</f>
        <v>931154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9084335</v>
      </c>
      <c r="C279" s="2" t="s">
        <v>573</v>
      </c>
      <c r="D279" s="2" t="str">
        <f t="shared" si="3"/>
        <v>Error?</v>
      </c>
    </row>
    <row r="280" spans="1:4" x14ac:dyDescent="0.2">
      <c r="A280" s="5">
        <v>219</v>
      </c>
      <c r="B280" s="138">
        <f>'Assets-Liab 5-6'!M40</f>
        <v>9084335</v>
      </c>
      <c r="D280" s="2" t="str">
        <f t="shared" si="3"/>
        <v>Error?</v>
      </c>
    </row>
    <row r="281" spans="1:4" x14ac:dyDescent="0.2">
      <c r="A281" s="5">
        <v>220</v>
      </c>
      <c r="B281" s="138">
        <f>'Assets-Liab 5-6'!M41</f>
        <v>9084335</v>
      </c>
      <c r="C281" s="2" t="s">
        <v>573</v>
      </c>
      <c r="D281" s="2" t="str">
        <f t="shared" si="3"/>
        <v>Error?</v>
      </c>
    </row>
    <row r="282" spans="1:4" x14ac:dyDescent="0.2">
      <c r="A282" s="5">
        <v>221</v>
      </c>
      <c r="B282" s="138">
        <f>'Assets-Liab 5-6'!N21</f>
        <v>5974</v>
      </c>
      <c r="D282" s="2" t="str">
        <f t="shared" si="3"/>
        <v>Error?</v>
      </c>
    </row>
    <row r="283" spans="1:4" x14ac:dyDescent="0.2">
      <c r="A283" s="5">
        <v>222</v>
      </c>
      <c r="B283" s="138">
        <f>'Assets-Liab 5-6'!N22</f>
        <v>444526</v>
      </c>
      <c r="D283" s="2" t="str">
        <f t="shared" si="3"/>
        <v>Error?</v>
      </c>
    </row>
    <row r="284" spans="1:4" x14ac:dyDescent="0.2">
      <c r="A284" s="5">
        <v>223</v>
      </c>
      <c r="B284" s="138">
        <f>'Assets-Liab 5-6'!N23</f>
        <v>450500</v>
      </c>
      <c r="C284" s="2" t="s">
        <v>573</v>
      </c>
      <c r="D284" s="2" t="str">
        <f t="shared" si="3"/>
        <v>Error?</v>
      </c>
    </row>
    <row r="285" spans="1:4" x14ac:dyDescent="0.2">
      <c r="A285" s="5">
        <v>224</v>
      </c>
      <c r="B285" s="138">
        <f>'Assets-Liab 5-6'!N36</f>
        <v>450500</v>
      </c>
      <c r="D285" s="2" t="str">
        <f t="shared" si="3"/>
        <v>Error?</v>
      </c>
    </row>
    <row r="286" spans="1:4" x14ac:dyDescent="0.2">
      <c r="A286" s="10">
        <v>225</v>
      </c>
      <c r="D286" s="2" t="str">
        <f t="shared" si="3"/>
        <v>OK</v>
      </c>
    </row>
    <row r="287" spans="1:4" x14ac:dyDescent="0.2">
      <c r="A287" s="5">
        <v>226</v>
      </c>
      <c r="B287" s="138">
        <f>'Assets-Liab 5-6'!N37</f>
        <v>450500</v>
      </c>
      <c r="C287" s="2" t="s">
        <v>573</v>
      </c>
      <c r="D287" s="2" t="str">
        <f t="shared" si="3"/>
        <v>Error?</v>
      </c>
    </row>
    <row r="288" spans="1:4" x14ac:dyDescent="0.2">
      <c r="A288" s="5">
        <v>227</v>
      </c>
      <c r="B288" s="138">
        <f>'Assets-Liab 5-6'!N41</f>
        <v>450500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852379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35318</v>
      </c>
      <c r="D717" s="2" t="str">
        <f t="shared" si="10"/>
        <v>Error?</v>
      </c>
    </row>
    <row r="718" spans="1:4" x14ac:dyDescent="0.2">
      <c r="A718" s="5">
        <v>657</v>
      </c>
      <c r="B718" s="138">
        <f>'Expenditures 15-22'!C14</f>
        <v>11918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1186502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35871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46912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82783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43130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43130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148299</v>
      </c>
      <c r="D733" s="2" t="str">
        <f t="shared" si="10"/>
        <v>Error?</v>
      </c>
    </row>
    <row r="734" spans="1:4" x14ac:dyDescent="0.2">
      <c r="A734" s="5">
        <v>673</v>
      </c>
      <c r="B734" s="138">
        <f>'Expenditures 15-22'!C53</f>
        <v>148299</v>
      </c>
      <c r="C734" s="2" t="s">
        <v>573</v>
      </c>
      <c r="D734" s="2" t="str">
        <f t="shared" si="10"/>
        <v>Error?</v>
      </c>
    </row>
    <row r="735" spans="1:4" x14ac:dyDescent="0.2">
      <c r="A735" s="5">
        <v>674</v>
      </c>
      <c r="B735" s="138">
        <f>'Expenditures 15-22'!C55</f>
        <v>219833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219833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20391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79969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100360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42136</v>
      </c>
      <c r="D751" s="2" t="str">
        <f t="shared" si="10"/>
        <v>Error?</v>
      </c>
    </row>
    <row r="752" spans="1:4" x14ac:dyDescent="0.2">
      <c r="A752" s="10">
        <v>691</v>
      </c>
      <c r="D752" s="2" t="str">
        <f t="shared" si="10"/>
        <v>OK</v>
      </c>
    </row>
    <row r="753" spans="1:4" x14ac:dyDescent="0.2">
      <c r="A753" s="5">
        <v>692</v>
      </c>
      <c r="B753" s="138">
        <f>'Expenditures 15-22'!C72</f>
        <v>42136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636541</v>
      </c>
      <c r="C755" s="2" t="s">
        <v>573</v>
      </c>
      <c r="D755" s="2" t="str">
        <f t="shared" si="10"/>
        <v>Error?</v>
      </c>
    </row>
    <row r="756" spans="1:4" x14ac:dyDescent="0.2">
      <c r="A756" s="5">
        <v>695</v>
      </c>
      <c r="B756" s="138">
        <f>'Expenditures 15-22'!C75</f>
        <v>233770</v>
      </c>
      <c r="D756" s="2" t="str">
        <f t="shared" si="10"/>
        <v>Error?</v>
      </c>
    </row>
    <row r="757" spans="1:4" x14ac:dyDescent="0.2">
      <c r="A757" s="5">
        <v>696</v>
      </c>
      <c r="B757" s="138">
        <f>'Expenditures 15-22'!C114</f>
        <v>2056813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141027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8022</v>
      </c>
      <c r="D775" s="2" t="str">
        <f t="shared" si="11"/>
        <v>Error?</v>
      </c>
    </row>
    <row r="776" spans="1:4" x14ac:dyDescent="0.2">
      <c r="A776" s="5">
        <v>715</v>
      </c>
      <c r="B776" s="138">
        <f>'Expenditures 15-22'!D14</f>
        <v>998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166257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4116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14795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9191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9191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16964</v>
      </c>
      <c r="D791" s="2" t="str">
        <f t="shared" si="11"/>
        <v>Error?</v>
      </c>
    </row>
    <row r="792" spans="1:4" x14ac:dyDescent="0.2">
      <c r="A792" s="5">
        <v>731</v>
      </c>
      <c r="B792" s="138">
        <f>'Expenditures 15-22'!D53</f>
        <v>16964</v>
      </c>
      <c r="C792" s="2" t="s">
        <v>573</v>
      </c>
      <c r="D792" s="2" t="str">
        <f t="shared" si="11"/>
        <v>Error?</v>
      </c>
    </row>
    <row r="793" spans="1:4" x14ac:dyDescent="0.2">
      <c r="A793" s="5">
        <v>732</v>
      </c>
      <c r="B793" s="138">
        <f>'Expenditures 15-22'!D55</f>
        <v>25962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25962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4051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7553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2557</v>
      </c>
      <c r="D809" s="2" t="str">
        <f t="shared" si="11"/>
        <v>Error?</v>
      </c>
    </row>
    <row r="810" spans="1:4" x14ac:dyDescent="0.2">
      <c r="A810" s="10">
        <v>749</v>
      </c>
      <c r="D810" s="2" t="str">
        <f t="shared" si="11"/>
        <v>OK</v>
      </c>
    </row>
    <row r="811" spans="1:4" x14ac:dyDescent="0.2">
      <c r="A811" s="5">
        <v>750</v>
      </c>
      <c r="B811" s="138">
        <f>'Expenditures 15-22'!D72</f>
        <v>2557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77022</v>
      </c>
      <c r="C813" s="2" t="s">
        <v>573</v>
      </c>
      <c r="D813" s="2" t="str">
        <f t="shared" si="11"/>
        <v>Error?</v>
      </c>
    </row>
    <row r="814" spans="1:4" x14ac:dyDescent="0.2">
      <c r="A814" s="5">
        <v>753</v>
      </c>
      <c r="B814" s="138">
        <f>'Expenditures 15-22'!D75</f>
        <v>365</v>
      </c>
      <c r="D814" s="2" t="str">
        <f t="shared" si="11"/>
        <v>Error?</v>
      </c>
    </row>
    <row r="815" spans="1:4" x14ac:dyDescent="0.2">
      <c r="A815" s="5">
        <v>754</v>
      </c>
      <c r="B815" s="138">
        <f>'Expenditures 15-22'!D114</f>
        <v>243644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1578</v>
      </c>
      <c r="D833" s="2" t="str">
        <f t="shared" si="12"/>
        <v>Error?</v>
      </c>
    </row>
    <row r="834" spans="1:4" x14ac:dyDescent="0.2">
      <c r="A834" s="5">
        <v>773</v>
      </c>
      <c r="B834" s="138">
        <f>'Expenditures 15-22'!E14</f>
        <v>8645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64051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870</v>
      </c>
      <c r="D838" s="2" t="str">
        <f t="shared" si="12"/>
        <v>Error?</v>
      </c>
    </row>
    <row r="839" spans="1:4" x14ac:dyDescent="0.2">
      <c r="A839" s="5">
        <v>778</v>
      </c>
      <c r="B839" s="138">
        <f>'Expenditures 15-22'!E38</f>
        <v>1289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100</v>
      </c>
      <c r="D842" s="2" t="str">
        <f t="shared" si="12"/>
        <v>Error?</v>
      </c>
    </row>
    <row r="843" spans="1:4" x14ac:dyDescent="0.2">
      <c r="A843" s="5">
        <v>782</v>
      </c>
      <c r="B843" s="138">
        <f>'Expenditures 15-22'!E42</f>
        <v>2259</v>
      </c>
      <c r="C843" s="2" t="s">
        <v>573</v>
      </c>
      <c r="D843" s="2" t="str">
        <f t="shared" si="12"/>
        <v>Error?</v>
      </c>
    </row>
    <row r="844" spans="1:4" x14ac:dyDescent="0.2">
      <c r="A844" s="5">
        <v>783</v>
      </c>
      <c r="B844" s="138">
        <f>'Expenditures 15-22'!E44</f>
        <v>3436</v>
      </c>
      <c r="D844" s="2" t="str">
        <f t="shared" si="12"/>
        <v>Error?</v>
      </c>
    </row>
    <row r="845" spans="1:4" x14ac:dyDescent="0.2">
      <c r="A845" s="5">
        <v>784</v>
      </c>
      <c r="B845" s="138">
        <f>'Expenditures 15-22'!E45</f>
        <v>2637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6073</v>
      </c>
      <c r="C847" s="2" t="s">
        <v>573</v>
      </c>
      <c r="D847" s="2" t="str">
        <f t="shared" si="12"/>
        <v>Error?</v>
      </c>
    </row>
    <row r="848" spans="1:4" x14ac:dyDescent="0.2">
      <c r="A848" s="5">
        <v>787</v>
      </c>
      <c r="B848" s="138">
        <f>'Expenditures 15-22'!E49</f>
        <v>26805</v>
      </c>
      <c r="D848" s="2" t="str">
        <f t="shared" si="12"/>
        <v>Error?</v>
      </c>
    </row>
    <row r="849" spans="1:4" x14ac:dyDescent="0.2">
      <c r="A849" s="5">
        <v>788</v>
      </c>
      <c r="B849" s="138">
        <f>'Expenditures 15-22'!E50</f>
        <v>16849</v>
      </c>
      <c r="D849" s="2" t="str">
        <f t="shared" si="12"/>
        <v>Error?</v>
      </c>
    </row>
    <row r="850" spans="1:4" x14ac:dyDescent="0.2">
      <c r="A850" s="5">
        <v>789</v>
      </c>
      <c r="B850" s="138">
        <f>'Expenditures 15-22'!E53</f>
        <v>43654</v>
      </c>
      <c r="C850" s="2" t="s">
        <v>573</v>
      </c>
      <c r="D850" s="2" t="str">
        <f t="shared" si="12"/>
        <v>Error?</v>
      </c>
    </row>
    <row r="851" spans="1:4" x14ac:dyDescent="0.2">
      <c r="A851" s="5">
        <v>790</v>
      </c>
      <c r="B851" s="138">
        <f>'Expenditures 15-22'!E55</f>
        <v>3954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3954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7621</v>
      </c>
      <c r="D855" s="2" t="str">
        <f t="shared" si="12"/>
        <v>Error?</v>
      </c>
    </row>
    <row r="856" spans="1:4" x14ac:dyDescent="0.2">
      <c r="A856" s="5">
        <v>795</v>
      </c>
      <c r="B856" s="138">
        <f>'Expenditures 15-22'!E61</f>
        <v>15769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23740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79680</v>
      </c>
      <c r="C871" s="2" t="s">
        <v>573</v>
      </c>
      <c r="D871" s="2" t="str">
        <f t="shared" si="12"/>
        <v>Error?</v>
      </c>
    </row>
    <row r="872" spans="1:4" x14ac:dyDescent="0.2">
      <c r="A872" s="5">
        <v>811</v>
      </c>
      <c r="B872" s="138">
        <f>'Expenditures 15-22'!E75</f>
        <v>37832</v>
      </c>
      <c r="D872" s="2" t="str">
        <f t="shared" si="12"/>
        <v>Error?</v>
      </c>
    </row>
    <row r="873" spans="1:4" x14ac:dyDescent="0.2">
      <c r="A873" s="5">
        <v>812</v>
      </c>
      <c r="B873" s="138">
        <f>'Expenditures 15-22'!E114</f>
        <v>181563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20783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11002</v>
      </c>
      <c r="D891" s="2" t="str">
        <f t="shared" si="12"/>
        <v>Error?</v>
      </c>
    </row>
    <row r="892" spans="1:4" x14ac:dyDescent="0.2">
      <c r="A892" s="5">
        <v>831</v>
      </c>
      <c r="B892" s="138">
        <f>'Expenditures 15-22'!F14</f>
        <v>1745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49889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555</v>
      </c>
      <c r="D896" s="2" t="str">
        <f t="shared" si="13"/>
        <v>Error?</v>
      </c>
    </row>
    <row r="897" spans="1:4" x14ac:dyDescent="0.2">
      <c r="A897" s="5">
        <v>836</v>
      </c>
      <c r="B897" s="138">
        <f>'Expenditures 15-22'!F38</f>
        <v>1837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188</v>
      </c>
      <c r="D899" s="2" t="str">
        <f t="shared" si="13"/>
        <v>Error?</v>
      </c>
    </row>
    <row r="900" spans="1:4" x14ac:dyDescent="0.2">
      <c r="A900" s="5">
        <v>839</v>
      </c>
      <c r="B900" s="138">
        <f>'Expenditures 15-22'!F41</f>
        <v>1366</v>
      </c>
      <c r="D900" s="2" t="str">
        <f t="shared" si="13"/>
        <v>Error?</v>
      </c>
    </row>
    <row r="901" spans="1:4" x14ac:dyDescent="0.2">
      <c r="A901" s="5">
        <v>840</v>
      </c>
      <c r="B901" s="138">
        <f>'Expenditures 15-22'!F42</f>
        <v>3946</v>
      </c>
      <c r="C901" s="2" t="s">
        <v>573</v>
      </c>
      <c r="D901" s="2" t="str">
        <f t="shared" si="13"/>
        <v>Error?</v>
      </c>
    </row>
    <row r="902" spans="1:4" x14ac:dyDescent="0.2">
      <c r="A902" s="5">
        <v>841</v>
      </c>
      <c r="B902" s="138">
        <f>'Expenditures 15-22'!F44</f>
        <v>2034</v>
      </c>
      <c r="D902" s="2" t="str">
        <f t="shared" si="13"/>
        <v>Error?</v>
      </c>
    </row>
    <row r="903" spans="1:4" x14ac:dyDescent="0.2">
      <c r="A903" s="5">
        <v>842</v>
      </c>
      <c r="B903" s="138">
        <f>'Expenditures 15-22'!F45</f>
        <v>6697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8731</v>
      </c>
      <c r="C905" s="2" t="s">
        <v>573</v>
      </c>
      <c r="D905" s="2" t="str">
        <f t="shared" si="13"/>
        <v>Error?</v>
      </c>
    </row>
    <row r="906" spans="1:4" x14ac:dyDescent="0.2">
      <c r="A906" s="5">
        <v>845</v>
      </c>
      <c r="B906" s="138">
        <f>'Expenditures 15-22'!F49</f>
        <v>9211</v>
      </c>
      <c r="D906" s="2" t="str">
        <f t="shared" si="13"/>
        <v>Error?</v>
      </c>
    </row>
    <row r="907" spans="1:4" x14ac:dyDescent="0.2">
      <c r="A907" s="5">
        <v>846</v>
      </c>
      <c r="B907" s="138">
        <f>'Expenditures 15-22'!F50</f>
        <v>19935</v>
      </c>
      <c r="D907" s="2" t="str">
        <f t="shared" si="13"/>
        <v>Error?</v>
      </c>
    </row>
    <row r="908" spans="1:4" x14ac:dyDescent="0.2">
      <c r="A908" s="5">
        <v>847</v>
      </c>
      <c r="B908" s="138">
        <f>'Expenditures 15-22'!F53</f>
        <v>29146</v>
      </c>
      <c r="C908" s="2" t="s">
        <v>573</v>
      </c>
      <c r="D908" s="2" t="str">
        <f t="shared" si="13"/>
        <v>Error?</v>
      </c>
    </row>
    <row r="909" spans="1:4" x14ac:dyDescent="0.2">
      <c r="A909" s="5">
        <v>848</v>
      </c>
      <c r="B909" s="138">
        <f>'Expenditures 15-22'!F55</f>
        <v>13552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13552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103915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104074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1316</v>
      </c>
      <c r="D925" s="2" t="str">
        <f t="shared" si="13"/>
        <v>Error?</v>
      </c>
    </row>
    <row r="926" spans="1:4" x14ac:dyDescent="0.2">
      <c r="A926" s="10">
        <v>865</v>
      </c>
      <c r="D926" s="2" t="str">
        <f t="shared" si="13"/>
        <v>OK</v>
      </c>
    </row>
    <row r="927" spans="1:4" x14ac:dyDescent="0.2">
      <c r="A927" s="5">
        <v>866</v>
      </c>
      <c r="B927" s="138">
        <f>'Expenditures 15-22'!F72</f>
        <v>1316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160765</v>
      </c>
      <c r="C929" s="2" t="s">
        <v>573</v>
      </c>
      <c r="D929" s="2" t="str">
        <f t="shared" si="13"/>
        <v>Error?</v>
      </c>
    </row>
    <row r="930" spans="1:4" x14ac:dyDescent="0.2">
      <c r="A930" s="5">
        <v>869</v>
      </c>
      <c r="B930" s="138">
        <f>'Expenditures 15-22'!F75</f>
        <v>106959</v>
      </c>
      <c r="D930" s="2" t="str">
        <f t="shared" si="13"/>
        <v>Error?</v>
      </c>
    </row>
    <row r="931" spans="1:4" x14ac:dyDescent="0.2">
      <c r="A931" s="5">
        <v>870</v>
      </c>
      <c r="B931" s="138">
        <f>'Expenditures 15-22'!F114</f>
        <v>317613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1857</v>
      </c>
      <c r="D1022" s="2" t="str">
        <f t="shared" si="14"/>
        <v>Error?</v>
      </c>
    </row>
    <row r="1023" spans="1:4" x14ac:dyDescent="0.2">
      <c r="A1023" s="5">
        <v>962</v>
      </c>
      <c r="B1023" s="138">
        <f>'Expenditures 15-22'!H50</f>
        <v>1416</v>
      </c>
      <c r="D1023" s="2" t="str">
        <f t="shared" ref="D1023:D1086" si="15">IF(ISBLANK(B1023),"OK",IF(A1023-B1023=0,"OK","Error?"))</f>
        <v>Error?</v>
      </c>
    </row>
    <row r="1024" spans="1:4" x14ac:dyDescent="0.2">
      <c r="A1024" s="5">
        <v>963</v>
      </c>
      <c r="B1024" s="138">
        <f>'Expenditures 15-22'!H53</f>
        <v>3273</v>
      </c>
      <c r="C1024" s="2" t="s">
        <v>573</v>
      </c>
      <c r="D1024" s="2" t="str">
        <f t="shared" si="15"/>
        <v>Error?</v>
      </c>
    </row>
    <row r="1025" spans="1:4" x14ac:dyDescent="0.2">
      <c r="A1025" s="5">
        <v>964</v>
      </c>
      <c r="B1025" s="138">
        <f>'Expenditures 15-22'!H55</f>
        <v>685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480541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485255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1023950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62848</v>
      </c>
      <c r="C1105" s="2" t="s">
        <v>573</v>
      </c>
      <c r="D1105" s="2" t="str">
        <f t="shared" si="16"/>
        <v>Error?</v>
      </c>
    </row>
    <row r="1106" spans="1:4" x14ac:dyDescent="0.2">
      <c r="A1106" s="5">
        <v>1045</v>
      </c>
      <c r="B1106" s="138">
        <f>'Expenditures 15-22'!K14</f>
        <v>24062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1474383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41412</v>
      </c>
      <c r="C1110" s="2" t="s">
        <v>573</v>
      </c>
      <c r="D1110" s="2" t="str">
        <f t="shared" si="16"/>
        <v>Error?</v>
      </c>
    </row>
    <row r="1111" spans="1:4" x14ac:dyDescent="0.2">
      <c r="A1111" s="5">
        <v>1050</v>
      </c>
      <c r="B1111" s="138">
        <f>'Expenditures 15-22'!K38</f>
        <v>3126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57779</v>
      </c>
      <c r="C1113" s="2" t="s">
        <v>573</v>
      </c>
      <c r="D1113" s="2" t="str">
        <f t="shared" si="16"/>
        <v>Error?</v>
      </c>
    </row>
    <row r="1114" spans="1:4" x14ac:dyDescent="0.2">
      <c r="A1114" s="5">
        <v>1053</v>
      </c>
      <c r="B1114" s="138">
        <f>'Expenditures 15-22'!K41</f>
        <v>1466</v>
      </c>
      <c r="C1114" s="2" t="s">
        <v>573</v>
      </c>
      <c r="D1114" s="2" t="str">
        <f t="shared" si="16"/>
        <v>Error?</v>
      </c>
    </row>
    <row r="1115" spans="1:4" x14ac:dyDescent="0.2">
      <c r="A1115" s="5">
        <v>1054</v>
      </c>
      <c r="B1115" s="138">
        <f>'Expenditures 15-22'!K42</f>
        <v>103783</v>
      </c>
      <c r="C1115" s="2" t="s">
        <v>573</v>
      </c>
      <c r="D1115" s="2" t="str">
        <f t="shared" si="16"/>
        <v>Error?</v>
      </c>
    </row>
    <row r="1116" spans="1:4" x14ac:dyDescent="0.2">
      <c r="A1116" s="5">
        <v>1055</v>
      </c>
      <c r="B1116" s="138">
        <f>'Expenditures 15-22'!K44</f>
        <v>5470</v>
      </c>
      <c r="C1116" s="2" t="s">
        <v>573</v>
      </c>
      <c r="D1116" s="2" t="str">
        <f t="shared" si="16"/>
        <v>Error?</v>
      </c>
    </row>
    <row r="1117" spans="1:4" x14ac:dyDescent="0.2">
      <c r="A1117" s="5">
        <v>1056</v>
      </c>
      <c r="B1117" s="138">
        <f>'Expenditures 15-22'!K45</f>
        <v>61655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67125</v>
      </c>
      <c r="C1119" s="2" t="s">
        <v>573</v>
      </c>
      <c r="D1119" s="2" t="str">
        <f t="shared" si="16"/>
        <v>Error?</v>
      </c>
    </row>
    <row r="1120" spans="1:4" x14ac:dyDescent="0.2">
      <c r="A1120" s="5">
        <v>1059</v>
      </c>
      <c r="B1120" s="138">
        <f>'Expenditures 15-22'!K49</f>
        <v>37873</v>
      </c>
      <c r="C1120" s="2" t="s">
        <v>573</v>
      </c>
      <c r="D1120" s="2" t="str">
        <f t="shared" si="16"/>
        <v>Error?</v>
      </c>
    </row>
    <row r="1121" spans="1:4" x14ac:dyDescent="0.2">
      <c r="A1121" s="5">
        <v>1060</v>
      </c>
      <c r="B1121" s="138">
        <f>'Expenditures 15-22'!K50</f>
        <v>207526</v>
      </c>
      <c r="C1121" s="2" t="s">
        <v>573</v>
      </c>
      <c r="D1121" s="2" t="str">
        <f t="shared" si="16"/>
        <v>Error?</v>
      </c>
    </row>
    <row r="1122" spans="1:4" x14ac:dyDescent="0.2">
      <c r="A1122" s="5">
        <v>1061</v>
      </c>
      <c r="B1122" s="138">
        <f>'Expenditures 15-22'!K53</f>
        <v>245399</v>
      </c>
      <c r="C1122" s="2" t="s">
        <v>573</v>
      </c>
      <c r="D1122" s="2" t="str">
        <f t="shared" si="16"/>
        <v>Error?</v>
      </c>
    </row>
    <row r="1123" spans="1:4" x14ac:dyDescent="0.2">
      <c r="A1123" s="5">
        <v>1062</v>
      </c>
      <c r="B1123" s="138">
        <f>'Expenditures 15-22'!K55</f>
        <v>263986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263986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32222</v>
      </c>
      <c r="C1127" s="2" t="s">
        <v>573</v>
      </c>
      <c r="D1127" s="2" t="str">
        <f t="shared" si="16"/>
        <v>Error?</v>
      </c>
    </row>
    <row r="1128" spans="1:4" x14ac:dyDescent="0.2">
      <c r="A1128" s="5">
        <v>1067</v>
      </c>
      <c r="B1128" s="138">
        <f>'Expenditures 15-22'!K61</f>
        <v>15769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187736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235727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46009</v>
      </c>
      <c r="C1139" s="2" t="s">
        <v>573</v>
      </c>
      <c r="D1139" s="2" t="str">
        <f t="shared" si="16"/>
        <v>Error?</v>
      </c>
    </row>
    <row r="1140" spans="1:4" x14ac:dyDescent="0.2">
      <c r="A1140" s="10">
        <v>1079</v>
      </c>
      <c r="D1140" s="2" t="str">
        <f t="shared" si="16"/>
        <v>OK</v>
      </c>
    </row>
    <row r="1141" spans="1:4" x14ac:dyDescent="0.2">
      <c r="A1141" s="5">
        <v>1080</v>
      </c>
      <c r="B1141" s="138">
        <f>'Expenditures 15-22'!K72</f>
        <v>46009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962029</v>
      </c>
      <c r="C1143" s="2" t="s">
        <v>573</v>
      </c>
      <c r="D1143" s="2" t="str">
        <f t="shared" si="16"/>
        <v>Error?</v>
      </c>
    </row>
    <row r="1144" spans="1:4" x14ac:dyDescent="0.2">
      <c r="A1144" s="5">
        <v>1083</v>
      </c>
      <c r="B1144" s="138">
        <f>'Expenditures 15-22'!K75</f>
        <v>410634</v>
      </c>
      <c r="C1144" s="2" t="s">
        <v>573</v>
      </c>
      <c r="D1144" s="2" t="str">
        <f t="shared" si="16"/>
        <v>Error?</v>
      </c>
    </row>
    <row r="1145" spans="1:4" x14ac:dyDescent="0.2">
      <c r="A1145" s="5">
        <v>1084</v>
      </c>
      <c r="B1145" s="138">
        <f>'Expenditures 15-22'!K102</f>
        <v>480541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3327587</v>
      </c>
      <c r="C1152" s="2" t="s">
        <v>573</v>
      </c>
      <c r="D1152" s="2" t="str">
        <f t="shared" si="17"/>
        <v>Error?</v>
      </c>
    </row>
    <row r="1153" spans="1:4" x14ac:dyDescent="0.2">
      <c r="A1153" s="5">
        <v>1092</v>
      </c>
      <c r="B1153" s="138">
        <f>'Expenditures 15-22'!K115</f>
        <v>-205252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114771</v>
      </c>
      <c r="D1221" s="2" t="str">
        <f t="shared" si="18"/>
        <v>Error?</v>
      </c>
    </row>
    <row r="1222" spans="1:4" x14ac:dyDescent="0.2">
      <c r="A1222" s="10">
        <v>1161</v>
      </c>
      <c r="D1222" s="2" t="str">
        <f t="shared" si="18"/>
        <v>OK</v>
      </c>
    </row>
    <row r="1223" spans="1:4" x14ac:dyDescent="0.2">
      <c r="A1223" s="5">
        <v>1162</v>
      </c>
      <c r="B1223" s="138">
        <f>'Expenditures 15-22'!C127</f>
        <v>114771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114771</v>
      </c>
      <c r="C1225" s="2" t="s">
        <v>573</v>
      </c>
      <c r="D1225" s="2" t="str">
        <f t="shared" si="18"/>
        <v>Error?</v>
      </c>
    </row>
    <row r="1226" spans="1:4" x14ac:dyDescent="0.2">
      <c r="A1226" s="5">
        <v>1165</v>
      </c>
      <c r="B1226" s="138">
        <f>'Expenditures 15-22'!C151</f>
        <v>114771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21979</v>
      </c>
      <c r="D1229" s="2" t="str">
        <f t="shared" si="18"/>
        <v>Error?</v>
      </c>
    </row>
    <row r="1230" spans="1:4" x14ac:dyDescent="0.2">
      <c r="A1230" s="10">
        <v>1169</v>
      </c>
      <c r="D1230" s="2" t="str">
        <f t="shared" si="18"/>
        <v>OK</v>
      </c>
    </row>
    <row r="1231" spans="1:4" x14ac:dyDescent="0.2">
      <c r="A1231" s="5">
        <v>1170</v>
      </c>
      <c r="B1231" s="138">
        <f>'Expenditures 15-22'!D127</f>
        <v>21979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21979</v>
      </c>
      <c r="C1233" s="2" t="s">
        <v>573</v>
      </c>
      <c r="D1233" s="2" t="str">
        <f t="shared" si="18"/>
        <v>Error?</v>
      </c>
    </row>
    <row r="1234" spans="1:4" x14ac:dyDescent="0.2">
      <c r="A1234" s="5">
        <v>1173</v>
      </c>
      <c r="B1234" s="138">
        <f>'Expenditures 15-22'!D151</f>
        <v>21979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34745</v>
      </c>
      <c r="D1237" s="2" t="str">
        <f t="shared" si="18"/>
        <v>Error?</v>
      </c>
    </row>
    <row r="1238" spans="1:4" x14ac:dyDescent="0.2">
      <c r="A1238" s="10">
        <v>1177</v>
      </c>
      <c r="D1238" s="2" t="str">
        <f t="shared" si="18"/>
        <v>OK</v>
      </c>
    </row>
    <row r="1239" spans="1:4" x14ac:dyDescent="0.2">
      <c r="A1239" s="5">
        <v>1178</v>
      </c>
      <c r="B1239" s="138">
        <f>'Expenditures 15-22'!E127</f>
        <v>34745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34745</v>
      </c>
      <c r="C1241" s="2" t="s">
        <v>573</v>
      </c>
      <c r="D1241" s="2" t="str">
        <f t="shared" si="18"/>
        <v>Error?</v>
      </c>
    </row>
    <row r="1242" spans="1:4" x14ac:dyDescent="0.2">
      <c r="A1242" s="5">
        <v>1181</v>
      </c>
      <c r="B1242" s="138">
        <f>'Expenditures 15-22'!E151</f>
        <v>34745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152772</v>
      </c>
      <c r="D1245" s="2" t="str">
        <f t="shared" si="18"/>
        <v>Error?</v>
      </c>
    </row>
    <row r="1246" spans="1:4" x14ac:dyDescent="0.2">
      <c r="A1246" s="10">
        <v>1185</v>
      </c>
      <c r="D1246" s="2" t="str">
        <f t="shared" si="18"/>
        <v>OK</v>
      </c>
    </row>
    <row r="1247" spans="1:4" x14ac:dyDescent="0.2">
      <c r="A1247" s="5">
        <v>1186</v>
      </c>
      <c r="B1247" s="138">
        <f>'Expenditures 15-22'!F127</f>
        <v>152772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152772</v>
      </c>
      <c r="C1249" s="2" t="s">
        <v>573</v>
      </c>
      <c r="D1249" s="2" t="str">
        <f t="shared" si="18"/>
        <v>Error?</v>
      </c>
    </row>
    <row r="1250" spans="1:4" x14ac:dyDescent="0.2">
      <c r="A1250" s="5">
        <v>1189</v>
      </c>
      <c r="B1250" s="138">
        <f>'Expenditures 15-22'!F151</f>
        <v>152772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31733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31733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31733</v>
      </c>
      <c r="C1258" s="2" t="s">
        <v>573</v>
      </c>
      <c r="D1258" s="2" t="str">
        <f t="shared" si="18"/>
        <v>Error?</v>
      </c>
    </row>
    <row r="1259" spans="1:4" x14ac:dyDescent="0.2">
      <c r="A1259" s="5">
        <v>1198</v>
      </c>
      <c r="B1259" s="138">
        <f>'Expenditures 15-22'!G151</f>
        <v>31733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356000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356000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356000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356000</v>
      </c>
      <c r="C1288" s="2" t="s">
        <v>573</v>
      </c>
      <c r="D1288" s="2" t="str">
        <f t="shared" si="19"/>
        <v>Error?</v>
      </c>
    </row>
    <row r="1289" spans="1:4" x14ac:dyDescent="0.2">
      <c r="A1289" s="5">
        <v>1228</v>
      </c>
      <c r="B1289" s="138">
        <f>'Expenditures 15-22'!K152</f>
        <v>49983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84700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95882</v>
      </c>
      <c r="C1317" s="2" t="s">
        <v>573</v>
      </c>
      <c r="D1317" s="2" t="str">
        <f t="shared" si="19"/>
        <v>Error?</v>
      </c>
    </row>
    <row r="1318" spans="1:4" x14ac:dyDescent="0.2">
      <c r="A1318" s="5">
        <v>1257</v>
      </c>
      <c r="B1318" s="138">
        <f>'Expenditures 15-22'!H174</f>
        <v>95882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10682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84700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95882</v>
      </c>
      <c r="C1331" s="2" t="s">
        <v>573</v>
      </c>
      <c r="D1331" s="2" t="str">
        <f t="shared" si="19"/>
        <v>Error?</v>
      </c>
    </row>
    <row r="1332" spans="1:4" x14ac:dyDescent="0.2">
      <c r="A1332" s="5">
        <v>1271</v>
      </c>
      <c r="B1332" s="138">
        <f>'Expenditures 15-22'!K174</f>
        <v>95882</v>
      </c>
      <c r="C1332" s="2" t="s">
        <v>573</v>
      </c>
      <c r="D1332" s="2" t="str">
        <f t="shared" si="19"/>
        <v>Error?</v>
      </c>
    </row>
    <row r="1333" spans="1:4" x14ac:dyDescent="0.2">
      <c r="A1333" s="5">
        <v>1272</v>
      </c>
      <c r="B1333" s="138">
        <f>'Expenditures 15-22'!K175</f>
        <v>66</v>
      </c>
      <c r="C1333" s="2" t="s">
        <v>573</v>
      </c>
      <c r="D1333" s="2" t="str">
        <f t="shared" si="19"/>
        <v>Error?</v>
      </c>
    </row>
    <row r="1334" spans="1:4" x14ac:dyDescent="0.2">
      <c r="A1334" s="10">
        <v>1273</v>
      </c>
      <c r="D1334" s="2" t="str">
        <f t="shared" si="19"/>
        <v>OK</v>
      </c>
    </row>
    <row r="1335" spans="1:4" x14ac:dyDescent="0.2">
      <c r="A1335" s="5">
        <v>1274</v>
      </c>
      <c r="B1335" s="138">
        <f>'Expenditures 15-22'!C182</f>
        <v>202751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202751</v>
      </c>
      <c r="C1339" s="2" t="s">
        <v>573</v>
      </c>
      <c r="D1339" s="2" t="str">
        <f t="shared" si="19"/>
        <v>Error?</v>
      </c>
    </row>
    <row r="1340" spans="1:4" x14ac:dyDescent="0.2">
      <c r="A1340" s="5">
        <v>1279</v>
      </c>
      <c r="B1340" s="138">
        <f>'Expenditures 15-22'!C210</f>
        <v>202751</v>
      </c>
      <c r="C1340" s="2" t="s">
        <v>573</v>
      </c>
      <c r="D1340" s="2" t="str">
        <f t="shared" si="19"/>
        <v>Error?</v>
      </c>
    </row>
    <row r="1341" spans="1:4" x14ac:dyDescent="0.2">
      <c r="A1341" s="5">
        <v>1280</v>
      </c>
      <c r="B1341" s="138">
        <f>'Expenditures 15-22'!D182</f>
        <v>10560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10560</v>
      </c>
      <c r="C1345" s="2" t="s">
        <v>573</v>
      </c>
      <c r="D1345" s="2" t="str">
        <f t="shared" si="20"/>
        <v>Error?</v>
      </c>
    </row>
    <row r="1346" spans="1:4" x14ac:dyDescent="0.2">
      <c r="A1346" s="5">
        <v>1285</v>
      </c>
      <c r="B1346" s="138">
        <f>'Expenditures 15-22'!D210</f>
        <v>10560</v>
      </c>
      <c r="C1346" s="2" t="s">
        <v>573</v>
      </c>
      <c r="D1346" s="2" t="str">
        <f t="shared" si="20"/>
        <v>Error?</v>
      </c>
    </row>
    <row r="1347" spans="1:4" x14ac:dyDescent="0.2">
      <c r="A1347" s="5">
        <v>1286</v>
      </c>
      <c r="B1347" s="138">
        <f>'Expenditures 15-22'!E182</f>
        <v>29659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29659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29659</v>
      </c>
      <c r="C1353" s="2" t="s">
        <v>573</v>
      </c>
      <c r="D1353" s="2" t="str">
        <f t="shared" si="20"/>
        <v>Error?</v>
      </c>
    </row>
    <row r="1354" spans="1:4" x14ac:dyDescent="0.2">
      <c r="A1354" s="5">
        <v>1293</v>
      </c>
      <c r="B1354" s="138">
        <f>'Expenditures 15-22'!F182</f>
        <v>55357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55357</v>
      </c>
      <c r="C1358" s="2" t="s">
        <v>573</v>
      </c>
      <c r="D1358" s="2" t="str">
        <f t="shared" si="20"/>
        <v>Error?</v>
      </c>
    </row>
    <row r="1359" spans="1:4" x14ac:dyDescent="0.2">
      <c r="A1359" s="5">
        <v>1298</v>
      </c>
      <c r="B1359" s="138">
        <f>'Expenditures 15-22'!F210</f>
        <v>55357</v>
      </c>
      <c r="C1359" s="2" t="s">
        <v>573</v>
      </c>
      <c r="D1359" s="2" t="str">
        <f t="shared" si="20"/>
        <v>Error?</v>
      </c>
    </row>
    <row r="1360" spans="1:4" x14ac:dyDescent="0.2">
      <c r="A1360" s="5">
        <v>1299</v>
      </c>
      <c r="B1360" s="138">
        <f>'Expenditures 15-22'!G182</f>
        <v>45799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45799</v>
      </c>
      <c r="C1364" s="2" t="s">
        <v>573</v>
      </c>
      <c r="D1364" s="2" t="str">
        <f t="shared" si="20"/>
        <v>Error?</v>
      </c>
    </row>
    <row r="1365" spans="1:4" x14ac:dyDescent="0.2">
      <c r="A1365" s="5">
        <v>1304</v>
      </c>
      <c r="B1365" s="138">
        <f>'Expenditures 15-22'!G210</f>
        <v>45799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344126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344126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344126</v>
      </c>
      <c r="C1388" s="2" t="s">
        <v>573</v>
      </c>
      <c r="D1388" s="2" t="str">
        <f t="shared" si="20"/>
        <v>Error?</v>
      </c>
    </row>
    <row r="1389" spans="1:4" x14ac:dyDescent="0.2">
      <c r="A1389" s="5">
        <v>1328</v>
      </c>
      <c r="B1389" s="138">
        <f>'Expenditures 15-22'!K211</f>
        <v>-13916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461</v>
      </c>
      <c r="D1407" s="2" t="str">
        <f t="shared" ref="D1407:D1470" si="21">IF(ISBLANK(B1407),"OK",IF(A1407-B1407=0,"OK","Error?"))</f>
        <v>Error?</v>
      </c>
    </row>
    <row r="1408" spans="1:4" x14ac:dyDescent="0.2">
      <c r="A1408" s="5">
        <v>1347</v>
      </c>
      <c r="B1408" s="138">
        <f>'Expenditures 15-22'!D223</f>
        <v>489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42251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1018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1364</v>
      </c>
      <c r="D1423" s="2" t="str">
        <f t="shared" si="21"/>
        <v>Error?</v>
      </c>
    </row>
    <row r="1424" spans="1:4" x14ac:dyDescent="0.2">
      <c r="A1424" s="5">
        <v>1363</v>
      </c>
      <c r="B1424" s="138">
        <f>'Expenditures 15-22'!D257</f>
        <v>1364</v>
      </c>
      <c r="C1424" s="2" t="s">
        <v>573</v>
      </c>
      <c r="D1424" s="2" t="str">
        <f t="shared" si="21"/>
        <v>Error?</v>
      </c>
    </row>
    <row r="1425" spans="1:4" x14ac:dyDescent="0.2">
      <c r="A1425" s="5">
        <v>1364</v>
      </c>
      <c r="B1425" s="138">
        <f>'Expenditures 15-22'!D259</f>
        <v>14436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14436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24527</v>
      </c>
      <c r="D1431" s="2" t="str">
        <f t="shared" si="21"/>
        <v>Error?</v>
      </c>
    </row>
    <row r="1432" spans="1:4" x14ac:dyDescent="0.2">
      <c r="A1432" s="5">
        <v>1371</v>
      </c>
      <c r="B1432" s="138">
        <f>'Expenditures 15-22'!D267</f>
        <v>25571</v>
      </c>
      <c r="D1432" s="2" t="str">
        <f t="shared" si="21"/>
        <v>Error?</v>
      </c>
    </row>
    <row r="1433" spans="1:4" x14ac:dyDescent="0.2">
      <c r="A1433" s="5">
        <v>1372</v>
      </c>
      <c r="B1433" s="138">
        <f>'Expenditures 15-22'!D268</f>
        <v>11841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70581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5887</v>
      </c>
      <c r="D1442" s="2" t="str">
        <f t="shared" si="21"/>
        <v>Error?</v>
      </c>
    </row>
    <row r="1443" spans="1:4" x14ac:dyDescent="0.2">
      <c r="A1443" s="10">
        <v>1382</v>
      </c>
      <c r="D1443" s="2" t="str">
        <f t="shared" si="21"/>
        <v>OK</v>
      </c>
    </row>
    <row r="1444" spans="1:4" x14ac:dyDescent="0.2">
      <c r="A1444" s="5">
        <v>1383</v>
      </c>
      <c r="B1444" s="138">
        <f>'Expenditures 15-22'!D277</f>
        <v>5887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93828</v>
      </c>
      <c r="C1446" s="2" t="s">
        <v>573</v>
      </c>
      <c r="D1446" s="2" t="str">
        <f t="shared" si="21"/>
        <v>Error?</v>
      </c>
    </row>
    <row r="1447" spans="1:4" x14ac:dyDescent="0.2">
      <c r="A1447" s="5">
        <v>1386</v>
      </c>
      <c r="B1447" s="138">
        <f>'Expenditures 15-22'!D280</f>
        <v>37066</v>
      </c>
      <c r="D1447" s="2" t="str">
        <f t="shared" si="21"/>
        <v>Error?</v>
      </c>
    </row>
    <row r="1448" spans="1:4" x14ac:dyDescent="0.2">
      <c r="A1448" s="5">
        <v>1387</v>
      </c>
      <c r="B1448" s="138">
        <f>'Expenditures 15-22'!D295</f>
        <v>173145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461</v>
      </c>
      <c r="C1471" s="2" t="s">
        <v>573</v>
      </c>
      <c r="D1471" s="2" t="str">
        <f t="shared" ref="D1471:D1534" si="22">IF(ISBLANK(B1471),"OK",IF(A1471-B1471=0,"OK","Error?"))</f>
        <v>Error?</v>
      </c>
    </row>
    <row r="1472" spans="1:4" x14ac:dyDescent="0.2">
      <c r="A1472" s="5">
        <v>1411</v>
      </c>
      <c r="B1472" s="138">
        <f>'Expenditures 15-22'!K223</f>
        <v>489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42251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520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498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1018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542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1364</v>
      </c>
      <c r="C1487" s="2" t="s">
        <v>573</v>
      </c>
      <c r="D1487" s="2" t="str">
        <f t="shared" si="22"/>
        <v>Error?</v>
      </c>
    </row>
    <row r="1488" spans="1:4" x14ac:dyDescent="0.2">
      <c r="A1488" s="5">
        <v>1427</v>
      </c>
      <c r="B1488" s="138">
        <f>'Expenditures 15-22'!K257</f>
        <v>1364</v>
      </c>
      <c r="C1488" s="2" t="s">
        <v>573</v>
      </c>
      <c r="D1488" s="2" t="str">
        <f t="shared" si="22"/>
        <v>Error?</v>
      </c>
    </row>
    <row r="1489" spans="1:4" x14ac:dyDescent="0.2">
      <c r="A1489" s="5">
        <v>1428</v>
      </c>
      <c r="B1489" s="138">
        <f>'Expenditures 15-22'!K259</f>
        <v>14436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14436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8642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24527</v>
      </c>
      <c r="C1495" s="2" t="s">
        <v>573</v>
      </c>
      <c r="D1495" s="2" t="str">
        <f t="shared" si="22"/>
        <v>Error?</v>
      </c>
    </row>
    <row r="1496" spans="1:4" x14ac:dyDescent="0.2">
      <c r="A1496" s="5">
        <v>1435</v>
      </c>
      <c r="B1496" s="138">
        <f>'Expenditures 15-22'!K267</f>
        <v>25571</v>
      </c>
      <c r="C1496" s="2" t="s">
        <v>573</v>
      </c>
      <c r="D1496" s="2" t="str">
        <f t="shared" si="22"/>
        <v>Error?</v>
      </c>
    </row>
    <row r="1497" spans="1:4" x14ac:dyDescent="0.2">
      <c r="A1497" s="5">
        <v>1436</v>
      </c>
      <c r="B1497" s="138">
        <f>'Expenditures 15-22'!K268</f>
        <v>11841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70581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5887</v>
      </c>
      <c r="C1506" s="2" t="s">
        <v>573</v>
      </c>
      <c r="D1506" s="2" t="str">
        <f t="shared" si="22"/>
        <v>Error?</v>
      </c>
    </row>
    <row r="1507" spans="1:4" x14ac:dyDescent="0.2">
      <c r="A1507" s="10">
        <v>1446</v>
      </c>
      <c r="D1507" s="2" t="str">
        <f t="shared" si="22"/>
        <v>OK</v>
      </c>
    </row>
    <row r="1508" spans="1:4" x14ac:dyDescent="0.2">
      <c r="A1508" s="5">
        <v>1447</v>
      </c>
      <c r="B1508" s="138">
        <f>'Expenditures 15-22'!K277</f>
        <v>5887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93828</v>
      </c>
      <c r="C1510" s="2" t="s">
        <v>573</v>
      </c>
      <c r="D1510" s="2" t="str">
        <f t="shared" si="22"/>
        <v>Error?</v>
      </c>
    </row>
    <row r="1511" spans="1:4" x14ac:dyDescent="0.2">
      <c r="A1511" s="5">
        <v>1450</v>
      </c>
      <c r="B1511" s="138">
        <f>'Expenditures 15-22'!K280</f>
        <v>37066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173145</v>
      </c>
      <c r="C1517" s="2" t="s">
        <v>573</v>
      </c>
      <c r="D1517" s="2" t="str">
        <f t="shared" si="22"/>
        <v>Error?</v>
      </c>
    </row>
    <row r="1518" spans="1:4" x14ac:dyDescent="0.2">
      <c r="A1518" s="5">
        <v>1457</v>
      </c>
      <c r="B1518" s="138">
        <f>'Expenditures 15-22'!K296</f>
        <v>-35345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953650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748398</v>
      </c>
      <c r="C1630" s="2" t="s">
        <v>573</v>
      </c>
      <c r="D1630" s="2" t="str">
        <f t="shared" si="24"/>
        <v>Error?</v>
      </c>
    </row>
    <row r="1631" spans="1:4" x14ac:dyDescent="0.2">
      <c r="A1631" s="5">
        <v>1570</v>
      </c>
      <c r="B1631" s="138">
        <f>'Acct Summary 7-8'!D79</f>
        <v>47962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97945</v>
      </c>
      <c r="C1644" s="2" t="s">
        <v>573</v>
      </c>
      <c r="D1644" s="2" t="str">
        <f t="shared" si="24"/>
        <v>Error?</v>
      </c>
    </row>
    <row r="1645" spans="1:4" x14ac:dyDescent="0.2">
      <c r="A1645" s="5">
        <v>1584</v>
      </c>
      <c r="B1645" s="138">
        <f>'Acct Summary 7-8'!E79</f>
        <v>5908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5974</v>
      </c>
      <c r="C1658" s="2" t="s">
        <v>573</v>
      </c>
      <c r="D1658" s="2" t="str">
        <f t="shared" si="24"/>
        <v>Error?</v>
      </c>
    </row>
    <row r="1659" spans="1:4" x14ac:dyDescent="0.2">
      <c r="A1659" s="5">
        <v>1598</v>
      </c>
      <c r="B1659" s="138">
        <f>'Acct Summary 7-8'!F79</f>
        <v>77110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63194</v>
      </c>
      <c r="C1672" s="2" t="s">
        <v>573</v>
      </c>
      <c r="D1672" s="2" t="str">
        <f t="shared" si="25"/>
        <v>Error?</v>
      </c>
    </row>
    <row r="1673" spans="1:4" x14ac:dyDescent="0.2">
      <c r="A1673" s="5">
        <v>1612</v>
      </c>
      <c r="B1673" s="138">
        <f>'Acct Summary 7-8'!G79</f>
        <v>149229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113884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613751</v>
      </c>
      <c r="C1744" s="2" t="s">
        <v>573</v>
      </c>
      <c r="D1744" s="2" t="str">
        <f t="shared" si="26"/>
        <v>Error?</v>
      </c>
    </row>
    <row r="1745" spans="1:5" x14ac:dyDescent="0.2">
      <c r="A1745" s="5">
        <v>1684</v>
      </c>
      <c r="B1745" s="138">
        <f>'Tax Sched 23'!B5</f>
        <v>118136</v>
      </c>
      <c r="C1745" s="2" t="s">
        <v>573</v>
      </c>
      <c r="D1745" s="2" t="str">
        <f t="shared" si="26"/>
        <v>Error?</v>
      </c>
    </row>
    <row r="1746" spans="1:5" x14ac:dyDescent="0.2">
      <c r="A1746" s="5">
        <v>1685</v>
      </c>
      <c r="B1746" s="138">
        <f>'Tax Sched 23'!B6</f>
        <v>95796</v>
      </c>
      <c r="C1746" s="2" t="s">
        <v>573</v>
      </c>
      <c r="D1746" s="2" t="str">
        <f t="shared" si="26"/>
        <v>Error?</v>
      </c>
    </row>
    <row r="1747" spans="1:5" x14ac:dyDescent="0.2">
      <c r="A1747" s="5">
        <v>1686</v>
      </c>
      <c r="B1747" s="138">
        <f>'Tax Sched 23'!B7</f>
        <v>47230</v>
      </c>
      <c r="C1747" s="2" t="s">
        <v>573</v>
      </c>
      <c r="D1747" s="2" t="str">
        <f t="shared" si="26"/>
        <v>Error?</v>
      </c>
    </row>
    <row r="1748" spans="1:5" x14ac:dyDescent="0.2">
      <c r="A1748" s="5">
        <v>1687</v>
      </c>
      <c r="B1748" s="138">
        <f>'Tax Sched 23'!B8</f>
        <v>52694</v>
      </c>
      <c r="C1748" s="2" t="s">
        <v>573</v>
      </c>
      <c r="D1748" s="2" t="str">
        <f t="shared" si="26"/>
        <v>Error?</v>
      </c>
    </row>
    <row r="1749" spans="1:5" x14ac:dyDescent="0.2">
      <c r="A1749" s="5">
        <v>1688</v>
      </c>
      <c r="B1749" s="138">
        <f>'Tax Sched 23'!B10</f>
        <v>11777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200820</v>
      </c>
      <c r="C1752" s="2" t="s">
        <v>573</v>
      </c>
      <c r="D1752" s="2" t="str">
        <f t="shared" si="26"/>
        <v>Error?</v>
      </c>
    </row>
    <row r="1753" spans="1:5" x14ac:dyDescent="0.2">
      <c r="A1753" s="5">
        <v>1692</v>
      </c>
      <c r="B1753" s="138">
        <f>'Tax Sched 23'!B12</f>
        <v>11777</v>
      </c>
      <c r="C1753" s="2" t="s">
        <v>573</v>
      </c>
      <c r="D1753" s="2" t="str">
        <f t="shared" si="26"/>
        <v>Error?</v>
      </c>
    </row>
    <row r="1754" spans="1:5" x14ac:dyDescent="0.2">
      <c r="A1754" s="5">
        <v>1693</v>
      </c>
      <c r="B1754" s="138">
        <f>'Tax Sched 23'!B14</f>
        <v>9470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1214145</v>
      </c>
      <c r="C1759" s="2" t="s">
        <v>573</v>
      </c>
      <c r="D1759" s="2" t="str">
        <f t="shared" si="26"/>
        <v>Error?</v>
      </c>
    </row>
    <row r="1760" spans="1:5" x14ac:dyDescent="0.2">
      <c r="A1760" s="5">
        <v>1699</v>
      </c>
      <c r="B1760" s="138">
        <f>'Tax Sched 23'!D4</f>
        <v>613751</v>
      </c>
      <c r="C1760" s="2" t="s">
        <v>573</v>
      </c>
      <c r="D1760" s="2" t="str">
        <f t="shared" si="26"/>
        <v>Error?</v>
      </c>
    </row>
    <row r="1761" spans="1:5" x14ac:dyDescent="0.2">
      <c r="A1761" s="5">
        <v>1700</v>
      </c>
      <c r="B1761" s="138">
        <f>'Tax Sched 23'!D5</f>
        <v>118136</v>
      </c>
      <c r="C1761" s="2" t="s">
        <v>573</v>
      </c>
      <c r="D1761" s="2" t="str">
        <f t="shared" si="26"/>
        <v>Error?</v>
      </c>
    </row>
    <row r="1762" spans="1:5" s="8" customFormat="1" x14ac:dyDescent="0.2">
      <c r="A1762" s="5">
        <v>1701</v>
      </c>
      <c r="B1762" s="138">
        <f>'Tax Sched 23'!D6</f>
        <v>95796</v>
      </c>
      <c r="C1762" s="2" t="s">
        <v>573</v>
      </c>
      <c r="D1762" s="2" t="str">
        <f t="shared" si="26"/>
        <v>Error?</v>
      </c>
      <c r="E1762" s="9"/>
    </row>
    <row r="1763" spans="1:5" x14ac:dyDescent="0.2">
      <c r="A1763" s="5">
        <v>1702</v>
      </c>
      <c r="B1763" s="138">
        <f>'Tax Sched 23'!D7</f>
        <v>47230</v>
      </c>
      <c r="C1763" s="2" t="s">
        <v>573</v>
      </c>
      <c r="D1763" s="2" t="str">
        <f t="shared" si="26"/>
        <v>Error?</v>
      </c>
    </row>
    <row r="1764" spans="1:5" x14ac:dyDescent="0.2">
      <c r="A1764" s="5">
        <v>1703</v>
      </c>
      <c r="B1764" s="138">
        <f>'Tax Sched 23'!D8</f>
        <v>52694</v>
      </c>
      <c r="C1764" s="2" t="s">
        <v>573</v>
      </c>
      <c r="D1764" s="2" t="str">
        <f t="shared" si="26"/>
        <v>Error?</v>
      </c>
    </row>
    <row r="1765" spans="1:5" x14ac:dyDescent="0.2">
      <c r="A1765" s="5">
        <v>1704</v>
      </c>
      <c r="B1765" s="138">
        <f>'Tax Sched 23'!D10</f>
        <v>11777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200820</v>
      </c>
      <c r="C1768" s="2" t="s">
        <v>573</v>
      </c>
      <c r="D1768" s="2" t="str">
        <f t="shared" si="26"/>
        <v>Error?</v>
      </c>
    </row>
    <row r="1769" spans="1:5" x14ac:dyDescent="0.2">
      <c r="A1769" s="5">
        <v>1708</v>
      </c>
      <c r="B1769" s="138">
        <f>'Tax Sched 23'!D12</f>
        <v>11777</v>
      </c>
      <c r="C1769" s="2" t="s">
        <v>573</v>
      </c>
      <c r="D1769" s="2" t="str">
        <f t="shared" si="26"/>
        <v>Error?</v>
      </c>
    </row>
    <row r="1770" spans="1:5" x14ac:dyDescent="0.2">
      <c r="A1770" s="5">
        <v>1709</v>
      </c>
      <c r="B1770" s="138">
        <f>'Tax Sched 23'!D14</f>
        <v>9470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1214145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658167</v>
      </c>
      <c r="C1792" s="2" t="s">
        <v>573</v>
      </c>
      <c r="D1792" s="2" t="str">
        <f t="shared" si="27"/>
        <v>Error?</v>
      </c>
    </row>
    <row r="1793" spans="1:4" x14ac:dyDescent="0.2">
      <c r="A1793" s="5">
        <v>1732</v>
      </c>
      <c r="B1793" s="138">
        <f>'Tax Sched 23'!F5</f>
        <v>126571</v>
      </c>
      <c r="C1793" s="2" t="s">
        <v>573</v>
      </c>
      <c r="D1793" s="2" t="str">
        <f t="shared" si="27"/>
        <v>Error?</v>
      </c>
    </row>
    <row r="1794" spans="1:4" x14ac:dyDescent="0.2">
      <c r="A1794" s="5">
        <v>1733</v>
      </c>
      <c r="B1794" s="138">
        <f>'Tax Sched 23'!F6</f>
        <v>97053</v>
      </c>
      <c r="C1794" s="2" t="s">
        <v>573</v>
      </c>
      <c r="D1794" s="2" t="str">
        <f t="shared" si="27"/>
        <v>Error?</v>
      </c>
    </row>
    <row r="1795" spans="1:4" x14ac:dyDescent="0.2">
      <c r="A1795" s="5">
        <v>1734</v>
      </c>
      <c r="B1795" s="138">
        <f>'Tax Sched 23'!F7</f>
        <v>50628</v>
      </c>
      <c r="C1795" s="2" t="s">
        <v>573</v>
      </c>
      <c r="D1795" s="2" t="str">
        <f t="shared" si="27"/>
        <v>Error?</v>
      </c>
    </row>
    <row r="1796" spans="1:4" x14ac:dyDescent="0.2">
      <c r="A1796" s="5">
        <v>1735</v>
      </c>
      <c r="B1796" s="138">
        <f>'Tax Sched 23'!F8</f>
        <v>54783</v>
      </c>
      <c r="C1796" s="2" t="s">
        <v>573</v>
      </c>
      <c r="D1796" s="2" t="str">
        <f t="shared" si="27"/>
        <v>Error?</v>
      </c>
    </row>
    <row r="1797" spans="1:4" x14ac:dyDescent="0.2">
      <c r="A1797" s="5">
        <v>1736</v>
      </c>
      <c r="B1797" s="138">
        <f>'Tax Sched 23'!F10</f>
        <v>12657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204879</v>
      </c>
      <c r="C1800" s="2" t="s">
        <v>573</v>
      </c>
      <c r="D1800" s="2" t="str">
        <f t="shared" si="27"/>
        <v>Error?</v>
      </c>
    </row>
    <row r="1801" spans="1:4" x14ac:dyDescent="0.2">
      <c r="A1801" s="5">
        <v>1740</v>
      </c>
      <c r="B1801" s="138">
        <f>'Tax Sched 23'!F12</f>
        <v>12657</v>
      </c>
      <c r="C1801" s="2" t="s">
        <v>573</v>
      </c>
      <c r="D1801" s="2" t="str">
        <f t="shared" si="27"/>
        <v>Error?</v>
      </c>
    </row>
    <row r="1802" spans="1:4" x14ac:dyDescent="0.2">
      <c r="A1802" s="5">
        <v>1741</v>
      </c>
      <c r="B1802" s="138">
        <f>'Tax Sched 23'!F14</f>
        <v>10126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1278356</v>
      </c>
      <c r="C1807" s="2" t="s">
        <v>573</v>
      </c>
      <c r="D1807" s="2" t="str">
        <f t="shared" si="27"/>
        <v>Error?</v>
      </c>
    </row>
    <row r="1808" spans="1:4" x14ac:dyDescent="0.2">
      <c r="A1808" s="5">
        <v>1747</v>
      </c>
      <c r="B1808" s="138">
        <f>'Tax Sched 23'!E4</f>
        <v>658167</v>
      </c>
      <c r="D1808" s="2" t="str">
        <f t="shared" si="27"/>
        <v>Error?</v>
      </c>
    </row>
    <row r="1809" spans="1:4" x14ac:dyDescent="0.2">
      <c r="A1809" s="5">
        <v>1748</v>
      </c>
      <c r="B1809" s="138">
        <f>'Tax Sched 23'!E5</f>
        <v>126571</v>
      </c>
      <c r="D1809" s="2" t="str">
        <f t="shared" si="27"/>
        <v>Error?</v>
      </c>
    </row>
    <row r="1810" spans="1:4" x14ac:dyDescent="0.2">
      <c r="A1810" s="5">
        <v>1749</v>
      </c>
      <c r="B1810" s="138">
        <f>'Tax Sched 23'!E6</f>
        <v>97053</v>
      </c>
      <c r="D1810" s="2" t="str">
        <f t="shared" si="27"/>
        <v>Error?</v>
      </c>
    </row>
    <row r="1811" spans="1:4" x14ac:dyDescent="0.2">
      <c r="A1811" s="5">
        <v>1750</v>
      </c>
      <c r="B1811" s="138">
        <f>'Tax Sched 23'!E7</f>
        <v>50628</v>
      </c>
      <c r="D1811" s="2" t="str">
        <f t="shared" si="27"/>
        <v>Error?</v>
      </c>
    </row>
    <row r="1812" spans="1:4" x14ac:dyDescent="0.2">
      <c r="A1812" s="5">
        <v>1751</v>
      </c>
      <c r="B1812" s="138">
        <f>'Tax Sched 23'!E8</f>
        <v>54783</v>
      </c>
      <c r="D1812" s="2" t="str">
        <f t="shared" si="27"/>
        <v>Error?</v>
      </c>
    </row>
    <row r="1813" spans="1:4" x14ac:dyDescent="0.2">
      <c r="A1813" s="5">
        <v>1752</v>
      </c>
      <c r="B1813" s="138">
        <f>'Tax Sched 23'!E10</f>
        <v>12657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204879</v>
      </c>
      <c r="D1816" s="2" t="str">
        <f t="shared" si="27"/>
        <v>Error?</v>
      </c>
    </row>
    <row r="1817" spans="1:4" x14ac:dyDescent="0.2">
      <c r="A1817" s="5">
        <v>1756</v>
      </c>
      <c r="B1817" s="138">
        <f>'Tax Sched 23'!E12</f>
        <v>12657</v>
      </c>
      <c r="D1817" s="2" t="str">
        <f t="shared" si="27"/>
        <v>Error?</v>
      </c>
    </row>
    <row r="1818" spans="1:4" x14ac:dyDescent="0.2">
      <c r="A1818" s="5">
        <v>1757</v>
      </c>
      <c r="B1818" s="138">
        <f>'Tax Sched 23'!E14</f>
        <v>10126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1278356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535200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9470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9470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9470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15425</v>
      </c>
      <c r="D2008" s="2" t="str">
        <f t="shared" si="30"/>
        <v>Error?</v>
      </c>
    </row>
    <row r="2009" spans="1:4" x14ac:dyDescent="0.2">
      <c r="A2009" s="5">
        <v>1948</v>
      </c>
      <c r="B2009" s="138">
        <f>'Cap Outlay Deprec 26'!C8</f>
        <v>7658784</v>
      </c>
      <c r="D2009" s="2" t="str">
        <f t="shared" si="30"/>
        <v>Error?</v>
      </c>
    </row>
    <row r="2010" spans="1:4" x14ac:dyDescent="0.2">
      <c r="A2010" s="5">
        <v>1949</v>
      </c>
      <c r="B2010" s="138">
        <f>'Cap Outlay Deprec 26'!C10</f>
        <v>397541</v>
      </c>
      <c r="D2010" s="2" t="str">
        <f t="shared" si="30"/>
        <v>Error?</v>
      </c>
    </row>
    <row r="2011" spans="1:4" x14ac:dyDescent="0.2">
      <c r="A2011" s="5">
        <v>1950</v>
      </c>
      <c r="B2011" s="138">
        <f>'Cap Outlay Deprec 26'!C12</f>
        <v>260240</v>
      </c>
      <c r="D2011" s="2" t="str">
        <f t="shared" si="30"/>
        <v>Error?</v>
      </c>
    </row>
    <row r="2012" spans="1:4" x14ac:dyDescent="0.2">
      <c r="A2012" s="5">
        <v>1951</v>
      </c>
      <c r="B2012" s="138">
        <f>'Cap Outlay Deprec 26'!C13</f>
        <v>711960</v>
      </c>
      <c r="D2012" s="2" t="str">
        <f t="shared" si="30"/>
        <v>Error?</v>
      </c>
    </row>
    <row r="2013" spans="1:4" x14ac:dyDescent="0.2">
      <c r="A2013" s="5">
        <v>1952</v>
      </c>
      <c r="B2013" s="138">
        <f>'Cap Outlay Deprec 26'!C16</f>
        <v>9093648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81431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45799</v>
      </c>
      <c r="D2018" s="2" t="str">
        <f t="shared" si="30"/>
        <v>Error?</v>
      </c>
    </row>
    <row r="2019" spans="1:4" x14ac:dyDescent="0.2">
      <c r="A2019" s="5">
        <v>1958</v>
      </c>
      <c r="B2019" s="138">
        <f>'Cap Outlay Deprec 26'!D16</f>
        <v>127230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86845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136543</v>
      </c>
      <c r="C2025" s="2" t="s">
        <v>573</v>
      </c>
      <c r="D2025" s="2" t="str">
        <f t="shared" si="30"/>
        <v>Error?</v>
      </c>
    </row>
    <row r="2026" spans="1:4" x14ac:dyDescent="0.2">
      <c r="A2026" s="5">
        <v>1965</v>
      </c>
      <c r="B2026" s="138">
        <f>'Cap Outlay Deprec 26'!F5</f>
        <v>15425</v>
      </c>
      <c r="C2026" s="2" t="s">
        <v>573</v>
      </c>
      <c r="D2026" s="2" t="str">
        <f t="shared" si="30"/>
        <v>Error?</v>
      </c>
    </row>
    <row r="2027" spans="1:4" x14ac:dyDescent="0.2">
      <c r="A2027" s="5">
        <v>1966</v>
      </c>
      <c r="B2027" s="138">
        <f>'Cap Outlay Deprec 26'!F8</f>
        <v>7740215</v>
      </c>
      <c r="C2027" s="2" t="s">
        <v>573</v>
      </c>
      <c r="D2027" s="2" t="str">
        <f t="shared" si="30"/>
        <v>Error?</v>
      </c>
    </row>
    <row r="2028" spans="1:4" x14ac:dyDescent="0.2">
      <c r="A2028" s="5">
        <v>1967</v>
      </c>
      <c r="B2028" s="138">
        <f>'Cap Outlay Deprec 26'!F10</f>
        <v>397541</v>
      </c>
      <c r="C2028" s="2" t="s">
        <v>573</v>
      </c>
      <c r="D2028" s="2" t="str">
        <f t="shared" si="30"/>
        <v>Error?</v>
      </c>
    </row>
    <row r="2029" spans="1:4" x14ac:dyDescent="0.2">
      <c r="A2029" s="5">
        <v>1968</v>
      </c>
      <c r="B2029" s="138">
        <f>'Cap Outlay Deprec 26'!F12</f>
        <v>173395</v>
      </c>
      <c r="C2029" s="2" t="s">
        <v>573</v>
      </c>
      <c r="D2029" s="2" t="str">
        <f t="shared" si="30"/>
        <v>Error?</v>
      </c>
    </row>
    <row r="2030" spans="1:4" x14ac:dyDescent="0.2">
      <c r="A2030" s="5">
        <v>1969</v>
      </c>
      <c r="B2030" s="138">
        <f>'Cap Outlay Deprec 26'!F13</f>
        <v>757759</v>
      </c>
      <c r="C2030" s="2" t="s">
        <v>573</v>
      </c>
      <c r="D2030" s="2" t="str">
        <f t="shared" si="30"/>
        <v>Error?</v>
      </c>
    </row>
    <row r="2031" spans="1:4" x14ac:dyDescent="0.2">
      <c r="A2031" s="5">
        <v>1970</v>
      </c>
      <c r="B2031" s="138">
        <f>'Cap Outlay Deprec 26'!F16</f>
        <v>9084335</v>
      </c>
      <c r="C2031" s="2" t="s">
        <v>573</v>
      </c>
      <c r="D2031" s="2" t="str">
        <f t="shared" si="30"/>
        <v>Error?</v>
      </c>
    </row>
    <row r="2032" spans="1:4" x14ac:dyDescent="0.2">
      <c r="A2032" s="10">
        <v>1971</v>
      </c>
      <c r="D2032" s="2" t="str">
        <f t="shared" si="30"/>
        <v>OK</v>
      </c>
    </row>
    <row r="2033" spans="1:4" x14ac:dyDescent="0.2">
      <c r="A2033" s="5">
        <v>1972</v>
      </c>
      <c r="B2033" s="138">
        <f>'Cap Outlay Deprec 26'!H8</f>
        <v>3022182</v>
      </c>
      <c r="D2033" s="2" t="str">
        <f t="shared" si="30"/>
        <v>Error?</v>
      </c>
    </row>
    <row r="2034" spans="1:4" x14ac:dyDescent="0.2">
      <c r="A2034" s="5">
        <v>1973</v>
      </c>
      <c r="B2034" s="138">
        <f>'Cap Outlay Deprec 26'!H10</f>
        <v>218959</v>
      </c>
      <c r="D2034" s="2" t="str">
        <f t="shared" si="30"/>
        <v>Error?</v>
      </c>
    </row>
    <row r="2035" spans="1:4" x14ac:dyDescent="0.2">
      <c r="A2035" s="5">
        <v>1974</v>
      </c>
      <c r="B2035" s="138">
        <f>'Cap Outlay Deprec 26'!H12</f>
        <v>175070</v>
      </c>
      <c r="D2035" s="2" t="str">
        <f t="shared" si="30"/>
        <v>Error?</v>
      </c>
    </row>
    <row r="2036" spans="1:4" x14ac:dyDescent="0.2">
      <c r="A2036" s="5">
        <v>1975</v>
      </c>
      <c r="B2036" s="138">
        <f>'Cap Outlay Deprec 26'!H13</f>
        <v>681808</v>
      </c>
      <c r="D2036" s="2" t="str">
        <f t="shared" si="30"/>
        <v>Error?</v>
      </c>
    </row>
    <row r="2037" spans="1:4" x14ac:dyDescent="0.2">
      <c r="A2037" s="5">
        <v>1976</v>
      </c>
      <c r="B2037" s="138">
        <f>'Cap Outlay Deprec 26'!H16</f>
        <v>4098019</v>
      </c>
      <c r="C2037" s="2" t="s">
        <v>573</v>
      </c>
      <c r="D2037" s="2" t="str">
        <f t="shared" si="30"/>
        <v>Error?</v>
      </c>
    </row>
    <row r="2038" spans="1:4" x14ac:dyDescent="0.2">
      <c r="A2038" s="10">
        <v>1977</v>
      </c>
      <c r="D2038" s="2" t="str">
        <f t="shared" si="30"/>
        <v>OK</v>
      </c>
    </row>
    <row r="2039" spans="1:4" x14ac:dyDescent="0.2">
      <c r="A2039" s="5">
        <v>1978</v>
      </c>
      <c r="B2039" s="138">
        <f>'Cap Outlay Deprec 26'!I8</f>
        <v>130526</v>
      </c>
      <c r="D2039" s="2" t="str">
        <f t="shared" si="30"/>
        <v>Error?</v>
      </c>
    </row>
    <row r="2040" spans="1:4" x14ac:dyDescent="0.2">
      <c r="A2040" s="5">
        <v>1979</v>
      </c>
      <c r="B2040" s="138">
        <f>'Cap Outlay Deprec 26'!I10</f>
        <v>13494</v>
      </c>
      <c r="D2040" s="2" t="str">
        <f t="shared" si="30"/>
        <v>Error?</v>
      </c>
    </row>
    <row r="2041" spans="1:4" x14ac:dyDescent="0.2">
      <c r="A2041" s="5">
        <v>1980</v>
      </c>
      <c r="B2041" s="138">
        <f>'Cap Outlay Deprec 26'!I12</f>
        <v>16718</v>
      </c>
      <c r="D2041" s="2" t="str">
        <f t="shared" si="30"/>
        <v>Error?</v>
      </c>
    </row>
    <row r="2042" spans="1:4" x14ac:dyDescent="0.2">
      <c r="A2042" s="5">
        <v>1981</v>
      </c>
      <c r="B2042" s="138">
        <f>'Cap Outlay Deprec 26'!I13</f>
        <v>18021</v>
      </c>
      <c r="D2042" s="2" t="str">
        <f t="shared" si="30"/>
        <v>Error?</v>
      </c>
    </row>
    <row r="2043" spans="1:4" x14ac:dyDescent="0.2">
      <c r="A2043" s="5">
        <v>1982</v>
      </c>
      <c r="B2043" s="138">
        <f>'Cap Outlay Deprec 26'!I16</f>
        <v>178759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86845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86845</v>
      </c>
      <c r="C2049" s="2" t="s">
        <v>573</v>
      </c>
      <c r="D2049" s="2" t="str">
        <f t="shared" si="31"/>
        <v>Error?</v>
      </c>
    </row>
    <row r="2050" spans="1:4" x14ac:dyDescent="0.2">
      <c r="A2050" s="10">
        <v>1989</v>
      </c>
      <c r="D2050" s="2" t="str">
        <f t="shared" si="31"/>
        <v>OK</v>
      </c>
    </row>
    <row r="2051" spans="1:4" x14ac:dyDescent="0.2">
      <c r="A2051" s="5">
        <v>1990</v>
      </c>
      <c r="B2051" s="138">
        <f>'Cap Outlay Deprec 26'!K8</f>
        <v>3152708</v>
      </c>
      <c r="C2051" s="2" t="s">
        <v>573</v>
      </c>
      <c r="D2051" s="2" t="str">
        <f t="shared" si="31"/>
        <v>Error?</v>
      </c>
    </row>
    <row r="2052" spans="1:4" x14ac:dyDescent="0.2">
      <c r="A2052" s="5">
        <v>1991</v>
      </c>
      <c r="B2052" s="138">
        <f>'Cap Outlay Deprec 26'!K10</f>
        <v>232453</v>
      </c>
      <c r="C2052" s="2" t="s">
        <v>573</v>
      </c>
      <c r="D2052" s="2" t="str">
        <f t="shared" si="31"/>
        <v>Error?</v>
      </c>
    </row>
    <row r="2053" spans="1:4" x14ac:dyDescent="0.2">
      <c r="A2053" s="5">
        <v>1992</v>
      </c>
      <c r="B2053" s="138">
        <f>'Cap Outlay Deprec 26'!K12</f>
        <v>104943</v>
      </c>
      <c r="C2053" s="2" t="s">
        <v>573</v>
      </c>
      <c r="D2053" s="2" t="str">
        <f t="shared" si="31"/>
        <v>Error?</v>
      </c>
    </row>
    <row r="2054" spans="1:4" x14ac:dyDescent="0.2">
      <c r="A2054" s="5">
        <v>1993</v>
      </c>
      <c r="B2054" s="138">
        <f>'Cap Outlay Deprec 26'!K13</f>
        <v>699829</v>
      </c>
      <c r="C2054" s="2" t="s">
        <v>573</v>
      </c>
      <c r="D2054" s="2" t="str">
        <f t="shared" si="31"/>
        <v>Error?</v>
      </c>
    </row>
    <row r="2055" spans="1:4" x14ac:dyDescent="0.2">
      <c r="A2055" s="5">
        <v>1994</v>
      </c>
      <c r="B2055" s="138">
        <f>'Cap Outlay Deprec 26'!K16</f>
        <v>4189933</v>
      </c>
      <c r="C2055" s="2" t="s">
        <v>573</v>
      </c>
      <c r="D2055" s="2" t="str">
        <f t="shared" si="31"/>
        <v>Error?</v>
      </c>
    </row>
    <row r="2056" spans="1:4" x14ac:dyDescent="0.2">
      <c r="A2056" s="5">
        <v>1995</v>
      </c>
      <c r="B2056" s="138">
        <f>'Cap Outlay Deprec 26'!L5</f>
        <v>15425</v>
      </c>
      <c r="C2056" s="2" t="s">
        <v>573</v>
      </c>
      <c r="D2056" s="2" t="str">
        <f t="shared" si="31"/>
        <v>Error?</v>
      </c>
    </row>
    <row r="2057" spans="1:4" x14ac:dyDescent="0.2">
      <c r="A2057" s="5">
        <v>1996</v>
      </c>
      <c r="B2057" s="138">
        <f>'Cap Outlay Deprec 26'!L8</f>
        <v>4587507</v>
      </c>
      <c r="C2057" s="2" t="s">
        <v>573</v>
      </c>
      <c r="D2057" s="2" t="str">
        <f t="shared" si="31"/>
        <v>Error?</v>
      </c>
    </row>
    <row r="2058" spans="1:4" x14ac:dyDescent="0.2">
      <c r="A2058" s="5">
        <v>1997</v>
      </c>
      <c r="B2058" s="138">
        <f>'Cap Outlay Deprec 26'!L10</f>
        <v>165088</v>
      </c>
      <c r="C2058" s="2" t="s">
        <v>573</v>
      </c>
      <c r="D2058" s="2" t="str">
        <f t="shared" si="31"/>
        <v>Error?</v>
      </c>
    </row>
    <row r="2059" spans="1:4" x14ac:dyDescent="0.2">
      <c r="A2059" s="5">
        <v>1998</v>
      </c>
      <c r="B2059" s="138">
        <f>'Cap Outlay Deprec 26'!L12</f>
        <v>68452</v>
      </c>
      <c r="C2059" s="2" t="s">
        <v>573</v>
      </c>
      <c r="D2059" s="2" t="str">
        <f t="shared" si="31"/>
        <v>Error?</v>
      </c>
    </row>
    <row r="2060" spans="1:4" x14ac:dyDescent="0.2">
      <c r="A2060" s="5">
        <v>1999</v>
      </c>
      <c r="B2060" s="138">
        <f>'Cap Outlay Deprec 26'!L13</f>
        <v>57930</v>
      </c>
      <c r="C2060" s="2" t="s">
        <v>573</v>
      </c>
      <c r="D2060" s="2" t="str">
        <f t="shared" si="31"/>
        <v>Error?</v>
      </c>
    </row>
    <row r="2061" spans="1:4" x14ac:dyDescent="0.2">
      <c r="A2061" s="5">
        <v>2000</v>
      </c>
      <c r="B2061" s="138">
        <f>'Cap Outlay Deprec 26'!L16</f>
        <v>4894402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59889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59889</v>
      </c>
      <c r="C2088" s="2" t="s">
        <v>573</v>
      </c>
      <c r="D2088" s="2" t="str">
        <f t="shared" si="31"/>
        <v>Error?</v>
      </c>
    </row>
    <row r="2089" spans="1:4" x14ac:dyDescent="0.2">
      <c r="A2089" s="5">
        <v>2028</v>
      </c>
      <c r="B2089" s="138">
        <f>'Expenditures 15-22'!K92</f>
        <v>420652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7900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893888</v>
      </c>
      <c r="C2551" s="2" t="s">
        <v>573</v>
      </c>
      <c r="D2551" s="2" t="str">
        <f t="shared" si="38"/>
        <v>Error?</v>
      </c>
    </row>
    <row r="2552" spans="1:4" x14ac:dyDescent="0.2">
      <c r="A2552" s="10">
        <v>2491</v>
      </c>
      <c r="D2552" s="2" t="str">
        <f t="shared" si="38"/>
        <v>OK</v>
      </c>
    </row>
    <row r="2553" spans="1:4" x14ac:dyDescent="0.2">
      <c r="A2553" s="5">
        <v>2492</v>
      </c>
      <c r="B2553" s="138">
        <f>'Acct Summary 7-8'!C6</f>
        <v>1828091</v>
      </c>
      <c r="C2553" s="2" t="s">
        <v>573</v>
      </c>
      <c r="D2553" s="2" t="str">
        <f t="shared" si="38"/>
        <v>Error?</v>
      </c>
    </row>
    <row r="2554" spans="1:4" x14ac:dyDescent="0.2">
      <c r="A2554" s="5">
        <v>2493</v>
      </c>
      <c r="B2554" s="138">
        <f>'Acct Summary 7-8'!C7</f>
        <v>382714</v>
      </c>
      <c r="C2554" s="2" t="s">
        <v>573</v>
      </c>
      <c r="D2554" s="2" t="str">
        <f t="shared" si="38"/>
        <v>Error?</v>
      </c>
    </row>
    <row r="2555" spans="1:4" x14ac:dyDescent="0.2">
      <c r="A2555" s="5">
        <v>2494</v>
      </c>
      <c r="B2555" s="138">
        <f>'Acct Summary 7-8'!C8</f>
        <v>3122335</v>
      </c>
      <c r="C2555" s="2" t="s">
        <v>573</v>
      </c>
      <c r="D2555" s="2" t="str">
        <f t="shared" si="38"/>
        <v>Error?</v>
      </c>
    </row>
    <row r="2556" spans="1:4" x14ac:dyDescent="0.2">
      <c r="A2556" s="5">
        <v>2495</v>
      </c>
      <c r="B2556" s="138">
        <f>'Acct Summary 7-8'!C12</f>
        <v>1474383</v>
      </c>
      <c r="C2556" s="2" t="s">
        <v>573</v>
      </c>
      <c r="D2556" s="2" t="str">
        <f t="shared" si="38"/>
        <v>Error?</v>
      </c>
    </row>
    <row r="2557" spans="1:4" x14ac:dyDescent="0.2">
      <c r="A2557" s="5">
        <v>2496</v>
      </c>
      <c r="B2557" s="138">
        <f>'Acct Summary 7-8'!C13</f>
        <v>962029</v>
      </c>
      <c r="C2557" s="2" t="s">
        <v>573</v>
      </c>
      <c r="D2557" s="2" t="str">
        <f t="shared" si="38"/>
        <v>Error?</v>
      </c>
    </row>
    <row r="2558" spans="1:4" x14ac:dyDescent="0.2">
      <c r="A2558" s="5">
        <v>2497</v>
      </c>
      <c r="B2558" s="138">
        <f>'Acct Summary 7-8'!C14</f>
        <v>410634</v>
      </c>
      <c r="C2558" s="2" t="s">
        <v>573</v>
      </c>
      <c r="D2558" s="2" t="str">
        <f t="shared" si="38"/>
        <v>Error?</v>
      </c>
    </row>
    <row r="2559" spans="1:4" x14ac:dyDescent="0.2">
      <c r="A2559" s="5">
        <v>2498</v>
      </c>
      <c r="B2559" s="138">
        <f>'Acct Summary 7-8'!C15</f>
        <v>480541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3327587</v>
      </c>
      <c r="C2561" s="2" t="s">
        <v>573</v>
      </c>
      <c r="D2561" s="2" t="str">
        <f t="shared" si="39"/>
        <v>Error?</v>
      </c>
    </row>
    <row r="2562" spans="1:4" x14ac:dyDescent="0.2">
      <c r="A2562" s="5">
        <v>2501</v>
      </c>
      <c r="B2562" s="138">
        <f>'Acct Summary 7-8'!C20</f>
        <v>-205252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366015</v>
      </c>
      <c r="C2564" s="2" t="s">
        <v>573</v>
      </c>
      <c r="D2564" s="2" t="str">
        <f t="shared" si="39"/>
        <v>Error?</v>
      </c>
    </row>
    <row r="2565" spans="1:4" x14ac:dyDescent="0.2">
      <c r="A2565" s="10">
        <v>2504</v>
      </c>
      <c r="D2565" s="2" t="str">
        <f t="shared" si="39"/>
        <v>OK</v>
      </c>
    </row>
    <row r="2566" spans="1:4" x14ac:dyDescent="0.2">
      <c r="A2566" s="5">
        <v>2505</v>
      </c>
      <c r="B2566" s="138">
        <f>'Acct Summary 7-8'!D6</f>
        <v>39968</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405983</v>
      </c>
      <c r="C2568" s="2" t="s">
        <v>573</v>
      </c>
      <c r="D2568" s="2" t="str">
        <f t="shared" si="39"/>
        <v>Error?</v>
      </c>
    </row>
    <row r="2569" spans="1:4" x14ac:dyDescent="0.2">
      <c r="A2569" s="5">
        <v>2508</v>
      </c>
      <c r="B2569" s="138">
        <f>'Acct Summary 7-8'!D13</f>
        <v>356000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356000</v>
      </c>
      <c r="C2573" s="2" t="s">
        <v>573</v>
      </c>
      <c r="D2573" s="2" t="str">
        <f t="shared" si="39"/>
        <v>Error?</v>
      </c>
    </row>
    <row r="2574" spans="1:4" x14ac:dyDescent="0.2">
      <c r="A2574" s="5">
        <v>2513</v>
      </c>
      <c r="B2574" s="138">
        <f>'Acct Summary 7-8'!D20</f>
        <v>49983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125699</v>
      </c>
      <c r="C2591" s="2" t="s">
        <v>573</v>
      </c>
      <c r="D2591" s="2" t="str">
        <f t="shared" si="39"/>
        <v>Error?</v>
      </c>
    </row>
    <row r="2592" spans="1:4" x14ac:dyDescent="0.2">
      <c r="A2592" s="10">
        <v>2531</v>
      </c>
      <c r="D2592" s="2" t="str">
        <f t="shared" si="39"/>
        <v>OK</v>
      </c>
    </row>
    <row r="2593" spans="1:4" x14ac:dyDescent="0.2">
      <c r="A2593" s="5">
        <v>2532</v>
      </c>
      <c r="B2593" s="138">
        <f>'Acct Summary 7-8'!F6</f>
        <v>204511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330210</v>
      </c>
      <c r="C2595" s="2" t="s">
        <v>573</v>
      </c>
      <c r="D2595" s="2" t="str">
        <f t="shared" si="39"/>
        <v>Error?</v>
      </c>
    </row>
    <row r="2596" spans="1:4" x14ac:dyDescent="0.2">
      <c r="A2596" s="5">
        <v>2535</v>
      </c>
      <c r="B2596" s="138">
        <f>'Acct Summary 7-8'!F13</f>
        <v>344126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344126</v>
      </c>
      <c r="C2600" s="2" t="s">
        <v>573</v>
      </c>
      <c r="D2600" s="2" t="str">
        <f t="shared" si="39"/>
        <v>Error?</v>
      </c>
    </row>
    <row r="2601" spans="1:4" x14ac:dyDescent="0.2">
      <c r="A2601" s="5">
        <v>2540</v>
      </c>
      <c r="B2601" s="138">
        <f>'Acct Summary 7-8'!F20</f>
        <v>-13916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128160</v>
      </c>
      <c r="C2603" s="2" t="s">
        <v>573</v>
      </c>
      <c r="D2603" s="2" t="str">
        <f t="shared" si="39"/>
        <v>Error?</v>
      </c>
    </row>
    <row r="2604" spans="1:4" x14ac:dyDescent="0.2">
      <c r="A2604" s="5">
        <v>2543</v>
      </c>
      <c r="B2604" s="138">
        <f>'Acct Summary 7-8'!G6</f>
        <v>9640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137800</v>
      </c>
      <c r="C2606" s="2" t="s">
        <v>573</v>
      </c>
      <c r="D2606" s="2" t="str">
        <f t="shared" si="39"/>
        <v>Error?</v>
      </c>
    </row>
    <row r="2607" spans="1:4" x14ac:dyDescent="0.2">
      <c r="A2607" s="5">
        <v>2546</v>
      </c>
      <c r="B2607" s="138">
        <f>'Acct Summary 7-8'!G12</f>
        <v>42251</v>
      </c>
      <c r="C2607" s="2" t="s">
        <v>573</v>
      </c>
      <c r="D2607" s="2" t="str">
        <f t="shared" si="39"/>
        <v>Error?</v>
      </c>
    </row>
    <row r="2608" spans="1:4" x14ac:dyDescent="0.2">
      <c r="A2608" s="5">
        <v>2547</v>
      </c>
      <c r="B2608" s="138">
        <f>'Acct Summary 7-8'!G13</f>
        <v>93828</v>
      </c>
      <c r="C2608" s="2" t="s">
        <v>573</v>
      </c>
      <c r="D2608" s="2" t="str">
        <f t="shared" si="39"/>
        <v>Error?</v>
      </c>
    </row>
    <row r="2609" spans="1:4" x14ac:dyDescent="0.2">
      <c r="A2609" s="5">
        <v>2548</v>
      </c>
      <c r="B2609" s="138">
        <f>'Acct Summary 7-8'!G14</f>
        <v>37066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173145</v>
      </c>
      <c r="C2612" s="2" t="s">
        <v>573</v>
      </c>
      <c r="D2612" s="2" t="str">
        <f t="shared" si="39"/>
        <v>Error?</v>
      </c>
    </row>
    <row r="2613" spans="1:4" x14ac:dyDescent="0.2">
      <c r="A2613" s="5">
        <v>2552</v>
      </c>
      <c r="B2613" s="138">
        <f>'Acct Summary 7-8'!G20</f>
        <v>-35345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95948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95948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95882</v>
      </c>
      <c r="C2634" s="2" t="s">
        <v>573</v>
      </c>
      <c r="D2634" s="2" t="str">
        <f t="shared" si="40"/>
        <v>Error?</v>
      </c>
    </row>
    <row r="2635" spans="1:4" x14ac:dyDescent="0.2">
      <c r="A2635" s="5">
        <v>2574</v>
      </c>
      <c r="B2635" s="138">
        <f>'Acct Summary 7-8'!E17</f>
        <v>95882</v>
      </c>
      <c r="C2635" s="2" t="s">
        <v>573</v>
      </c>
      <c r="D2635" s="2" t="str">
        <f t="shared" si="40"/>
        <v>Error?</v>
      </c>
    </row>
    <row r="2636" spans="1:4" x14ac:dyDescent="0.2">
      <c r="A2636" s="5">
        <v>2575</v>
      </c>
      <c r="B2636" s="138">
        <f>'Acct Summary 7-8'!E20</f>
        <v>66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277574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177358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277574</v>
      </c>
      <c r="D2912" s="2" t="str">
        <f t="shared" si="44"/>
        <v>Error?</v>
      </c>
    </row>
    <row r="2913" spans="1:4" x14ac:dyDescent="0.2">
      <c r="A2913" s="5">
        <v>2852</v>
      </c>
      <c r="B2913" s="138">
        <f>'Assets-Liab 5-6'!I41</f>
        <v>277574</v>
      </c>
      <c r="C2913" s="2" t="s">
        <v>573</v>
      </c>
      <c r="D2913" s="2" t="str">
        <f t="shared" si="44"/>
        <v>Error?</v>
      </c>
    </row>
    <row r="2914" spans="1:4" x14ac:dyDescent="0.2">
      <c r="A2914" s="5">
        <v>2853</v>
      </c>
      <c r="B2914" s="138">
        <f>'Assets-Liab 5-6'!L33</f>
        <v>177358</v>
      </c>
      <c r="D2914" s="2" t="str">
        <f t="shared" si="44"/>
        <v>Error?</v>
      </c>
    </row>
    <row r="2915" spans="1:4" x14ac:dyDescent="0.2">
      <c r="A2915" s="10">
        <v>2854</v>
      </c>
      <c r="D2915" s="2" t="str">
        <f t="shared" si="44"/>
        <v>OK</v>
      </c>
    </row>
    <row r="2916" spans="1:4" x14ac:dyDescent="0.2">
      <c r="A2916" s="5">
        <v>2855</v>
      </c>
      <c r="B2916" s="138">
        <f>'Assets-Liab 5-6'!L34</f>
        <v>177358</v>
      </c>
      <c r="C2916" s="2" t="s">
        <v>573</v>
      </c>
      <c r="D2916" s="2" t="str">
        <f t="shared" si="44"/>
        <v>Error?</v>
      </c>
    </row>
    <row r="2917" spans="1:4" x14ac:dyDescent="0.2">
      <c r="A2917" s="5">
        <v>2856</v>
      </c>
      <c r="B2917" s="138">
        <f>'Assets-Liab 5-6'!L41</f>
        <v>177358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59889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59889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48087</v>
      </c>
      <c r="D3055" s="2" t="str">
        <f t="shared" si="46"/>
        <v>Error?</v>
      </c>
    </row>
    <row r="3056" spans="1:4" x14ac:dyDescent="0.2">
      <c r="A3056" s="5">
        <v>2995</v>
      </c>
      <c r="B3056" s="138">
        <f>'Expenditures 15-22'!D10</f>
        <v>522</v>
      </c>
      <c r="D3056" s="2" t="str">
        <f t="shared" si="46"/>
        <v>Error?</v>
      </c>
    </row>
    <row r="3057" spans="1:4" x14ac:dyDescent="0.2">
      <c r="A3057" s="5">
        <v>2996</v>
      </c>
      <c r="B3057" s="138">
        <f>'Expenditures 15-22'!E10</f>
        <v>32880</v>
      </c>
      <c r="D3057" s="2" t="str">
        <f t="shared" si="46"/>
        <v>Error?</v>
      </c>
    </row>
    <row r="3058" spans="1:4" x14ac:dyDescent="0.2">
      <c r="A3058" s="5">
        <v>2997</v>
      </c>
      <c r="B3058" s="138">
        <f>'Expenditures 15-22'!F10</f>
        <v>9894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91383</v>
      </c>
      <c r="C3062" s="2" t="s">
        <v>573</v>
      </c>
      <c r="D3062" s="2" t="str">
        <f t="shared" si="46"/>
        <v>Error?</v>
      </c>
    </row>
    <row r="3063" spans="1:4" x14ac:dyDescent="0.2">
      <c r="A3063" s="10">
        <v>3002</v>
      </c>
      <c r="D3063" s="2" t="str">
        <f t="shared" si="46"/>
        <v>OK</v>
      </c>
    </row>
    <row r="3064" spans="1:4" x14ac:dyDescent="0.2">
      <c r="A3064" s="5">
        <v>3003</v>
      </c>
      <c r="B3064" s="138">
        <f>'Expenditures 15-22'!D219</f>
        <v>7281</v>
      </c>
      <c r="D3064" s="2" t="str">
        <f t="shared" si="46"/>
        <v>Error?</v>
      </c>
    </row>
    <row r="3065" spans="1:4" x14ac:dyDescent="0.2">
      <c r="A3065" s="5">
        <v>3004</v>
      </c>
      <c r="B3065" s="138">
        <f>'Expenditures 15-22'!K219</f>
        <v>7281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12807</v>
      </c>
      <c r="C3225" s="2" t="s">
        <v>573</v>
      </c>
      <c r="D3225" s="2" t="str">
        <f t="shared" si="49"/>
        <v>Error?</v>
      </c>
    </row>
    <row r="3226" spans="1:4" x14ac:dyDescent="0.2">
      <c r="A3226" s="5">
        <v>3165</v>
      </c>
      <c r="B3226" s="138">
        <f>'Acct Summary 7-8'!I8</f>
        <v>12807</v>
      </c>
      <c r="C3226" s="2" t="s">
        <v>573</v>
      </c>
      <c r="D3226" s="2" t="str">
        <f t="shared" si="49"/>
        <v>Error?</v>
      </c>
    </row>
    <row r="3227" spans="1:4" x14ac:dyDescent="0.2">
      <c r="A3227" s="5">
        <v>3166</v>
      </c>
      <c r="B3227" s="138">
        <f>'Acct Summary 7-8'!I20</f>
        <v>12807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-205252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49983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-13916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-35345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12807</v>
      </c>
      <c r="C3320" s="2" t="s">
        <v>573</v>
      </c>
      <c r="D3320" s="2" t="str">
        <f t="shared" si="50"/>
        <v>Error?</v>
      </c>
    </row>
    <row r="3321" spans="1:4" x14ac:dyDescent="0.2">
      <c r="A3321" s="5">
        <v>3260</v>
      </c>
      <c r="B3321" s="138">
        <f>'Acct Summary 7-8'!I79</f>
        <v>264767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277574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152694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6363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171638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17362</v>
      </c>
      <c r="D3387" s="2" t="str">
        <f t="shared" si="51"/>
        <v>Error?</v>
      </c>
    </row>
    <row r="3388" spans="1:4" x14ac:dyDescent="0.2">
      <c r="A3388" s="5">
        <v>3327</v>
      </c>
      <c r="B3388" s="138">
        <f>'Expenditures 15-22'!D217</f>
        <v>10034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17362</v>
      </c>
      <c r="C3390" s="2" t="s">
        <v>573</v>
      </c>
      <c r="D3390" s="2" t="str">
        <f t="shared" si="51"/>
        <v>Error?</v>
      </c>
    </row>
    <row r="3391" spans="1:4" x14ac:dyDescent="0.2">
      <c r="A3391" s="5">
        <v>3330</v>
      </c>
      <c r="B3391" s="138">
        <f>'Expenditures 15-22'!K217</f>
        <v>10034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17642</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748398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97945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5974</v>
      </c>
      <c r="D3417" s="2" t="str">
        <f t="shared" si="52"/>
        <v>Error?</v>
      </c>
    </row>
    <row r="3418" spans="1:4" x14ac:dyDescent="0.2">
      <c r="A3418" s="10">
        <v>3357</v>
      </c>
      <c r="D3418" s="2" t="str">
        <f t="shared" si="52"/>
        <v>OK</v>
      </c>
    </row>
    <row r="3419" spans="1:4" x14ac:dyDescent="0.2">
      <c r="A3419" s="5">
        <v>3358</v>
      </c>
      <c r="B3419" s="138">
        <f>'Assets-Liab 5-6'!F4</f>
        <v>63194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113884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277574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177358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52694</v>
      </c>
      <c r="C3446" s="2" t="s">
        <v>573</v>
      </c>
      <c r="D3446" s="2" t="str">
        <f t="shared" si="52"/>
        <v>Error?</v>
      </c>
    </row>
    <row r="3447" spans="1:4" x14ac:dyDescent="0.2">
      <c r="A3447" s="5">
        <v>3386</v>
      </c>
      <c r="B3447" s="138">
        <f>'Tax Sched 23'!D16</f>
        <v>52694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54783</v>
      </c>
      <c r="C3449" s="2" t="s">
        <v>573</v>
      </c>
      <c r="D3449" s="2" t="str">
        <f t="shared" si="52"/>
        <v>Error?</v>
      </c>
    </row>
    <row r="3450" spans="1:4" x14ac:dyDescent="0.2">
      <c r="A3450" s="5">
        <v>3389</v>
      </c>
      <c r="B3450" s="138">
        <f>'Tax Sched 23'!E16</f>
        <v>54783</v>
      </c>
      <c r="D3450" s="2" t="str">
        <f t="shared" si="52"/>
        <v>Error?</v>
      </c>
    </row>
    <row r="3451" spans="1:4" x14ac:dyDescent="0.2">
      <c r="A3451" s="5">
        <v>3390</v>
      </c>
      <c r="B3451" s="138">
        <f>'Cap Outlay Deprec 26'!C15</f>
        <v>49698</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49698</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34157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34157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34157</v>
      </c>
      <c r="D3567" s="2" t="str">
        <f t="shared" si="54"/>
        <v>Error?</v>
      </c>
    </row>
    <row r="3568" spans="1:4" x14ac:dyDescent="0.2">
      <c r="A3568" s="5">
        <v>3507</v>
      </c>
      <c r="B3568" s="138">
        <f>'Assets-Liab 5-6'!K41</f>
        <v>34157</v>
      </c>
      <c r="C3568" s="2" t="s">
        <v>573</v>
      </c>
      <c r="D3568" s="2" t="str">
        <f t="shared" si="54"/>
        <v>Error?</v>
      </c>
    </row>
    <row r="3569" spans="1:4" x14ac:dyDescent="0.2">
      <c r="A3569" s="5">
        <v>3508</v>
      </c>
      <c r="B3569" s="138">
        <f>'Acct Summary 7-8'!K4</f>
        <v>11947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11947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11947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11947</v>
      </c>
      <c r="C3588" s="2" t="s">
        <v>573</v>
      </c>
      <c r="D3588" s="2" t="str">
        <f t="shared" si="55"/>
        <v>Error?</v>
      </c>
    </row>
    <row r="3589" spans="1:4" x14ac:dyDescent="0.2">
      <c r="A3589" s="5">
        <v>3528</v>
      </c>
      <c r="B3589" s="138">
        <f>'Acct Summary 7-8'!K79</f>
        <v>22210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34157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11947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104265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-3948</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-3948</v>
      </c>
      <c r="D4111" s="2" t="str">
        <f t="shared" si="63"/>
        <v>Error?</v>
      </c>
    </row>
    <row r="4112" spans="1:4" x14ac:dyDescent="0.2">
      <c r="A4112" s="10">
        <v>4051</v>
      </c>
      <c r="D4112" s="2" t="str">
        <f t="shared" si="63"/>
        <v>OK</v>
      </c>
    </row>
    <row r="4113" spans="1:4" x14ac:dyDescent="0.2">
      <c r="A4113" s="5">
        <v>4052</v>
      </c>
      <c r="B4113" s="138">
        <f>'Acct Summary 7-8'!C9</f>
        <v>1000937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4123272</v>
      </c>
      <c r="C4122" s="2" t="s">
        <v>573</v>
      </c>
      <c r="D4122" s="2" t="str">
        <f t="shared" si="63"/>
        <v>Error?</v>
      </c>
    </row>
    <row r="4123" spans="1:4" x14ac:dyDescent="0.2">
      <c r="A4123" s="5">
        <v>4062</v>
      </c>
      <c r="B4123" s="138">
        <f>'Acct Summary 7-8'!D10</f>
        <v>405983</v>
      </c>
      <c r="C4123" s="2" t="s">
        <v>573</v>
      </c>
      <c r="D4123" s="2" t="str">
        <f t="shared" si="63"/>
        <v>Error?</v>
      </c>
    </row>
    <row r="4124" spans="1:4" x14ac:dyDescent="0.2">
      <c r="A4124" s="5">
        <v>4063</v>
      </c>
      <c r="B4124" s="138">
        <f>'Acct Summary 7-8'!E10</f>
        <v>95948</v>
      </c>
      <c r="C4124" s="2" t="s">
        <v>573</v>
      </c>
      <c r="D4124" s="2" t="str">
        <f t="shared" si="63"/>
        <v>Error?</v>
      </c>
    </row>
    <row r="4125" spans="1:4" x14ac:dyDescent="0.2">
      <c r="A4125" s="5">
        <v>4064</v>
      </c>
      <c r="B4125" s="138">
        <f>'Acct Summary 7-8'!F10</f>
        <v>330210</v>
      </c>
      <c r="C4125" s="2" t="s">
        <v>573</v>
      </c>
      <c r="D4125" s="2" t="str">
        <f t="shared" si="63"/>
        <v>Error?</v>
      </c>
    </row>
    <row r="4126" spans="1:4" x14ac:dyDescent="0.2">
      <c r="A4126" s="5">
        <v>4065</v>
      </c>
      <c r="B4126" s="138">
        <f>'Acct Summary 7-8'!G10</f>
        <v>137800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12807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11947</v>
      </c>
      <c r="C4130" s="2" t="s">
        <v>573</v>
      </c>
      <c r="D4130" s="2" t="str">
        <f t="shared" si="63"/>
        <v>Error?</v>
      </c>
    </row>
    <row r="4131" spans="1:4" x14ac:dyDescent="0.2">
      <c r="A4131" s="5">
        <v>4070</v>
      </c>
      <c r="B4131" s="138">
        <f>'Acct Summary 7-8'!C18</f>
        <v>1000937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4328524</v>
      </c>
      <c r="C4136" s="2" t="s">
        <v>573</v>
      </c>
      <c r="D4136" s="2" t="str">
        <f t="shared" si="63"/>
        <v>Error?</v>
      </c>
    </row>
    <row r="4137" spans="1:4" x14ac:dyDescent="0.2">
      <c r="A4137" s="5">
        <v>4076</v>
      </c>
      <c r="B4137" s="138">
        <f>'Acct Summary 7-8'!D19</f>
        <v>356000</v>
      </c>
      <c r="C4137" s="2" t="s">
        <v>573</v>
      </c>
      <c r="D4137" s="2" t="str">
        <f t="shared" si="63"/>
        <v>Error?</v>
      </c>
    </row>
    <row r="4138" spans="1:4" x14ac:dyDescent="0.2">
      <c r="A4138" s="5">
        <v>4077</v>
      </c>
      <c r="B4138" s="138">
        <f>'Acct Summary 7-8'!E19</f>
        <v>95882</v>
      </c>
      <c r="C4138" s="2" t="s">
        <v>573</v>
      </c>
      <c r="D4138" s="2" t="str">
        <f t="shared" si="63"/>
        <v>Error?</v>
      </c>
    </row>
    <row r="4139" spans="1:4" x14ac:dyDescent="0.2">
      <c r="A4139" s="5">
        <v>4078</v>
      </c>
      <c r="B4139" s="138">
        <f>'Acct Summary 7-8'!F19</f>
        <v>344126</v>
      </c>
      <c r="C4139" s="2" t="s">
        <v>573</v>
      </c>
      <c r="D4139" s="2" t="str">
        <f t="shared" si="63"/>
        <v>Error?</v>
      </c>
    </row>
    <row r="4140" spans="1:4" x14ac:dyDescent="0.2">
      <c r="A4140" s="5">
        <v>4079</v>
      </c>
      <c r="B4140" s="138">
        <f>'Acct Summary 7-8'!G19</f>
        <v>173145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450500</v>
      </c>
      <c r="C4171" s="2" t="s">
        <v>573</v>
      </c>
      <c r="D4171" s="2" t="str">
        <f t="shared" si="64"/>
        <v>Error?</v>
      </c>
    </row>
    <row r="4172" spans="1:4" x14ac:dyDescent="0.2">
      <c r="A4172" s="5">
        <v>4111</v>
      </c>
      <c r="B4172" s="138">
        <f>'Short-Term Long-Term Debt 24'!J49</f>
        <v>444526</v>
      </c>
      <c r="C4172" s="2" t="s">
        <v>573</v>
      </c>
      <c r="D4172" s="2" t="str">
        <f t="shared" si="64"/>
        <v>Error?</v>
      </c>
    </row>
    <row r="4173" spans="1:4" x14ac:dyDescent="0.2">
      <c r="A4173" s="5">
        <v>4112</v>
      </c>
      <c r="B4173" s="138">
        <f>'Short-Term Long-Term Debt 24'!H49</f>
        <v>84700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3300</v>
      </c>
      <c r="C4268" s="2" t="s">
        <v>573</v>
      </c>
      <c r="D4268" s="2" t="str">
        <f t="shared" si="65"/>
        <v>Error?</v>
      </c>
    </row>
    <row r="4269" spans="1:5" x14ac:dyDescent="0.2">
      <c r="A4269" s="12">
        <v>4208</v>
      </c>
      <c r="B4269" s="138">
        <f>'FP Info 3'!J16</f>
        <v>1187111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5004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6266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19227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24858450</v>
      </c>
      <c r="D4995" s="2" t="str">
        <f t="shared" si="77"/>
        <v>Error?</v>
      </c>
    </row>
    <row r="4996" spans="1:4" x14ac:dyDescent="0.2">
      <c r="A4996" s="12">
        <v>4935</v>
      </c>
      <c r="B4996" s="138">
        <f>'FP Info 3'!H31</f>
        <v>3430466.1</v>
      </c>
      <c r="D4996" s="2" t="str">
        <f t="shared" si="77"/>
        <v>Error?</v>
      </c>
    </row>
    <row r="4997" spans="1:4" x14ac:dyDescent="0.2">
      <c r="A4997" s="12">
        <v>4936</v>
      </c>
      <c r="B4997" s="138">
        <f>'FP Info 3'!H37</f>
        <v>450500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613751</v>
      </c>
      <c r="D5061" s="2" t="str">
        <f t="shared" si="78"/>
        <v>Error?</v>
      </c>
    </row>
    <row r="5062" spans="1:4" x14ac:dyDescent="0.2">
      <c r="A5062" s="10">
        <v>5001</v>
      </c>
      <c r="D5062" s="2" t="str">
        <f t="shared" si="78"/>
        <v>OK</v>
      </c>
    </row>
    <row r="5063" spans="1:4" x14ac:dyDescent="0.2">
      <c r="A5063" s="5">
        <v>5002</v>
      </c>
      <c r="B5063" s="138">
        <f>'Revenues 9-14'!C7</f>
        <v>9470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623221</v>
      </c>
      <c r="C5066" s="2" t="s">
        <v>573</v>
      </c>
      <c r="D5066" s="2" t="str">
        <f t="shared" si="78"/>
        <v>Error?</v>
      </c>
    </row>
    <row r="5067" spans="1:4" x14ac:dyDescent="0.2">
      <c r="A5067" s="5">
        <v>5006</v>
      </c>
      <c r="B5067" s="138">
        <f>'Revenues 9-14'!C14</f>
        <v>1861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144109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145970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4236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4236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10578</v>
      </c>
      <c r="D5093" s="2" t="str">
        <f t="shared" si="78"/>
        <v>Error?</v>
      </c>
    </row>
    <row r="5094" spans="1:4" x14ac:dyDescent="0.2">
      <c r="A5094" s="5">
        <v>5033</v>
      </c>
      <c r="B5094" s="138">
        <f>'Revenues 9-14'!C73</f>
        <v>5179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50370</v>
      </c>
      <c r="C5096" s="2" t="s">
        <v>573</v>
      </c>
      <c r="D5096" s="2" t="str">
        <f t="shared" si="78"/>
        <v>Error?</v>
      </c>
    </row>
    <row r="5097" spans="1:4" x14ac:dyDescent="0.2">
      <c r="A5097" s="5">
        <v>5036</v>
      </c>
      <c r="B5097" s="138">
        <f>'Revenues 9-14'!C77</f>
        <v>8765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13048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21813</v>
      </c>
      <c r="C5102" s="2" t="s">
        <v>573</v>
      </c>
      <c r="D5102" s="2" t="str">
        <f t="shared" si="78"/>
        <v>Error?</v>
      </c>
    </row>
    <row r="5103" spans="1:4" x14ac:dyDescent="0.2">
      <c r="A5103" s="5">
        <v>5042</v>
      </c>
      <c r="B5103" s="138">
        <f>'Revenues 9-14'!C84</f>
        <v>17177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17177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17350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13751</v>
      </c>
      <c r="D5119" s="2" t="str">
        <f t="shared" ref="D5119:D5182" si="79">IF(ISBLANK(B5119),"OK",IF(A5119-B5119=0,"OK","Error?"))</f>
        <v>Error?</v>
      </c>
    </row>
    <row r="5120" spans="1:4" x14ac:dyDescent="0.2">
      <c r="A5120" s="5">
        <v>5059</v>
      </c>
      <c r="B5120" s="138">
        <f>'Revenues 9-14'!C108</f>
        <v>31101</v>
      </c>
      <c r="C5120" s="2" t="s">
        <v>573</v>
      </c>
      <c r="D5120" s="2" t="str">
        <f t="shared" si="79"/>
        <v>Error?</v>
      </c>
    </row>
    <row r="5121" spans="1:4" x14ac:dyDescent="0.2">
      <c r="A5121" s="5">
        <v>5060</v>
      </c>
      <c r="B5121" s="138">
        <f>'Revenues 9-14'!C109</f>
        <v>893888</v>
      </c>
      <c r="C5121" s="2" t="s">
        <v>573</v>
      </c>
      <c r="D5121" s="2" t="str">
        <f t="shared" si="79"/>
        <v>Error?</v>
      </c>
    </row>
    <row r="5122" spans="1:4" x14ac:dyDescent="0.2">
      <c r="A5122" s="5">
        <v>5061</v>
      </c>
      <c r="B5122" s="138">
        <f>'Revenues 9-14'!C111</f>
        <v>17642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17642</v>
      </c>
      <c r="C5125" s="2" t="s">
        <v>573</v>
      </c>
      <c r="D5125" s="2" t="str">
        <f t="shared" si="79"/>
        <v>Error?</v>
      </c>
    </row>
    <row r="5126" spans="1:4" x14ac:dyDescent="0.2">
      <c r="A5126" s="5">
        <v>5065</v>
      </c>
      <c r="B5126" s="138">
        <f>'Revenues 9-14'!C117</f>
        <v>1235165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1235165</v>
      </c>
      <c r="C5132" s="2" t="s">
        <v>573</v>
      </c>
      <c r="D5132" s="2" t="str">
        <f t="shared" si="79"/>
        <v>Error?</v>
      </c>
    </row>
    <row r="5133" spans="1:4" x14ac:dyDescent="0.2">
      <c r="A5133" s="5">
        <v>5072</v>
      </c>
      <c r="B5133" s="138">
        <f>'Revenues 9-14'!C125</f>
        <v>17958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2025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19983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16147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2001</v>
      </c>
      <c r="D5167" s="2" t="str">
        <f t="shared" si="79"/>
        <v>Error?</v>
      </c>
    </row>
    <row r="5168" spans="1:4" x14ac:dyDescent="0.2">
      <c r="A5168" s="5">
        <v>5107</v>
      </c>
      <c r="B5168" s="138">
        <f>'Revenues 9-14'!C148</f>
        <v>5507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547969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592926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1828091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80176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26800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106976</v>
      </c>
      <c r="C5246" s="2" t="s">
        <v>573</v>
      </c>
      <c r="D5246" s="2" t="str">
        <f t="shared" si="80"/>
        <v>Error?</v>
      </c>
    </row>
    <row r="5247" spans="1:4" x14ac:dyDescent="0.2">
      <c r="A5247" s="5">
        <v>5186</v>
      </c>
      <c r="B5247" s="138">
        <f>'Revenues 9-14'!C200</f>
        <v>52994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52994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192247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192247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382714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382714</v>
      </c>
      <c r="C5326" s="2" t="s">
        <v>573</v>
      </c>
      <c r="D5326" s="2" t="str">
        <f t="shared" si="82"/>
        <v>Error?</v>
      </c>
    </row>
    <row r="5327" spans="1:5" x14ac:dyDescent="0.2">
      <c r="A5327" s="5">
        <v>5266</v>
      </c>
      <c r="B5327" s="138">
        <f>'Revenues 9-14'!C268</f>
        <v>3122335</v>
      </c>
      <c r="C5327" s="2" t="s">
        <v>573</v>
      </c>
      <c r="D5327" s="2" t="str">
        <f t="shared" si="82"/>
        <v>Error?</v>
      </c>
    </row>
    <row r="5328" spans="1:5" x14ac:dyDescent="0.2">
      <c r="A5328" s="5">
        <v>5267</v>
      </c>
      <c r="B5328" s="138">
        <f>'Revenues 9-14'!D5</f>
        <v>118136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118136</v>
      </c>
      <c r="C5334" s="2" t="s">
        <v>573</v>
      </c>
      <c r="D5334" s="2" t="str">
        <f t="shared" si="82"/>
        <v>Error?</v>
      </c>
    </row>
    <row r="5335" spans="1:4" x14ac:dyDescent="0.2">
      <c r="A5335" s="5">
        <v>5274</v>
      </c>
      <c r="B5335" s="138">
        <f>'Revenues 9-14'!D14</f>
        <v>242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196513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196755</v>
      </c>
      <c r="C5339" s="2" t="s">
        <v>573</v>
      </c>
      <c r="D5339" s="2" t="str">
        <f t="shared" si="82"/>
        <v>Error?</v>
      </c>
    </row>
    <row r="5340" spans="1:4" x14ac:dyDescent="0.2">
      <c r="A5340" s="5">
        <v>5279</v>
      </c>
      <c r="B5340" s="138">
        <f>'Revenues 9-14'!D65</f>
        <v>216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40500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10408</v>
      </c>
      <c r="D5354" s="2" t="str">
        <f t="shared" si="82"/>
        <v>Error?</v>
      </c>
    </row>
    <row r="5355" spans="1:4" x14ac:dyDescent="0.2">
      <c r="A5355" s="5">
        <v>5294</v>
      </c>
      <c r="B5355" s="138">
        <f>'Revenues 9-14'!D108</f>
        <v>50908</v>
      </c>
      <c r="C5355" s="2" t="s">
        <v>573</v>
      </c>
      <c r="D5355" s="2" t="str">
        <f t="shared" si="82"/>
        <v>Error?</v>
      </c>
    </row>
    <row r="5356" spans="1:4" x14ac:dyDescent="0.2">
      <c r="A5356" s="5">
        <v>5295</v>
      </c>
      <c r="B5356" s="138">
        <f>'Revenues 9-14'!D109</f>
        <v>366015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9968</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9968</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39968</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405983</v>
      </c>
      <c r="C5508" s="2" t="s">
        <v>573</v>
      </c>
      <c r="D5508" s="2" t="str">
        <f t="shared" si="85"/>
        <v>Error?</v>
      </c>
    </row>
    <row r="5509" spans="1:4" x14ac:dyDescent="0.2">
      <c r="A5509" s="5">
        <v>5448</v>
      </c>
      <c r="B5509" s="138">
        <f>'Revenues 9-14'!E5</f>
        <v>95796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95796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95948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95948</v>
      </c>
      <c r="C5552" s="2" t="s">
        <v>573</v>
      </c>
      <c r="D5552" s="2" t="str">
        <f t="shared" si="85"/>
        <v>Error?</v>
      </c>
    </row>
    <row r="5553" spans="1:4" x14ac:dyDescent="0.2">
      <c r="A5553" s="5">
        <v>5492</v>
      </c>
      <c r="B5553" s="138">
        <f>'Revenues 9-14'!F5</f>
        <v>47230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47230</v>
      </c>
      <c r="C5557" s="2" t="s">
        <v>573</v>
      </c>
      <c r="D5557" s="2" t="str">
        <f t="shared" si="85"/>
        <v>Error?</v>
      </c>
    </row>
    <row r="5558" spans="1:4" x14ac:dyDescent="0.2">
      <c r="A5558" s="5">
        <v>5497</v>
      </c>
      <c r="B5558" s="138">
        <f>'Revenues 9-14'!F14</f>
        <v>72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74238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74310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3793</v>
      </c>
      <c r="D5586" s="2" t="str">
        <f t="shared" si="86"/>
        <v>Error?</v>
      </c>
    </row>
    <row r="5587" spans="1:4" x14ac:dyDescent="0.2">
      <c r="A5587" s="5">
        <v>5526</v>
      </c>
      <c r="B5587" s="138">
        <f>'Revenues 9-14'!F108</f>
        <v>3793</v>
      </c>
      <c r="C5587" s="2" t="s">
        <v>573</v>
      </c>
      <c r="D5587" s="2" t="str">
        <f t="shared" si="86"/>
        <v>Error?</v>
      </c>
    </row>
    <row r="5588" spans="1:4" x14ac:dyDescent="0.2">
      <c r="A5588" s="5">
        <v>5527</v>
      </c>
      <c r="B5588" s="138">
        <f>'Revenues 9-14'!F109</f>
        <v>125699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125332</v>
      </c>
      <c r="D5615" s="2" t="str">
        <f t="shared" si="86"/>
        <v>Error?</v>
      </c>
    </row>
    <row r="5616" spans="1:4" x14ac:dyDescent="0.2">
      <c r="A5616" s="10">
        <v>5555</v>
      </c>
      <c r="D5616" s="2" t="str">
        <f t="shared" si="86"/>
        <v>OK</v>
      </c>
    </row>
    <row r="5617" spans="1:5" x14ac:dyDescent="0.2">
      <c r="A5617" s="5">
        <v>5556</v>
      </c>
      <c r="B5617" s="138">
        <f>'Revenues 9-14'!F153</f>
        <v>60509</v>
      </c>
      <c r="D5617" s="2" t="str">
        <f t="shared" si="86"/>
        <v>Error?</v>
      </c>
    </row>
    <row r="5618" spans="1:5" x14ac:dyDescent="0.2">
      <c r="A5618" s="5">
        <v>5557</v>
      </c>
      <c r="B5618" s="138">
        <f>'Revenues 9-14'!F155</f>
        <v>185841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18670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204511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204511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330210</v>
      </c>
      <c r="C5720" s="2" t="s">
        <v>573</v>
      </c>
      <c r="D5720" s="2" t="str">
        <f t="shared" si="88"/>
        <v>Error?</v>
      </c>
    </row>
    <row r="5721" spans="1:4" x14ac:dyDescent="0.2">
      <c r="A5721" s="5">
        <v>5660</v>
      </c>
      <c r="B5721" s="138">
        <f>'Revenues 9-14'!G5</f>
        <v>52694</v>
      </c>
      <c r="D5721" s="2" t="str">
        <f t="shared" si="88"/>
        <v>Error?</v>
      </c>
    </row>
    <row r="5722" spans="1:4" x14ac:dyDescent="0.2">
      <c r="A5722" s="5">
        <v>5661</v>
      </c>
      <c r="B5722" s="138">
        <f>'Revenues 9-14'!G7</f>
        <v>0</v>
      </c>
      <c r="D5722" s="2" t="str">
        <f t="shared" si="88"/>
        <v>Error?</v>
      </c>
    </row>
    <row r="5723" spans="1:4" x14ac:dyDescent="0.2">
      <c r="A5723" s="5">
        <v>5662</v>
      </c>
      <c r="B5723" s="138">
        <f>'Revenues 9-14'!G8</f>
        <v>52694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105388</v>
      </c>
      <c r="C5725" s="2" t="s">
        <v>573</v>
      </c>
      <c r="D5725" s="2" t="str">
        <f t="shared" si="88"/>
        <v>Error?</v>
      </c>
    </row>
    <row r="5726" spans="1:4" x14ac:dyDescent="0.2">
      <c r="A5726" s="5">
        <v>5665</v>
      </c>
      <c r="B5726" s="138">
        <f>'Revenues 9-14'!G14</f>
        <v>242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21835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22077</v>
      </c>
      <c r="C5730" s="2" t="s">
        <v>573</v>
      </c>
      <c r="D5730" s="2" t="str">
        <f t="shared" si="88"/>
        <v>Error?</v>
      </c>
    </row>
    <row r="5731" spans="1:4" x14ac:dyDescent="0.2">
      <c r="A5731" s="5">
        <v>5670</v>
      </c>
      <c r="B5731" s="138">
        <f>'Revenues 9-14'!G65</f>
        <v>695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695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9640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9640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9640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137800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11777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1030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12807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11777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11777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11947</v>
      </c>
      <c r="C6023" s="2" t="s">
        <v>573</v>
      </c>
      <c r="D6023" s="2" t="str">
        <f t="shared" si="93"/>
        <v>Error?</v>
      </c>
    </row>
    <row r="6024" spans="1:5" x14ac:dyDescent="0.2">
      <c r="A6024" s="5">
        <v>5963</v>
      </c>
      <c r="B6024" s="138">
        <f>'Revenues 9-14'!G109</f>
        <v>128160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12807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11947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34613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16665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287.5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201199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201199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201199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201199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201199</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-205252</v>
      </c>
      <c r="D6267" s="2" t="str">
        <f t="shared" si="96"/>
        <v>Error?</v>
      </c>
      <c r="E6267" s="2" t="s">
        <v>190</v>
      </c>
    </row>
    <row r="6268" spans="1:5" x14ac:dyDescent="0.2">
      <c r="A6268">
        <v>6207</v>
      </c>
      <c r="B6268" s="138">
        <f>'Acct Summary 7-8'!D82</f>
        <v>49983</v>
      </c>
      <c r="D6268" s="2" t="str">
        <f t="shared" si="96"/>
        <v>Error?</v>
      </c>
      <c r="E6268" s="2" t="s">
        <v>190</v>
      </c>
    </row>
    <row r="6269" spans="1:5" x14ac:dyDescent="0.2">
      <c r="A6269">
        <v>6208</v>
      </c>
      <c r="B6269" s="138">
        <f>'Acct Summary 7-8'!E82</f>
        <v>66</v>
      </c>
      <c r="D6269" s="2" t="str">
        <f t="shared" si="96"/>
        <v>Error?</v>
      </c>
      <c r="E6269" s="2" t="s">
        <v>190</v>
      </c>
    </row>
    <row r="6270" spans="1:5" x14ac:dyDescent="0.2">
      <c r="A6270">
        <v>6209</v>
      </c>
      <c r="B6270" s="138">
        <f>'Acct Summary 7-8'!F82</f>
        <v>-13916</v>
      </c>
      <c r="D6270" s="2" t="str">
        <f t="shared" si="96"/>
        <v>Error?</v>
      </c>
      <c r="E6270" s="2" t="s">
        <v>190</v>
      </c>
    </row>
    <row r="6271" spans="1:5" x14ac:dyDescent="0.2">
      <c r="A6271">
        <v>6210</v>
      </c>
      <c r="B6271" s="138">
        <f>'Acct Summary 7-8'!G82</f>
        <v>-35345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12807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11947</v>
      </c>
      <c r="D6275" s="2" t="str">
        <f t="shared" si="97"/>
        <v>Error?</v>
      </c>
      <c r="E6275" s="2" t="s">
        <v>190</v>
      </c>
    </row>
    <row r="6276" spans="1:5" x14ac:dyDescent="0.2">
      <c r="A6276">
        <v>6215</v>
      </c>
      <c r="B6276" s="138">
        <f>'Acct Summary 7-8'!C83</f>
        <v>-0.27425514231732312</v>
      </c>
      <c r="D6276" s="2" t="str">
        <f t="shared" si="97"/>
        <v>Error?</v>
      </c>
      <c r="E6276" s="2" t="s">
        <v>190</v>
      </c>
    </row>
    <row r="6277" spans="1:5" x14ac:dyDescent="0.2">
      <c r="A6277">
        <v>6216</v>
      </c>
      <c r="B6277" s="138">
        <f>'Acct Summary 7-8'!D83</f>
        <v>0.5103170146510797</v>
      </c>
      <c r="D6277" s="2" t="str">
        <f t="shared" si="97"/>
        <v>Error?</v>
      </c>
      <c r="E6277" s="2" t="s">
        <v>190</v>
      </c>
    </row>
    <row r="6278" spans="1:5" x14ac:dyDescent="0.2">
      <c r="A6278">
        <v>6217</v>
      </c>
      <c r="B6278" s="138">
        <f>'Acct Summary 7-8'!E83</f>
        <v>1.1047874121191832E-2</v>
      </c>
      <c r="D6278" s="2" t="str">
        <f t="shared" si="97"/>
        <v>Error?</v>
      </c>
      <c r="E6278" s="2" t="s">
        <v>190</v>
      </c>
    </row>
    <row r="6279" spans="1:5" x14ac:dyDescent="0.2">
      <c r="A6279">
        <v>6218</v>
      </c>
      <c r="B6279" s="138">
        <f>'Acct Summary 7-8'!F83</f>
        <v>-0.22021077950438334</v>
      </c>
      <c r="D6279" s="2" t="str">
        <f t="shared" si="97"/>
        <v>Error?</v>
      </c>
      <c r="E6279" s="2" t="s">
        <v>190</v>
      </c>
    </row>
    <row r="6280" spans="1:5" x14ac:dyDescent="0.2">
      <c r="A6280">
        <v>6219</v>
      </c>
      <c r="B6280" s="138">
        <f>'Acct Summary 7-8'!G83</f>
        <v>-0.31035966421973238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4.6139047605323266E-2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0.34976725122229702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200820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200820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76</v>
      </c>
      <c r="D6350" s="2" t="str">
        <f t="shared" si="98"/>
        <v>Error?</v>
      </c>
      <c r="E6350" s="2" t="s">
        <v>190</v>
      </c>
    </row>
    <row r="6351" spans="1:5" x14ac:dyDescent="0.2">
      <c r="A6351">
        <v>6290</v>
      </c>
      <c r="B6351" s="138">
        <f>'Revenues 9-14'!J108</f>
        <v>76</v>
      </c>
      <c r="D6351" s="2" t="str">
        <f t="shared" si="98"/>
        <v>Error?</v>
      </c>
      <c r="E6351" s="2" t="s">
        <v>190</v>
      </c>
    </row>
    <row r="6352" spans="1:5" x14ac:dyDescent="0.2">
      <c r="A6352">
        <v>6291</v>
      </c>
      <c r="B6352" s="138">
        <f>'Revenues 9-14'!J109</f>
        <v>201199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16147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75383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85865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6928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14637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6928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4063</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4063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4063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31708</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420652</v>
      </c>
      <c r="D6983" s="2" t="str">
        <f t="shared" si="108"/>
        <v>Error?</v>
      </c>
    </row>
    <row r="6984" spans="1:4" x14ac:dyDescent="0.2">
      <c r="A6984">
        <v>6923</v>
      </c>
      <c r="B6984" s="138">
        <f>'Expenditures 15-22'!K86</f>
        <v>420652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420652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42699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201199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201199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6624</v>
      </c>
      <c r="D7073" s="2" t="str">
        <f t="shared" si="109"/>
        <v>Error?</v>
      </c>
    </row>
    <row r="7074" spans="1:4" x14ac:dyDescent="0.2">
      <c r="A7074">
        <v>7013</v>
      </c>
      <c r="B7074" s="138">
        <f>'Expenditures 15-22'!K216</f>
        <v>6624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51527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51527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5971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5971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3632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13307</v>
      </c>
      <c r="D7156" s="2" t="str">
        <f t="shared" si="110"/>
        <v>Error?</v>
      </c>
    </row>
    <row r="7157" spans="1:4" x14ac:dyDescent="0.2">
      <c r="A7157">
        <v>7096</v>
      </c>
      <c r="B7157" s="138">
        <f>'Expenditures 15-22'!F323</f>
        <v>7004</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20311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72853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72853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72853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121342</v>
      </c>
      <c r="D7201" s="2" t="str">
        <f t="shared" si="111"/>
        <v>Error?</v>
      </c>
    </row>
    <row r="7202" spans="1:4" x14ac:dyDescent="0.2">
      <c r="A7202">
        <v>7141</v>
      </c>
      <c r="B7202" s="138">
        <f>'Expenditures 15-22'!F330</f>
        <v>7004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201199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72853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121342</v>
      </c>
      <c r="D7218" s="2" t="str">
        <f t="shared" si="111"/>
        <v>Error?</v>
      </c>
    </row>
    <row r="7219" spans="1:4" x14ac:dyDescent="0.2">
      <c r="A7219">
        <v>7158</v>
      </c>
      <c r="B7219" s="138">
        <f>'Expenditures 15-22'!F342</f>
        <v>7004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201199</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4324</v>
      </c>
      <c r="D7246" s="2" t="str">
        <f t="shared" si="112"/>
        <v>Error?</v>
      </c>
    </row>
    <row r="7247" spans="1:4" x14ac:dyDescent="0.2">
      <c r="A7247">
        <f t="shared" si="113"/>
        <v>7186</v>
      </c>
      <c r="B7247" s="138">
        <f>'Expenditures 15-22'!E7</f>
        <v>2086</v>
      </c>
      <c r="D7247" s="2" t="str">
        <f t="shared" si="112"/>
        <v>Error?</v>
      </c>
    </row>
    <row r="7248" spans="1:4" x14ac:dyDescent="0.2">
      <c r="A7248">
        <f t="shared" si="113"/>
        <v>7187</v>
      </c>
      <c r="B7248" s="138">
        <f>'Expenditures 15-22'!F7</f>
        <v>4072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10723</v>
      </c>
      <c r="D7263" s="2" t="str">
        <f t="shared" si="112"/>
        <v>Error?</v>
      </c>
    </row>
    <row r="7264" spans="1:4" x14ac:dyDescent="0.2">
      <c r="A7264">
        <f t="shared" si="113"/>
        <v>7203</v>
      </c>
      <c r="B7264" s="138">
        <f>'Expenditures 15-22'!D17</f>
        <v>972</v>
      </c>
      <c r="D7264" s="2" t="str">
        <f t="shared" si="112"/>
        <v>Error?</v>
      </c>
    </row>
    <row r="7265" spans="1:5" x14ac:dyDescent="0.2">
      <c r="A7265">
        <f t="shared" si="113"/>
        <v>7204</v>
      </c>
      <c r="B7265" s="138">
        <f>'Expenditures 15-22'!E17</f>
        <v>2738</v>
      </c>
      <c r="D7265" s="2" t="str">
        <f t="shared" si="112"/>
        <v>Error?</v>
      </c>
    </row>
    <row r="7266" spans="1:5" x14ac:dyDescent="0.2">
      <c r="A7266">
        <f t="shared" si="113"/>
        <v>7205</v>
      </c>
      <c r="B7266" s="138">
        <f>'Expenditures 15-22'!F17</f>
        <v>204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42699</v>
      </c>
      <c r="D7624" s="2" t="str">
        <f t="shared" si="124"/>
        <v>Error?</v>
      </c>
      <c r="E7624" s="2" t="s">
        <v>19</v>
      </c>
    </row>
    <row r="7625" spans="1:5" x14ac:dyDescent="0.2">
      <c r="A7625">
        <f t="shared" si="123"/>
        <v>7564</v>
      </c>
      <c r="B7625" s="138">
        <f>'Cap Outlay Deprec 26'!I17</f>
        <v>4269.8999999999996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183028.9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32021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32021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14884</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14884</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5507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5507</v>
      </c>
      <c r="D7719" s="2" t="str">
        <f t="shared" si="126"/>
        <v>Error?</v>
      </c>
      <c r="E7719" s="2" t="s">
        <v>827</v>
      </c>
    </row>
    <row r="7720" spans="1:6" x14ac:dyDescent="0.2">
      <c r="A7720">
        <v>7659</v>
      </c>
      <c r="B7720" s="138">
        <f>'Rest Tax Levies-Tort Im 25'!H14</f>
        <v>9470</v>
      </c>
      <c r="D7720" s="2" t="str">
        <f t="shared" si="126"/>
        <v>Error?</v>
      </c>
      <c r="E7720" s="2" t="s">
        <v>827</v>
      </c>
    </row>
    <row r="7721" spans="1:6" x14ac:dyDescent="0.2">
      <c r="A7721">
        <v>7660</v>
      </c>
      <c r="B7721" s="138">
        <f>'Rest Tax Levies-Tort Im 25'!K14</f>
        <v>5507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29304</v>
      </c>
      <c r="D7797" s="2" t="str">
        <f t="shared" si="127"/>
        <v>Error?</v>
      </c>
      <c r="E7797" s="4" t="s">
        <v>1903</v>
      </c>
    </row>
    <row r="7798" spans="1:5" x14ac:dyDescent="0.2">
      <c r="A7798">
        <v>7737</v>
      </c>
      <c r="B7798" s="138">
        <f>'Contracts Paid in CY 29'!F142</f>
        <v>29304</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Q24" sqref="Q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1987</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7" t="str">
        <f>COVER!A17</f>
        <v>Hutsonville CUSD 1</v>
      </c>
      <c r="B7" s="2388"/>
      <c r="C7" s="2388"/>
      <c r="D7" s="2425"/>
      <c r="E7" s="2426">
        <f>COVER!A13</f>
        <v>12017001026</v>
      </c>
      <c r="F7" s="2427"/>
      <c r="G7" s="2394" t="str">
        <f>COVER!T23</f>
        <v>066-003998</v>
      </c>
      <c r="H7" s="2395"/>
      <c r="I7" s="2395"/>
      <c r="J7" s="2395"/>
      <c r="K7" s="2395"/>
      <c r="L7" s="239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7"/>
      <c r="B9" s="2398"/>
      <c r="C9" s="2398"/>
      <c r="D9" s="2398"/>
      <c r="E9" s="2398"/>
      <c r="F9" s="2399"/>
      <c r="G9" s="2400" t="str">
        <f>COVER!T13</f>
        <v>Kemper CPA Group</v>
      </c>
      <c r="H9" s="2401"/>
      <c r="I9" s="2401"/>
      <c r="J9" s="2401"/>
      <c r="K9" s="2401"/>
      <c r="L9" s="2402"/>
    </row>
    <row r="10" spans="1:29" ht="13.5" customHeight="1" x14ac:dyDescent="0.2">
      <c r="A10" s="2384" t="str">
        <f>COVER!A38</f>
        <v>Julie Kraemer</v>
      </c>
      <c r="B10" s="2385"/>
      <c r="C10" s="2385"/>
      <c r="D10" s="2385"/>
      <c r="E10" s="2385"/>
      <c r="F10" s="2386"/>
      <c r="G10" s="2400" t="str">
        <f>COVER!T17</f>
        <v>302 E. Walnut Street</v>
      </c>
      <c r="H10" s="2413"/>
      <c r="I10" s="2413"/>
      <c r="J10" s="2413"/>
      <c r="K10" s="2413"/>
      <c r="L10" s="2414"/>
    </row>
    <row r="11" spans="1:29" ht="13.5" customHeight="1" x14ac:dyDescent="0.2">
      <c r="A11" s="1184" t="s">
        <v>1519</v>
      </c>
      <c r="B11" s="1185"/>
      <c r="C11" s="1186"/>
      <c r="D11" s="1191"/>
      <c r="E11" s="1186"/>
      <c r="F11" s="1190"/>
      <c r="G11" s="2400" t="str">
        <f>COVER!T19</f>
        <v>Robinson</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bbradbury@kempercpa.com</v>
      </c>
      <c r="J13" s="2422"/>
      <c r="K13" s="2422"/>
      <c r="L13" s="2423"/>
    </row>
    <row r="14" spans="1:29" ht="13.5" customHeight="1" x14ac:dyDescent="0.2">
      <c r="A14" s="2400" t="str">
        <f>COVER!A19</f>
        <v>500 W Clover Street</v>
      </c>
      <c r="B14" s="2413"/>
      <c r="C14" s="2413"/>
      <c r="D14" s="2413"/>
      <c r="E14" s="2413"/>
      <c r="F14" s="2414"/>
      <c r="G14" s="1195" t="s">
        <v>1185</v>
      </c>
      <c r="H14" s="1193"/>
      <c r="I14" s="1193"/>
      <c r="J14" s="1193"/>
      <c r="K14" s="1193"/>
      <c r="L14" s="1194"/>
    </row>
    <row r="15" spans="1:29" ht="13.5" customHeight="1" x14ac:dyDescent="0.2">
      <c r="A15" s="2400" t="str">
        <f>COVER!A21</f>
        <v>Hutsonville</v>
      </c>
      <c r="B15" s="2413"/>
      <c r="C15" s="2413"/>
      <c r="D15" s="2413"/>
      <c r="E15" s="2413"/>
      <c r="F15" s="2414"/>
      <c r="G15" s="2410" t="str">
        <f>COVER!T15</f>
        <v>Brian Bradbury</v>
      </c>
      <c r="H15" s="2411"/>
      <c r="I15" s="2411"/>
      <c r="J15" s="2411"/>
      <c r="K15" s="2411"/>
      <c r="L15" s="2412"/>
    </row>
    <row r="16" spans="1:29" ht="12.2" customHeight="1" x14ac:dyDescent="0.2">
      <c r="A16" s="2390">
        <f>COVER!A25</f>
        <v>62433</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1184</v>
      </c>
      <c r="H17" s="1193"/>
      <c r="I17" s="1193"/>
      <c r="J17" s="1193"/>
      <c r="K17" s="1197" t="s">
        <v>1183</v>
      </c>
      <c r="L17" s="1190"/>
      <c r="M17" s="1183"/>
    </row>
    <row r="18" spans="1:13" ht="12.2" customHeight="1" x14ac:dyDescent="0.2">
      <c r="A18" s="2384"/>
      <c r="B18" s="2385"/>
      <c r="C18" s="2385"/>
      <c r="D18" s="2385"/>
      <c r="E18" s="2385"/>
      <c r="F18" s="2386"/>
      <c r="G18" s="2387" t="str">
        <f>COVER!T21</f>
        <v>618-546-1502</v>
      </c>
      <c r="H18" s="2388"/>
      <c r="I18" s="2388"/>
      <c r="J18" s="2388"/>
      <c r="K18" s="2387" t="str">
        <f>COVER!X21</f>
        <v>618-544-2140</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I35" sqref="I3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Hutsonville CUSD 1</v>
      </c>
      <c r="B1" s="2424"/>
      <c r="C1" s="2424"/>
      <c r="D1" s="2424"/>
    </row>
    <row r="2" spans="1:11" s="1212" customFormat="1" ht="12.75" x14ac:dyDescent="0.2">
      <c r="A2" s="2429">
        <f>'Single Audit Cover'!E7</f>
        <v>12017001026</v>
      </c>
      <c r="B2" s="2430"/>
      <c r="C2" s="2430"/>
      <c r="D2" s="2430"/>
    </row>
    <row r="3" spans="1:11" s="1212" customFormat="1" ht="12.75" x14ac:dyDescent="0.2">
      <c r="A3" s="2428" t="s">
        <v>1513</v>
      </c>
      <c r="B3" s="2424"/>
      <c r="C3" s="2424"/>
      <c r="D3" s="242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F53" sqref="F5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Hutsonville CUSD 1</v>
      </c>
      <c r="B1" s="2432"/>
      <c r="C1" s="2432"/>
      <c r="D1" s="2432"/>
      <c r="E1" s="2432"/>
    </row>
    <row r="2" spans="1:5" x14ac:dyDescent="0.2">
      <c r="A2" s="2433">
        <f>'Single Audit Cover'!E7</f>
        <v>12017001026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382714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16665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-6266</v>
      </c>
    </row>
    <row r="19" spans="1:4" ht="13.5" thickBot="1" x14ac:dyDescent="0.25">
      <c r="A19" s="1262" t="s">
        <v>1235</v>
      </c>
      <c r="D19" s="1263">
        <f>SUM(D10:D17)</f>
        <v>393113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393113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393113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Hutsonville CUSD 1</v>
      </c>
      <c r="C1" s="2436"/>
      <c r="D1" s="2436"/>
      <c r="E1" s="2436"/>
      <c r="F1" s="2436"/>
      <c r="G1" s="2436"/>
      <c r="H1" s="2436"/>
      <c r="I1" s="2436"/>
      <c r="J1" s="2436"/>
      <c r="K1" s="2436"/>
      <c r="L1" s="2436"/>
      <c r="M1" s="2436"/>
    </row>
    <row r="2" spans="2:14" ht="15" x14ac:dyDescent="0.2">
      <c r="B2" s="2437">
        <f>'Single Audit Cover'!E7</f>
        <v>12017001026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Hutsonville CUSD 1</v>
      </c>
      <c r="B1" s="2441"/>
      <c r="C1" s="2441"/>
      <c r="D1" s="2441"/>
      <c r="E1" s="2441"/>
      <c r="F1" s="2441"/>
    </row>
    <row r="2" spans="1:7" ht="13.5" customHeight="1" x14ac:dyDescent="0.2">
      <c r="A2" s="2437">
        <f>'Single Audit Cover'!E7</f>
        <v>12017001026</v>
      </c>
      <c r="B2" s="2437"/>
      <c r="C2" s="2437"/>
      <c r="D2" s="2437"/>
      <c r="E2" s="2437"/>
      <c r="F2" s="2437"/>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1729</v>
      </c>
      <c r="B7" s="2440"/>
      <c r="C7" s="2440"/>
      <c r="D7" s="2440"/>
      <c r="E7" s="2440"/>
      <c r="F7" s="244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0" t="s">
        <v>1731</v>
      </c>
      <c r="B13" s="2440"/>
      <c r="C13" s="2440"/>
      <c r="D13" s="2440"/>
      <c r="E13" s="2440"/>
      <c r="F13" s="2440"/>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1732</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Q91" sqref="Q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2084</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S42" sqref="S4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Hutsonville CUSD 1</v>
      </c>
      <c r="C1" s="2457"/>
      <c r="D1" s="2457"/>
      <c r="E1" s="2457"/>
      <c r="F1" s="2457"/>
      <c r="G1" s="2457"/>
      <c r="H1" s="2457"/>
      <c r="I1" s="2457"/>
      <c r="J1" s="1406"/>
    </row>
    <row r="2" spans="2:10" s="317" customFormat="1" ht="12.75" customHeight="1" x14ac:dyDescent="0.2">
      <c r="B2" s="2458">
        <f>'Single Audit Cover'!E7</f>
        <v>12017001026</v>
      </c>
      <c r="C2" s="2459"/>
      <c r="D2" s="2459"/>
      <c r="E2" s="2459"/>
      <c r="F2" s="2459"/>
      <c r="G2" s="2459"/>
      <c r="H2" s="2459"/>
      <c r="I2" s="2459"/>
      <c r="J2" s="1406"/>
    </row>
    <row r="3" spans="2:10" s="317" customFormat="1" ht="12.75" customHeight="1" x14ac:dyDescent="0.2">
      <c r="B3" s="2460" t="s">
        <v>1285</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1284</v>
      </c>
      <c r="C7" s="2461"/>
      <c r="D7" s="2461"/>
      <c r="E7" s="2461"/>
      <c r="F7" s="2461"/>
      <c r="G7" s="2461"/>
      <c r="H7" s="2461"/>
      <c r="I7" s="246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2"/>
      <c r="D11" s="246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c r="E29" s="2463"/>
      <c r="F29" s="2463"/>
      <c r="G29" s="2463"/>
      <c r="H29" s="2463"/>
      <c r="I29" s="246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4" t="s">
        <v>1751</v>
      </c>
      <c r="D37" s="2465"/>
      <c r="E37" s="2465"/>
      <c r="F37" s="2466"/>
      <c r="G37" s="2464" t="s">
        <v>1592</v>
      </c>
      <c r="H37" s="2465"/>
      <c r="I37" s="2466"/>
    </row>
    <row r="38" spans="2:9" ht="16.5" customHeight="1" x14ac:dyDescent="0.2">
      <c r="B38" s="1428"/>
      <c r="C38" s="2452"/>
      <c r="D38" s="2453"/>
      <c r="E38" s="2453"/>
      <c r="F38" s="2454"/>
      <c r="G38" s="2467"/>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70" t="s">
        <v>1593</v>
      </c>
      <c r="D43" s="2471"/>
      <c r="E43" s="2471"/>
      <c r="F43" s="2472"/>
      <c r="G43" s="2473">
        <f>SUM(G38:I42)</f>
        <v>0</v>
      </c>
      <c r="H43" s="2473"/>
      <c r="I43" s="2473"/>
    </row>
    <row r="44" spans="2:9" ht="12.75" customHeight="1" x14ac:dyDescent="0.2"/>
    <row r="45" spans="2:9" ht="12.75" customHeight="1" x14ac:dyDescent="0.2">
      <c r="B45" s="1419" t="s">
        <v>2062</v>
      </c>
      <c r="D45" s="2474">
        <v>0</v>
      </c>
      <c r="E45" s="247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6"/>
      <c r="F49" s="2476"/>
      <c r="G49" s="247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Hutsonville CUSD 1</v>
      </c>
      <c r="C1" s="2456"/>
      <c r="D1" s="2456"/>
      <c r="E1" s="2456"/>
      <c r="F1" s="2456"/>
      <c r="G1" s="2456"/>
      <c r="H1" s="2456"/>
      <c r="I1" s="2456"/>
      <c r="J1" s="2456"/>
      <c r="K1" s="2456"/>
      <c r="L1" s="1371"/>
      <c r="M1" s="1371"/>
    </row>
    <row r="2" spans="1:13" ht="12" customHeight="1" x14ac:dyDescent="0.2">
      <c r="B2" s="2458">
        <f>'Single Audit Cover'!E7</f>
        <v>12017001026</v>
      </c>
      <c r="C2" s="2458"/>
      <c r="D2" s="2458"/>
      <c r="E2" s="2458"/>
      <c r="F2" s="2458"/>
      <c r="G2" s="2458"/>
      <c r="H2" s="2458"/>
      <c r="I2" s="2458"/>
      <c r="J2" s="2458"/>
      <c r="K2" s="2458"/>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t="s">
        <v>2105</v>
      </c>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t="s">
        <v>2133</v>
      </c>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t="s">
        <v>2106</v>
      </c>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t="s">
        <v>2107</v>
      </c>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t="s">
        <v>2108</v>
      </c>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t="s">
        <v>2109</v>
      </c>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t="s">
        <v>2110</v>
      </c>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19" sqref="R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Hutsonville CUSD 1</v>
      </c>
      <c r="C1" s="2456"/>
      <c r="D1" s="2456"/>
      <c r="E1" s="2456"/>
      <c r="F1" s="2456"/>
      <c r="G1" s="2456"/>
      <c r="H1" s="2456"/>
      <c r="I1" s="2456"/>
      <c r="J1" s="2456"/>
      <c r="K1" s="2456"/>
      <c r="L1" s="1371"/>
      <c r="M1" s="1371"/>
    </row>
    <row r="2" spans="1:13" ht="12" customHeight="1" x14ac:dyDescent="0.2">
      <c r="B2" s="2458">
        <f>'Single Audit Cover'!E7</f>
        <v>12017001026</v>
      </c>
      <c r="C2" s="2458"/>
      <c r="D2" s="2458"/>
      <c r="E2" s="2458"/>
      <c r="F2" s="2458"/>
      <c r="G2" s="2458"/>
      <c r="H2" s="2458"/>
      <c r="I2" s="2458"/>
      <c r="J2" s="2458"/>
      <c r="K2" s="2458"/>
      <c r="L2" s="1372"/>
      <c r="M2" s="1373"/>
    </row>
    <row r="3" spans="1:13" ht="10.35" customHeight="1" x14ac:dyDescent="0.2">
      <c r="B3" s="2479" t="s">
        <v>1285</v>
      </c>
      <c r="C3" s="2479"/>
      <c r="D3" s="2479"/>
      <c r="E3" s="2479"/>
      <c r="F3" s="2479"/>
      <c r="G3" s="2479"/>
      <c r="H3" s="2479"/>
      <c r="I3" s="2479"/>
      <c r="J3" s="2479"/>
      <c r="K3" s="2479"/>
      <c r="L3" s="1940"/>
      <c r="M3" s="1940"/>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t="s">
        <v>2111</v>
      </c>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t="s">
        <v>2112</v>
      </c>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t="s">
        <v>2113</v>
      </c>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t="s">
        <v>2114</v>
      </c>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t="s">
        <v>2115</v>
      </c>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t="s">
        <v>2116</v>
      </c>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t="s">
        <v>2117</v>
      </c>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Y35" sqref="Y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Hutsonville CUSD 1</v>
      </c>
      <c r="C1" s="2483"/>
      <c r="D1" s="2483"/>
      <c r="E1" s="2483"/>
      <c r="F1" s="2483"/>
      <c r="G1" s="2483"/>
      <c r="H1" s="2483"/>
      <c r="I1" s="2483"/>
      <c r="J1" s="2483"/>
      <c r="K1" s="2483"/>
      <c r="L1" s="1449"/>
    </row>
    <row r="2" spans="1:12" ht="12.75" customHeight="1" x14ac:dyDescent="0.2">
      <c r="B2" s="2484">
        <f>'Single Audit Cover'!E7</f>
        <v>12017001026</v>
      </c>
      <c r="C2" s="2484"/>
      <c r="D2" s="2484"/>
      <c r="E2" s="2484"/>
      <c r="F2" s="2484"/>
      <c r="G2" s="2484"/>
      <c r="H2" s="2484"/>
      <c r="I2" s="2484"/>
      <c r="J2" s="2484"/>
      <c r="K2" s="2484"/>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Hutsonville CUSD 1</v>
      </c>
      <c r="C1" s="2456"/>
      <c r="D1" s="2456"/>
      <c r="E1" s="1469"/>
    </row>
    <row r="2" spans="2:5" s="1279" customFormat="1" ht="12.75" customHeight="1" x14ac:dyDescent="0.2">
      <c r="B2" s="2458">
        <f>'Single Audit Cover'!E7</f>
        <v>12017001026</v>
      </c>
      <c r="C2" s="2458"/>
      <c r="D2" s="2458"/>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2118</v>
      </c>
      <c r="C7" s="324" t="s">
        <v>2119</v>
      </c>
      <c r="D7" s="324" t="s">
        <v>2122</v>
      </c>
      <c r="E7" s="324"/>
    </row>
    <row r="8" spans="2:5" ht="13.5" customHeight="1" x14ac:dyDescent="0.2">
      <c r="B8" s="1474"/>
      <c r="C8" s="324" t="s">
        <v>2120</v>
      </c>
      <c r="D8" s="324"/>
      <c r="E8" s="324"/>
    </row>
    <row r="9" spans="2:5" ht="13.5" customHeight="1" x14ac:dyDescent="0.2">
      <c r="B9" s="1475"/>
      <c r="C9" s="323" t="s">
        <v>2121</v>
      </c>
      <c r="D9" s="323"/>
      <c r="E9" s="323"/>
    </row>
    <row r="10" spans="2:5" ht="13.5" customHeight="1" x14ac:dyDescent="0.2">
      <c r="B10" s="1474"/>
      <c r="C10" s="323"/>
      <c r="D10" s="323"/>
      <c r="E10" s="323"/>
    </row>
    <row r="11" spans="2:5" ht="13.5" customHeight="1" x14ac:dyDescent="0.2">
      <c r="B11" s="1474" t="s">
        <v>2123</v>
      </c>
      <c r="C11" s="323" t="s">
        <v>2124</v>
      </c>
      <c r="D11" s="323" t="s">
        <v>2128</v>
      </c>
      <c r="E11" s="323"/>
    </row>
    <row r="12" spans="2:5" ht="13.5" customHeight="1" x14ac:dyDescent="0.2">
      <c r="B12" s="1474"/>
      <c r="C12" s="323" t="s">
        <v>2125</v>
      </c>
      <c r="D12" s="323"/>
      <c r="E12" s="323"/>
    </row>
    <row r="13" spans="2:5" ht="13.5" customHeight="1" x14ac:dyDescent="0.2">
      <c r="B13" s="1474"/>
      <c r="C13" s="323" t="s">
        <v>2126</v>
      </c>
      <c r="D13" s="323"/>
      <c r="E13" s="323"/>
    </row>
    <row r="14" spans="2:5" ht="13.5" customHeight="1" x14ac:dyDescent="0.2">
      <c r="B14" s="1474"/>
      <c r="C14" s="323" t="s">
        <v>2127</v>
      </c>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J28" sqref="J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24858450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2.5999999999999999E-2</v>
      </c>
      <c r="E10" s="356" t="s">
        <v>1005</v>
      </c>
      <c r="F10" s="355">
        <v>5.0000000000000001E-3</v>
      </c>
      <c r="G10" s="356" t="s">
        <v>1005</v>
      </c>
      <c r="H10" s="355">
        <v>2E-3</v>
      </c>
      <c r="I10" s="356" t="s">
        <v>1006</v>
      </c>
      <c r="J10" s="1732">
        <f>ROUND(D10+F10+H10,5)</f>
        <v>3.3000000000000002E-2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3871335</v>
      </c>
      <c r="E16" s="356"/>
      <c r="F16" s="1733">
        <f>SUM('Acct Summary 7-8'!C17,'Acct Summary 7-8'!D17,'Acct Summary 7-8'!F17)</f>
        <v>4027713</v>
      </c>
      <c r="G16" s="356"/>
      <c r="H16" s="1733">
        <f>SUM(D16-F16)</f>
        <v>-156378</v>
      </c>
      <c r="I16" s="222"/>
      <c r="J16" s="1733">
        <f>SUM('Acct Summary 7-8'!C81,'Acct Summary 7-8'!D81,'Acct Summary 7-8'!F81,'Acct Summary 7-8'!I81)</f>
        <v>1187111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3430466.1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450500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Hutsonville CUSD 1</v>
      </c>
      <c r="E7" s="391"/>
      <c r="G7" s="252"/>
      <c r="H7" s="387"/>
      <c r="I7" s="387"/>
      <c r="J7" s="387"/>
      <c r="K7" s="387"/>
      <c r="L7" s="329"/>
      <c r="M7" s="329"/>
      <c r="N7" s="329"/>
      <c r="O7" s="329"/>
      <c r="P7" s="329"/>
    </row>
    <row r="8" spans="1:18" ht="12.75" x14ac:dyDescent="0.2">
      <c r="A8" s="329"/>
      <c r="B8" s="329"/>
      <c r="C8" s="389" t="s">
        <v>1125</v>
      </c>
      <c r="D8" s="392">
        <f>COVER!A13</f>
        <v>12017001026</v>
      </c>
      <c r="E8" s="393"/>
      <c r="G8" s="329"/>
      <c r="H8" s="329"/>
      <c r="I8" s="329"/>
      <c r="J8" s="329"/>
      <c r="K8" s="329"/>
      <c r="L8" s="329"/>
      <c r="M8" s="329"/>
      <c r="N8" s="329"/>
      <c r="O8" s="329"/>
      <c r="P8" s="329"/>
    </row>
    <row r="9" spans="1:18" ht="12.75" x14ac:dyDescent="0.2">
      <c r="A9" s="329"/>
      <c r="B9" s="329"/>
      <c r="C9" s="389" t="s">
        <v>713</v>
      </c>
      <c r="D9" s="394" t="str">
        <f>COVER!A15</f>
        <v>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1187111</v>
      </c>
      <c r="I12" s="404"/>
      <c r="J12" s="404"/>
      <c r="K12" s="405">
        <f>TRUNC((H12/H13*100000),5)/100000</f>
        <v>0.306641249</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3871335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4027713</v>
      </c>
      <c r="I17" s="404"/>
      <c r="J17" s="416"/>
      <c r="K17" s="405">
        <f>TRUNC((H17/H18*100000),5)/100000</f>
        <v>1.0403938176</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3871335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5.1156652000000005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1187111</v>
      </c>
      <c r="I24" s="422"/>
      <c r="J24" s="422"/>
      <c r="K24" s="423">
        <f>TRUNC(((H24/H25*100000)/100000),2)</f>
        <v>106.1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11188.09167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697279.52249999996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450500</v>
      </c>
      <c r="I32" s="420"/>
      <c r="J32" s="420"/>
      <c r="K32" s="423">
        <f>TRUNC(100-((((H32/H33*100))*100)/100),2)</f>
        <v>86.86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3430466.1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F28" sqref="F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748398</v>
      </c>
      <c r="D4" s="466">
        <v>97945</v>
      </c>
      <c r="E4" s="466">
        <v>5974</v>
      </c>
      <c r="F4" s="466">
        <v>63194</v>
      </c>
      <c r="G4" s="466">
        <v>113884</v>
      </c>
      <c r="H4" s="466"/>
      <c r="I4" s="466">
        <v>277574</v>
      </c>
      <c r="J4" s="467"/>
      <c r="K4" s="466">
        <v>34157</v>
      </c>
      <c r="L4" s="466">
        <v>177358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748398</v>
      </c>
      <c r="D13" s="1737">
        <f t="shared" ref="D13:L13" si="0">SUM(D4:D12)</f>
        <v>97945</v>
      </c>
      <c r="E13" s="1737">
        <f t="shared" si="0"/>
        <v>5974</v>
      </c>
      <c r="F13" s="1737">
        <f t="shared" si="0"/>
        <v>63194</v>
      </c>
      <c r="G13" s="1737">
        <f t="shared" si="0"/>
        <v>113884</v>
      </c>
      <c r="H13" s="1737">
        <f t="shared" si="0"/>
        <v>0</v>
      </c>
      <c r="I13" s="1737">
        <f t="shared" si="0"/>
        <v>277574</v>
      </c>
      <c r="J13" s="1737">
        <f t="shared" si="0"/>
        <v>0</v>
      </c>
      <c r="K13" s="1737">
        <f t="shared" si="0"/>
        <v>34157</v>
      </c>
      <c r="L13" s="1737">
        <f t="shared" si="0"/>
        <v>177358</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15425</v>
      </c>
      <c r="N16" s="484"/>
    </row>
    <row r="17" spans="1:14" s="485" customFormat="1" ht="12.75" customHeight="1" x14ac:dyDescent="0.2">
      <c r="A17" s="482" t="s">
        <v>1403</v>
      </c>
      <c r="B17" s="483">
        <v>230</v>
      </c>
      <c r="C17" s="477"/>
      <c r="D17" s="477"/>
      <c r="E17" s="477"/>
      <c r="F17" s="477"/>
      <c r="G17" s="477"/>
      <c r="H17" s="477"/>
      <c r="I17" s="477"/>
      <c r="J17" s="477"/>
      <c r="K17" s="477"/>
      <c r="L17" s="477"/>
      <c r="M17" s="467">
        <v>8137756</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931154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5974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444526</v>
      </c>
    </row>
    <row r="23" spans="1:14" ht="13.5" customHeight="1" thickBot="1" x14ac:dyDescent="0.25">
      <c r="A23" s="1736" t="s">
        <v>643</v>
      </c>
      <c r="B23" s="1741"/>
      <c r="C23" s="468"/>
      <c r="D23" s="468"/>
      <c r="E23" s="468"/>
      <c r="F23" s="468"/>
      <c r="G23" s="468"/>
      <c r="H23" s="468"/>
      <c r="I23" s="468"/>
      <c r="J23" s="468"/>
      <c r="K23" s="468"/>
      <c r="L23" s="468"/>
      <c r="M23" s="1688">
        <f>SUM(M15:M22)</f>
        <v>9084335</v>
      </c>
      <c r="N23" s="1688">
        <f>SUM(N21:N22)</f>
        <v>450500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177358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177358</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450500</v>
      </c>
    </row>
    <row r="37" spans="1:14" ht="13.5" thickBot="1" x14ac:dyDescent="0.25">
      <c r="A37" s="1736" t="s">
        <v>653</v>
      </c>
      <c r="B37" s="1741"/>
      <c r="C37" s="477"/>
      <c r="D37" s="477"/>
      <c r="E37" s="477"/>
      <c r="F37" s="477"/>
      <c r="G37" s="477"/>
      <c r="H37" s="477"/>
      <c r="I37" s="477"/>
      <c r="J37" s="477"/>
      <c r="K37" s="477"/>
      <c r="L37" s="480"/>
      <c r="M37" s="468"/>
      <c r="N37" s="1688">
        <f>SUM(N36:N36)</f>
        <v>450500</v>
      </c>
    </row>
    <row r="38" spans="1:14" s="329" customFormat="1" ht="13.5" customHeight="1" thickTop="1" x14ac:dyDescent="0.2">
      <c r="A38" s="496" t="s">
        <v>420</v>
      </c>
      <c r="B38" s="483">
        <v>714</v>
      </c>
      <c r="C38" s="466">
        <v>7900</v>
      </c>
      <c r="D38" s="466"/>
      <c r="E38" s="466"/>
      <c r="F38" s="466"/>
      <c r="G38" s="466"/>
      <c r="H38" s="466"/>
      <c r="I38" s="466"/>
      <c r="J38" s="467"/>
      <c r="K38" s="466"/>
      <c r="L38" s="481"/>
      <c r="M38" s="497"/>
      <c r="N38" s="497"/>
    </row>
    <row r="39" spans="1:14" s="329" customFormat="1" ht="13.5" customHeight="1" x14ac:dyDescent="0.2">
      <c r="A39" s="496" t="s">
        <v>342</v>
      </c>
      <c r="B39" s="483">
        <v>730</v>
      </c>
      <c r="C39" s="466">
        <v>740498</v>
      </c>
      <c r="D39" s="466">
        <v>97945</v>
      </c>
      <c r="E39" s="466">
        <v>5974</v>
      </c>
      <c r="F39" s="466">
        <v>63194</v>
      </c>
      <c r="G39" s="466">
        <v>113884</v>
      </c>
      <c r="H39" s="466"/>
      <c r="I39" s="466">
        <v>277574</v>
      </c>
      <c r="J39" s="467"/>
      <c r="K39" s="466">
        <v>34157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9084335</v>
      </c>
      <c r="N40" s="497"/>
    </row>
    <row r="41" spans="1:14" ht="13.5" customHeight="1" thickBot="1" x14ac:dyDescent="0.25">
      <c r="A41" s="1736" t="s">
        <v>655</v>
      </c>
      <c r="B41" s="1706"/>
      <c r="C41" s="1688">
        <f>(SUM(C34,C37,C38,C39))</f>
        <v>748398</v>
      </c>
      <c r="D41" s="1688">
        <f t="shared" ref="D41:L41" si="2">SUM(D34,D37,D38:D39)</f>
        <v>97945</v>
      </c>
      <c r="E41" s="1688">
        <f t="shared" si="2"/>
        <v>5974</v>
      </c>
      <c r="F41" s="1688">
        <f t="shared" si="2"/>
        <v>63194</v>
      </c>
      <c r="G41" s="1688">
        <f t="shared" si="2"/>
        <v>113884</v>
      </c>
      <c r="H41" s="1688">
        <f t="shared" si="2"/>
        <v>0</v>
      </c>
      <c r="I41" s="1688">
        <f t="shared" si="2"/>
        <v>277574</v>
      </c>
      <c r="J41" s="1688">
        <f t="shared" si="2"/>
        <v>0</v>
      </c>
      <c r="K41" s="1688">
        <f t="shared" si="2"/>
        <v>34157</v>
      </c>
      <c r="L41" s="1688">
        <f t="shared" si="2"/>
        <v>177358</v>
      </c>
      <c r="M41" s="1688">
        <f>SUM(M40)</f>
        <v>9084335</v>
      </c>
      <c r="N41" s="1688">
        <f>SUM(N37)</f>
        <v>450500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8" sqref="C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893888</v>
      </c>
      <c r="D4" s="1742">
        <f>'Revenues 9-14'!D109</f>
        <v>366015</v>
      </c>
      <c r="E4" s="1742">
        <f>'Revenues 9-14'!E109</f>
        <v>95948</v>
      </c>
      <c r="F4" s="1742">
        <f>'Revenues 9-14'!F109</f>
        <v>125699</v>
      </c>
      <c r="G4" s="1742">
        <f>'Revenues 9-14'!G109</f>
        <v>128160</v>
      </c>
      <c r="H4" s="1742">
        <f>'Revenues 9-14'!H109</f>
        <v>0</v>
      </c>
      <c r="I4" s="1742">
        <f>'Revenues 9-14'!I109</f>
        <v>12807</v>
      </c>
      <c r="J4" s="1742">
        <f>'Revenues 9-14'!J109</f>
        <v>201199</v>
      </c>
      <c r="K4" s="1742">
        <f>'Revenues 9-14'!K109</f>
        <v>11947</v>
      </c>
      <c r="L4" s="347"/>
    </row>
    <row r="5" spans="1:13" ht="15.75" customHeight="1" x14ac:dyDescent="0.2">
      <c r="A5" s="1576" t="s">
        <v>1500</v>
      </c>
      <c r="B5" s="1577">
        <v>2000</v>
      </c>
      <c r="C5" s="1743">
        <f>'Revenues 9-14'!C114</f>
        <v>17642</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1828091</v>
      </c>
      <c r="D6" s="1743">
        <f>'Revenues 9-14'!D170</f>
        <v>39968</v>
      </c>
      <c r="E6" s="1743">
        <f>'Revenues 9-14'!E170</f>
        <v>0</v>
      </c>
      <c r="F6" s="1743">
        <f>'Revenues 9-14'!F170</f>
        <v>204511</v>
      </c>
      <c r="G6" s="1743">
        <f>'Revenues 9-14'!G170</f>
        <v>9640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382714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3122335</v>
      </c>
      <c r="D8" s="1688">
        <f t="shared" ref="D8:K8" si="0">SUM(D4:D7)</f>
        <v>405983</v>
      </c>
      <c r="E8" s="1688">
        <f t="shared" si="0"/>
        <v>95948</v>
      </c>
      <c r="F8" s="1688">
        <f t="shared" si="0"/>
        <v>330210</v>
      </c>
      <c r="G8" s="1688">
        <f t="shared" si="0"/>
        <v>137800</v>
      </c>
      <c r="H8" s="1688">
        <f t="shared" si="0"/>
        <v>0</v>
      </c>
      <c r="I8" s="1688">
        <f t="shared" si="0"/>
        <v>12807</v>
      </c>
      <c r="J8" s="1688">
        <f t="shared" si="0"/>
        <v>201199</v>
      </c>
      <c r="K8" s="1688">
        <f t="shared" si="0"/>
        <v>11947</v>
      </c>
      <c r="L8" s="347"/>
    </row>
    <row r="9" spans="1:13" ht="15.75" thickTop="1" x14ac:dyDescent="0.2">
      <c r="A9" s="514" t="s">
        <v>1653</v>
      </c>
      <c r="B9" s="515">
        <v>3998</v>
      </c>
      <c r="C9" s="481">
        <v>1000937</v>
      </c>
      <c r="D9" s="516"/>
      <c r="E9" s="481"/>
      <c r="F9" s="481"/>
      <c r="G9" s="517"/>
      <c r="H9" s="481"/>
      <c r="I9" s="509" t="s">
        <v>1169</v>
      </c>
      <c r="J9" s="478"/>
      <c r="K9" s="481"/>
      <c r="L9" s="347"/>
    </row>
    <row r="10" spans="1:13" s="519" customFormat="1" ht="13.5" thickBot="1" x14ac:dyDescent="0.25">
      <c r="A10" s="1736" t="s">
        <v>1173</v>
      </c>
      <c r="B10" s="1709"/>
      <c r="C10" s="1688">
        <f>SUM(C8:C9)</f>
        <v>4123272</v>
      </c>
      <c r="D10" s="1688">
        <f t="shared" ref="D10:K10" si="1">SUM(D8:D9)</f>
        <v>405983</v>
      </c>
      <c r="E10" s="1688">
        <f t="shared" si="1"/>
        <v>95948</v>
      </c>
      <c r="F10" s="1688">
        <f t="shared" si="1"/>
        <v>330210</v>
      </c>
      <c r="G10" s="1688">
        <f t="shared" si="1"/>
        <v>137800</v>
      </c>
      <c r="H10" s="1688">
        <f t="shared" si="1"/>
        <v>0</v>
      </c>
      <c r="I10" s="1688">
        <f t="shared" si="1"/>
        <v>12807</v>
      </c>
      <c r="J10" s="1688">
        <f t="shared" si="1"/>
        <v>201199</v>
      </c>
      <c r="K10" s="1688">
        <f t="shared" si="1"/>
        <v>11947</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1474383</v>
      </c>
      <c r="D12" s="520" t="s">
        <v>1169</v>
      </c>
      <c r="E12" s="468" t="s">
        <v>1169</v>
      </c>
      <c r="F12" s="468" t="s">
        <v>1169</v>
      </c>
      <c r="G12" s="1742">
        <f>'Expenditures 15-22'!K229</f>
        <v>42251</v>
      </c>
      <c r="H12" s="521"/>
      <c r="I12" s="468" t="s">
        <v>1169</v>
      </c>
      <c r="J12" s="468" t="s">
        <v>1169</v>
      </c>
      <c r="K12" s="521" t="s">
        <v>1169</v>
      </c>
      <c r="L12" s="347"/>
    </row>
    <row r="13" spans="1:13" ht="15.75" customHeight="1" x14ac:dyDescent="0.2">
      <c r="A13" s="1576" t="s">
        <v>457</v>
      </c>
      <c r="B13" s="1578">
        <v>2000</v>
      </c>
      <c r="C13" s="1743">
        <f>'Expenditures 15-22'!K74</f>
        <v>962029</v>
      </c>
      <c r="D13" s="1743">
        <f>'Expenditures 15-22'!K129</f>
        <v>356000</v>
      </c>
      <c r="E13" s="469" t="s">
        <v>1169</v>
      </c>
      <c r="F13" s="1743">
        <f>'Expenditures 15-22'!K184</f>
        <v>344126</v>
      </c>
      <c r="G13" s="1743">
        <f>'Expenditures 15-22'!K279</f>
        <v>93828</v>
      </c>
      <c r="H13" s="1743">
        <f>'Expenditures 15-22'!K303</f>
        <v>0</v>
      </c>
      <c r="I13" s="468" t="s">
        <v>1169</v>
      </c>
      <c r="J13" s="1743">
        <f>'Expenditures 15-22'!K330</f>
        <v>201199</v>
      </c>
      <c r="K13" s="1747">
        <f>'Expenditures 15-22'!K352</f>
        <v>0</v>
      </c>
      <c r="L13" s="347"/>
    </row>
    <row r="14" spans="1:13" ht="15.75" customHeight="1" x14ac:dyDescent="0.2">
      <c r="A14" s="1576" t="s">
        <v>449</v>
      </c>
      <c r="B14" s="1578">
        <v>3000</v>
      </c>
      <c r="C14" s="1743">
        <f>'Expenditures 15-22'!K75</f>
        <v>410634</v>
      </c>
      <c r="D14" s="1743">
        <f>'Expenditures 15-22'!K130</f>
        <v>0</v>
      </c>
      <c r="E14" s="520" t="s">
        <v>1169</v>
      </c>
      <c r="F14" s="1743">
        <f>'Expenditures 15-22'!K185</f>
        <v>0</v>
      </c>
      <c r="G14" s="1743">
        <f>'Expenditures 15-22'!K280</f>
        <v>37066</v>
      </c>
      <c r="H14" s="512"/>
      <c r="I14" s="468" t="s">
        <v>1169</v>
      </c>
      <c r="J14" s="468" t="s">
        <v>1169</v>
      </c>
      <c r="K14" s="512" t="s">
        <v>1169</v>
      </c>
      <c r="L14" s="347"/>
    </row>
    <row r="15" spans="1:13" ht="15.75" customHeight="1" x14ac:dyDescent="0.2">
      <c r="A15" s="1576" t="s">
        <v>107</v>
      </c>
      <c r="B15" s="1578">
        <v>4000</v>
      </c>
      <c r="C15" s="1743">
        <f>'Expenditures 15-22'!K102</f>
        <v>480541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95882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3327587</v>
      </c>
      <c r="D17" s="1688">
        <f t="shared" si="2"/>
        <v>356000</v>
      </c>
      <c r="E17" s="1688">
        <f t="shared" si="2"/>
        <v>95882</v>
      </c>
      <c r="F17" s="1688">
        <f t="shared" si="2"/>
        <v>344126</v>
      </c>
      <c r="G17" s="1688">
        <f t="shared" si="2"/>
        <v>173145</v>
      </c>
      <c r="H17" s="1688">
        <f t="shared" si="2"/>
        <v>0</v>
      </c>
      <c r="I17" s="468"/>
      <c r="J17" s="1688">
        <f>SUM(J12:J16)</f>
        <v>201199</v>
      </c>
      <c r="K17" s="1688">
        <f>SUM(K12:K16)</f>
        <v>0</v>
      </c>
      <c r="L17" s="347"/>
    </row>
    <row r="18" spans="1:12" ht="15" customHeight="1" thickTop="1" x14ac:dyDescent="0.2">
      <c r="A18" s="1744" t="s">
        <v>1654</v>
      </c>
      <c r="B18" s="1745">
        <v>4180</v>
      </c>
      <c r="C18" s="1742">
        <f t="shared" ref="C18:H18" si="3">C9</f>
        <v>1000937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4328524</v>
      </c>
      <c r="D19" s="1688">
        <f t="shared" si="4"/>
        <v>356000</v>
      </c>
      <c r="E19" s="1688">
        <f t="shared" si="4"/>
        <v>95882</v>
      </c>
      <c r="F19" s="1688">
        <f t="shared" si="4"/>
        <v>344126</v>
      </c>
      <c r="G19" s="1688">
        <f t="shared" si="4"/>
        <v>173145</v>
      </c>
      <c r="H19" s="1688">
        <f t="shared" si="4"/>
        <v>0</v>
      </c>
      <c r="I19" s="468"/>
      <c r="J19" s="1688">
        <f>SUM(J17:J18)</f>
        <v>201199</v>
      </c>
      <c r="K19" s="1688">
        <f>SUM(K17:K18)</f>
        <v>0</v>
      </c>
      <c r="L19" s="347"/>
    </row>
    <row r="20" spans="1:12" ht="16.5" thickTop="1" thickBot="1" x14ac:dyDescent="0.25">
      <c r="A20" s="2129" t="s">
        <v>1655</v>
      </c>
      <c r="B20" s="2130"/>
      <c r="C20" s="1746">
        <f>C8-C17</f>
        <v>-205252</v>
      </c>
      <c r="D20" s="1746">
        <f t="shared" ref="D20:K20" si="5">D8-D17</f>
        <v>49983</v>
      </c>
      <c r="E20" s="1746">
        <f t="shared" si="5"/>
        <v>66</v>
      </c>
      <c r="F20" s="1746">
        <f t="shared" si="5"/>
        <v>-13916</v>
      </c>
      <c r="G20" s="1746">
        <f t="shared" si="5"/>
        <v>-35345</v>
      </c>
      <c r="H20" s="1746">
        <f t="shared" si="5"/>
        <v>0</v>
      </c>
      <c r="I20" s="1746">
        <f t="shared" si="5"/>
        <v>12807</v>
      </c>
      <c r="J20" s="1746">
        <f t="shared" si="5"/>
        <v>0</v>
      </c>
      <c r="K20" s="1746">
        <f t="shared" si="5"/>
        <v>11947</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-205252</v>
      </c>
      <c r="D78" s="1702">
        <f t="shared" si="9"/>
        <v>49983</v>
      </c>
      <c r="E78" s="1702">
        <f t="shared" si="9"/>
        <v>66</v>
      </c>
      <c r="F78" s="1702">
        <f t="shared" si="9"/>
        <v>-13916</v>
      </c>
      <c r="G78" s="1702">
        <f t="shared" si="9"/>
        <v>-35345</v>
      </c>
      <c r="H78" s="1702">
        <f t="shared" si="9"/>
        <v>0</v>
      </c>
      <c r="I78" s="1702">
        <f t="shared" si="9"/>
        <v>12807</v>
      </c>
      <c r="J78" s="1702">
        <f t="shared" si="9"/>
        <v>0</v>
      </c>
      <c r="K78" s="1702">
        <f t="shared" si="9"/>
        <v>11947</v>
      </c>
      <c r="L78" s="533"/>
    </row>
    <row r="79" spans="1:12" ht="13.5" thickTop="1" x14ac:dyDescent="0.2">
      <c r="A79" s="1494" t="s">
        <v>1947</v>
      </c>
      <c r="B79" s="534"/>
      <c r="C79" s="478">
        <v>953650</v>
      </c>
      <c r="D79" s="535">
        <v>47962</v>
      </c>
      <c r="E79" s="535">
        <v>5908</v>
      </c>
      <c r="F79" s="535">
        <v>77110</v>
      </c>
      <c r="G79" s="535">
        <v>149229</v>
      </c>
      <c r="H79" s="535">
        <v>0</v>
      </c>
      <c r="I79" s="535">
        <v>264767</v>
      </c>
      <c r="J79" s="535">
        <v>0</v>
      </c>
      <c r="K79" s="535">
        <v>22210</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748398</v>
      </c>
      <c r="D81" s="1688">
        <f>SUM(D78:D80)</f>
        <v>97945</v>
      </c>
      <c r="E81" s="1688">
        <f t="shared" ref="E81:K81" si="10">SUM(E78:E80)</f>
        <v>5974</v>
      </c>
      <c r="F81" s="1688">
        <f t="shared" si="10"/>
        <v>63194</v>
      </c>
      <c r="G81" s="1688">
        <f t="shared" si="10"/>
        <v>113884</v>
      </c>
      <c r="H81" s="1688">
        <f t="shared" si="10"/>
        <v>0</v>
      </c>
      <c r="I81" s="1688">
        <f t="shared" si="10"/>
        <v>277574</v>
      </c>
      <c r="J81" s="1688">
        <f t="shared" si="10"/>
        <v>0</v>
      </c>
      <c r="K81" s="1688">
        <f t="shared" si="10"/>
        <v>34157</v>
      </c>
      <c r="L81" s="347"/>
    </row>
    <row r="82" spans="1:12" ht="0.75" customHeight="1" thickTop="1" thickBot="1" x14ac:dyDescent="0.25">
      <c r="A82" s="536" t="s">
        <v>343</v>
      </c>
      <c r="B82" s="537"/>
      <c r="C82" s="538">
        <f>(C81-C79)</f>
        <v>-205252</v>
      </c>
      <c r="D82" s="538">
        <f t="shared" ref="D82:K82" si="11">(D81-D79)</f>
        <v>49983</v>
      </c>
      <c r="E82" s="538">
        <f t="shared" si="11"/>
        <v>66</v>
      </c>
      <c r="F82" s="538">
        <f t="shared" si="11"/>
        <v>-13916</v>
      </c>
      <c r="G82" s="538">
        <f t="shared" si="11"/>
        <v>-35345</v>
      </c>
      <c r="H82" s="538">
        <f t="shared" si="11"/>
        <v>0</v>
      </c>
      <c r="I82" s="538">
        <f t="shared" si="11"/>
        <v>12807</v>
      </c>
      <c r="J82" s="538">
        <f t="shared" si="11"/>
        <v>0</v>
      </c>
      <c r="K82" s="538">
        <f t="shared" si="11"/>
        <v>11947</v>
      </c>
    </row>
    <row r="83" spans="1:12" ht="14.25" hidden="1" thickTop="1" thickBot="1" x14ac:dyDescent="0.25">
      <c r="A83" s="539" t="s">
        <v>344</v>
      </c>
      <c r="B83" s="464"/>
      <c r="C83" s="540">
        <f>C82/C81</f>
        <v>-0.27425514231732312</v>
      </c>
      <c r="D83" s="540">
        <f t="shared" ref="D83:K83" si="12">D82/D81</f>
        <v>0.5103170146510797</v>
      </c>
      <c r="E83" s="540">
        <f t="shared" si="12"/>
        <v>1.1047874121191832E-2</v>
      </c>
      <c r="F83" s="540">
        <f t="shared" si="12"/>
        <v>-0.22021077950438334</v>
      </c>
      <c r="G83" s="540">
        <f t="shared" si="12"/>
        <v>-0.31035966421973238</v>
      </c>
      <c r="H83" s="540" t="e">
        <f t="shared" si="12"/>
        <v>#DIV/0!</v>
      </c>
      <c r="I83" s="540">
        <f t="shared" si="12"/>
        <v>4.6139047605323266E-2</v>
      </c>
      <c r="J83" s="540" t="e">
        <f t="shared" si="12"/>
        <v>#DIV/0!</v>
      </c>
      <c r="K83" s="540">
        <f t="shared" si="12"/>
        <v>0.34976725122229702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view="pageBreakPreview" colorId="8" zoomScale="130" zoomScaleNormal="110" zoomScaleSheetLayoutView="130" workbookViewId="0">
      <pane ySplit="2" topLeftCell="A194" activePane="bottomLeft" state="frozen"/>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613751</v>
      </c>
      <c r="D5" s="481">
        <v>118136</v>
      </c>
      <c r="E5" s="466">
        <v>95796</v>
      </c>
      <c r="F5" s="548">
        <v>47230</v>
      </c>
      <c r="G5" s="466">
        <v>52694</v>
      </c>
      <c r="H5" s="466"/>
      <c r="I5" s="466">
        <v>11777</v>
      </c>
      <c r="J5" s="467">
        <v>200820</v>
      </c>
      <c r="K5" s="466">
        <v>11777</v>
      </c>
    </row>
    <row r="6" spans="1:12" ht="15" x14ac:dyDescent="0.2">
      <c r="A6" s="463" t="s">
        <v>1662</v>
      </c>
      <c r="B6" s="470">
        <v>1130</v>
      </c>
      <c r="C6" s="466"/>
      <c r="D6" s="466"/>
      <c r="E6" s="475"/>
      <c r="F6" s="475"/>
      <c r="G6" s="468"/>
      <c r="H6" s="468"/>
      <c r="I6" s="468"/>
      <c r="J6" s="468"/>
      <c r="K6" s="468"/>
    </row>
    <row r="7" spans="1:12" x14ac:dyDescent="0.2">
      <c r="A7" s="463" t="s">
        <v>110</v>
      </c>
      <c r="B7" s="549">
        <v>1140</v>
      </c>
      <c r="C7" s="466">
        <v>9470</v>
      </c>
      <c r="D7" s="466"/>
      <c r="E7" s="468"/>
      <c r="F7" s="467"/>
      <c r="G7" s="467"/>
      <c r="H7" s="467"/>
      <c r="I7" s="468"/>
      <c r="J7" s="468"/>
      <c r="K7" s="468"/>
    </row>
    <row r="8" spans="1:12" x14ac:dyDescent="0.2">
      <c r="A8" s="463" t="s">
        <v>413</v>
      </c>
      <c r="B8" s="470">
        <v>1150</v>
      </c>
      <c r="C8" s="475"/>
      <c r="D8" s="475"/>
      <c r="E8" s="477"/>
      <c r="F8" s="477"/>
      <c r="G8" s="481">
        <v>52694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623221</v>
      </c>
      <c r="D12" s="1707">
        <f t="shared" si="0"/>
        <v>118136</v>
      </c>
      <c r="E12" s="1707">
        <f t="shared" si="0"/>
        <v>95796</v>
      </c>
      <c r="F12" s="1707">
        <f t="shared" si="0"/>
        <v>47230</v>
      </c>
      <c r="G12" s="1707">
        <f t="shared" si="0"/>
        <v>105388</v>
      </c>
      <c r="H12" s="1707">
        <f t="shared" si="0"/>
        <v>0</v>
      </c>
      <c r="I12" s="1707">
        <f t="shared" si="0"/>
        <v>11777</v>
      </c>
      <c r="J12" s="1707">
        <f t="shared" si="0"/>
        <v>200820</v>
      </c>
      <c r="K12" s="1688">
        <f t="shared" si="0"/>
        <v>11777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1861</v>
      </c>
      <c r="D14" s="466">
        <v>242</v>
      </c>
      <c r="E14" s="466"/>
      <c r="F14" s="466">
        <v>72</v>
      </c>
      <c r="G14" s="466">
        <v>242</v>
      </c>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144109</v>
      </c>
      <c r="D16" s="466">
        <v>196513</v>
      </c>
      <c r="E16" s="466"/>
      <c r="F16" s="466">
        <v>74238</v>
      </c>
      <c r="G16" s="466">
        <v>21835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145970</v>
      </c>
      <c r="D18" s="1710">
        <f t="shared" ref="D18:K18" si="1">SUM(D14:D17)</f>
        <v>196755</v>
      </c>
      <c r="E18" s="1710">
        <f t="shared" si="1"/>
        <v>0</v>
      </c>
      <c r="F18" s="1710">
        <f t="shared" si="1"/>
        <v>74310</v>
      </c>
      <c r="G18" s="1710">
        <f t="shared" si="1"/>
        <v>22077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4236</v>
      </c>
      <c r="D65" s="466">
        <v>216</v>
      </c>
      <c r="E65" s="466">
        <v>152</v>
      </c>
      <c r="F65" s="467">
        <v>366</v>
      </c>
      <c r="G65" s="466">
        <v>695</v>
      </c>
      <c r="H65" s="466"/>
      <c r="I65" s="466">
        <v>1030</v>
      </c>
      <c r="J65" s="467">
        <v>303</v>
      </c>
      <c r="K65" s="466">
        <v>170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4236</v>
      </c>
      <c r="D67" s="1688">
        <f t="shared" ref="D67:K67" si="2">SUM(D65:D66)</f>
        <v>216</v>
      </c>
      <c r="E67" s="1688">
        <f t="shared" si="2"/>
        <v>152</v>
      </c>
      <c r="F67" s="1688">
        <f t="shared" si="2"/>
        <v>366</v>
      </c>
      <c r="G67" s="1688">
        <f t="shared" si="2"/>
        <v>695</v>
      </c>
      <c r="H67" s="1688">
        <f t="shared" si="2"/>
        <v>0</v>
      </c>
      <c r="I67" s="1688">
        <f t="shared" si="2"/>
        <v>1030</v>
      </c>
      <c r="J67" s="1688">
        <f t="shared" si="2"/>
        <v>303</v>
      </c>
      <c r="K67" s="1688">
        <f t="shared" si="2"/>
        <v>170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34613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10578</v>
      </c>
      <c r="D72" s="468"/>
      <c r="E72" s="468"/>
      <c r="F72" s="468"/>
      <c r="G72" s="468"/>
      <c r="H72" s="468"/>
      <c r="I72" s="468"/>
      <c r="J72" s="468"/>
      <c r="K72" s="468"/>
    </row>
    <row r="73" spans="1:11" ht="12.75" customHeight="1" x14ac:dyDescent="0.2">
      <c r="A73" s="463" t="s">
        <v>998</v>
      </c>
      <c r="B73" s="470">
        <v>1620</v>
      </c>
      <c r="C73" s="551">
        <v>5179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50370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8765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13048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21813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17177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17177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40500</v>
      </c>
      <c r="E95" s="521"/>
      <c r="F95" s="521"/>
      <c r="G95" s="521"/>
      <c r="H95" s="521"/>
      <c r="I95" s="521"/>
      <c r="J95" s="521"/>
      <c r="K95" s="521"/>
    </row>
    <row r="96" spans="1:11" ht="12.75" customHeight="1" x14ac:dyDescent="0.2">
      <c r="A96" s="463" t="s">
        <v>391</v>
      </c>
      <c r="B96" s="470">
        <v>1920</v>
      </c>
      <c r="C96" s="551">
        <v>17350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13751</v>
      </c>
      <c r="D107" s="466">
        <v>10408</v>
      </c>
      <c r="E107" s="466"/>
      <c r="F107" s="466">
        <v>3793</v>
      </c>
      <c r="G107" s="466"/>
      <c r="H107" s="466"/>
      <c r="I107" s="466"/>
      <c r="J107" s="467">
        <v>76</v>
      </c>
      <c r="K107" s="466"/>
    </row>
    <row r="108" spans="1:12" ht="12.75" customHeight="1" thickBot="1" x14ac:dyDescent="0.25">
      <c r="A108" s="1708" t="s">
        <v>487</v>
      </c>
      <c r="B108" s="1712"/>
      <c r="C108" s="1707">
        <f>SUM(C95:C107)</f>
        <v>31101</v>
      </c>
      <c r="D108" s="1707">
        <f t="shared" ref="D108:K108" si="3">SUM(D95:D107)</f>
        <v>50908</v>
      </c>
      <c r="E108" s="1707">
        <f t="shared" si="3"/>
        <v>0</v>
      </c>
      <c r="F108" s="1707">
        <f t="shared" si="3"/>
        <v>3793</v>
      </c>
      <c r="G108" s="1707">
        <f t="shared" si="3"/>
        <v>0</v>
      </c>
      <c r="H108" s="1707">
        <f t="shared" si="3"/>
        <v>0</v>
      </c>
      <c r="I108" s="1707">
        <f t="shared" si="3"/>
        <v>0</v>
      </c>
      <c r="J108" s="1707">
        <f t="shared" si="3"/>
        <v>76</v>
      </c>
      <c r="K108" s="1688">
        <f t="shared" si="3"/>
        <v>0</v>
      </c>
    </row>
    <row r="109" spans="1:12" ht="14.25" thickTop="1" thickBot="1" x14ac:dyDescent="0.25">
      <c r="A109" s="1713" t="s">
        <v>248</v>
      </c>
      <c r="B109" s="1714" t="s">
        <v>570</v>
      </c>
      <c r="C109" s="1715">
        <f t="shared" ref="C109:K109" si="4">SUM(C12,C18,C40,C63,C67,C75,C82,C93,C108,)</f>
        <v>893888</v>
      </c>
      <c r="D109" s="1715">
        <f t="shared" si="4"/>
        <v>366015</v>
      </c>
      <c r="E109" s="1715">
        <f t="shared" si="4"/>
        <v>95948</v>
      </c>
      <c r="F109" s="1715">
        <f t="shared" si="4"/>
        <v>125699</v>
      </c>
      <c r="G109" s="1715">
        <f t="shared" si="4"/>
        <v>128160</v>
      </c>
      <c r="H109" s="1715">
        <f t="shared" si="4"/>
        <v>0</v>
      </c>
      <c r="I109" s="1715">
        <f t="shared" si="4"/>
        <v>12807</v>
      </c>
      <c r="J109" s="1715">
        <f t="shared" si="4"/>
        <v>201199</v>
      </c>
      <c r="K109" s="1702">
        <f t="shared" si="4"/>
        <v>11947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17642</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17642</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1235165</v>
      </c>
      <c r="D117" s="481">
        <v>30000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1235165</v>
      </c>
      <c r="D122" s="1707">
        <f t="shared" si="5"/>
        <v>30000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17958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2025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19983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16147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16147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2001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5507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125332</v>
      </c>
      <c r="G152" s="467"/>
      <c r="H152" s="468"/>
      <c r="I152" s="468"/>
      <c r="J152" s="468"/>
      <c r="K152" s="468"/>
    </row>
    <row r="153" spans="1:11" ht="12.75" customHeight="1" x14ac:dyDescent="0.2">
      <c r="A153" s="463" t="s">
        <v>1057</v>
      </c>
      <c r="B153" s="562">
        <v>3510</v>
      </c>
      <c r="C153" s="551"/>
      <c r="D153" s="466"/>
      <c r="E153" s="561"/>
      <c r="F153" s="466">
        <v>60509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185841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547969</v>
      </c>
      <c r="D159" s="578">
        <v>9968</v>
      </c>
      <c r="E159" s="561"/>
      <c r="F159" s="576">
        <v>18670</v>
      </c>
      <c r="G159" s="576">
        <v>9640</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1319</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592926</v>
      </c>
      <c r="D169" s="1722">
        <f t="shared" si="6"/>
        <v>9968</v>
      </c>
      <c r="E169" s="1722">
        <f t="shared" si="6"/>
        <v>0</v>
      </c>
      <c r="F169" s="1722">
        <f t="shared" si="6"/>
        <v>204511</v>
      </c>
      <c r="G169" s="1722">
        <f t="shared" si="6"/>
        <v>9640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1828091</v>
      </c>
      <c r="D170" s="1715">
        <f t="shared" si="7"/>
        <v>39968</v>
      </c>
      <c r="E170" s="1715">
        <f t="shared" si="7"/>
        <v>0</v>
      </c>
      <c r="F170" s="1715">
        <f t="shared" si="7"/>
        <v>204511</v>
      </c>
      <c r="G170" s="1715">
        <f t="shared" si="7"/>
        <v>9640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80176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26800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106976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52994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52994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192247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192247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5004</v>
      </c>
      <c r="D263" s="576"/>
      <c r="E263" s="468"/>
      <c r="F263" s="576"/>
      <c r="G263" s="576"/>
      <c r="H263" s="468"/>
      <c r="I263" s="468"/>
      <c r="J263" s="468"/>
      <c r="K263" s="468"/>
    </row>
    <row r="264" spans="1:11" ht="12.75" customHeight="1" thickTop="1" thickBot="1" x14ac:dyDescent="0.25">
      <c r="A264" s="463" t="s">
        <v>377</v>
      </c>
      <c r="B264" s="470">
        <v>4992</v>
      </c>
      <c r="C264" s="575">
        <v>6266</v>
      </c>
      <c r="D264" s="576"/>
      <c r="E264" s="468"/>
      <c r="F264" s="576"/>
      <c r="G264" s="576"/>
      <c r="H264" s="468"/>
      <c r="I264" s="468"/>
      <c r="J264" s="468"/>
      <c r="K264" s="468"/>
    </row>
    <row r="265" spans="1:11" s="593" customFormat="1" ht="12.75" customHeight="1" thickTop="1" thickBot="1" x14ac:dyDescent="0.25">
      <c r="A265" s="563" t="s">
        <v>75</v>
      </c>
      <c r="B265" s="557">
        <v>4999</v>
      </c>
      <c r="C265" s="575">
        <v>19227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382714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382714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3122335</v>
      </c>
      <c r="D268" s="1715">
        <f t="shared" si="12"/>
        <v>405983</v>
      </c>
      <c r="E268" s="1715">
        <f t="shared" si="12"/>
        <v>95948</v>
      </c>
      <c r="F268" s="1715">
        <f t="shared" si="12"/>
        <v>330210</v>
      </c>
      <c r="G268" s="1715">
        <f t="shared" si="12"/>
        <v>137800</v>
      </c>
      <c r="H268" s="1715">
        <f t="shared" si="12"/>
        <v>0</v>
      </c>
      <c r="I268" s="1715">
        <f t="shared" si="12"/>
        <v>12807</v>
      </c>
      <c r="J268" s="1715">
        <f t="shared" si="12"/>
        <v>201199</v>
      </c>
      <c r="K268" s="1702">
        <f t="shared" si="12"/>
        <v>11947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6" activePane="bottomLeft" state="frozen"/>
      <selection pane="bottomLeft" activeCell="C322" sqref="C3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852379</v>
      </c>
      <c r="D5" s="466">
        <v>141027</v>
      </c>
      <c r="E5" s="466">
        <v>9761</v>
      </c>
      <c r="F5" s="466">
        <v>20783</v>
      </c>
      <c r="G5" s="466"/>
      <c r="H5" s="466"/>
      <c r="I5" s="467"/>
      <c r="J5" s="467"/>
      <c r="K5" s="1671">
        <f>SUM(C5:J5)</f>
        <v>1023950</v>
      </c>
      <c r="L5" s="466">
        <v>1073546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75383</v>
      </c>
      <c r="D7" s="467">
        <v>4324</v>
      </c>
      <c r="E7" s="467">
        <v>2086</v>
      </c>
      <c r="F7" s="467">
        <v>4072</v>
      </c>
      <c r="G7" s="467"/>
      <c r="H7" s="467"/>
      <c r="I7" s="467"/>
      <c r="J7" s="467"/>
      <c r="K7" s="1671">
        <f t="shared" ref="K7:K32" si="0">SUM(C7:J7)</f>
        <v>85865</v>
      </c>
      <c r="L7" s="466">
        <v>76324</v>
      </c>
    </row>
    <row r="8" spans="1:14" x14ac:dyDescent="0.2">
      <c r="A8" s="1504" t="s">
        <v>164</v>
      </c>
      <c r="B8" s="614">
        <v>1200</v>
      </c>
      <c r="C8" s="466">
        <v>152694</v>
      </c>
      <c r="D8" s="466">
        <v>10392</v>
      </c>
      <c r="E8" s="466">
        <v>6363</v>
      </c>
      <c r="F8" s="466">
        <v>2189</v>
      </c>
      <c r="G8" s="466"/>
      <c r="H8" s="466"/>
      <c r="I8" s="467"/>
      <c r="J8" s="467"/>
      <c r="K8" s="1671">
        <f t="shared" si="0"/>
        <v>171638</v>
      </c>
      <c r="L8" s="466">
        <v>159192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48087</v>
      </c>
      <c r="D10" s="466">
        <v>522</v>
      </c>
      <c r="E10" s="466">
        <v>32880</v>
      </c>
      <c r="F10" s="466">
        <v>9894</v>
      </c>
      <c r="G10" s="466"/>
      <c r="H10" s="466"/>
      <c r="I10" s="467"/>
      <c r="J10" s="467"/>
      <c r="K10" s="1671">
        <f t="shared" si="0"/>
        <v>91383</v>
      </c>
      <c r="L10" s="466">
        <v>91016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35318</v>
      </c>
      <c r="D13" s="466">
        <v>8022</v>
      </c>
      <c r="E13" s="466">
        <v>1578</v>
      </c>
      <c r="F13" s="466">
        <v>11002</v>
      </c>
      <c r="G13" s="466"/>
      <c r="H13" s="466"/>
      <c r="I13" s="467">
        <v>6928</v>
      </c>
      <c r="J13" s="467"/>
      <c r="K13" s="1671">
        <f t="shared" si="0"/>
        <v>62848</v>
      </c>
      <c r="L13" s="466">
        <v>51672</v>
      </c>
    </row>
    <row r="14" spans="1:14" x14ac:dyDescent="0.2">
      <c r="A14" s="1504" t="s">
        <v>963</v>
      </c>
      <c r="B14" s="614">
        <v>1500</v>
      </c>
      <c r="C14" s="466">
        <v>11918</v>
      </c>
      <c r="D14" s="466">
        <v>998</v>
      </c>
      <c r="E14" s="466">
        <v>8645</v>
      </c>
      <c r="F14" s="466">
        <v>1745</v>
      </c>
      <c r="G14" s="466"/>
      <c r="H14" s="466">
        <v>756</v>
      </c>
      <c r="I14" s="467"/>
      <c r="J14" s="467"/>
      <c r="K14" s="1671">
        <f t="shared" si="0"/>
        <v>24062</v>
      </c>
      <c r="L14" s="466">
        <v>36405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10723</v>
      </c>
      <c r="D17" s="467">
        <v>972</v>
      </c>
      <c r="E17" s="467">
        <v>2738</v>
      </c>
      <c r="F17" s="467">
        <v>204</v>
      </c>
      <c r="G17" s="467"/>
      <c r="H17" s="467"/>
      <c r="I17" s="467"/>
      <c r="J17" s="467"/>
      <c r="K17" s="1671">
        <f t="shared" si="0"/>
        <v>14637</v>
      </c>
      <c r="L17" s="466">
        <v>15545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1186502</v>
      </c>
      <c r="D33" s="1670">
        <f t="shared" ref="D33:L33" si="1">SUM(D5:D32)</f>
        <v>166257</v>
      </c>
      <c r="E33" s="1670">
        <f t="shared" si="1"/>
        <v>64051</v>
      </c>
      <c r="F33" s="1670">
        <f t="shared" si="1"/>
        <v>49889</v>
      </c>
      <c r="G33" s="1670">
        <f t="shared" si="1"/>
        <v>0</v>
      </c>
      <c r="H33" s="1670">
        <f t="shared" si="1"/>
        <v>756</v>
      </c>
      <c r="I33" s="1670">
        <f t="shared" si="1"/>
        <v>6928</v>
      </c>
      <c r="J33" s="1670">
        <f t="shared" si="1"/>
        <v>0</v>
      </c>
      <c r="K33" s="1670">
        <f t="shared" si="1"/>
        <v>1474383</v>
      </c>
      <c r="L33" s="1670">
        <f t="shared" si="1"/>
        <v>1503700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35871</v>
      </c>
      <c r="D37" s="466">
        <v>4116</v>
      </c>
      <c r="E37" s="466">
        <v>870</v>
      </c>
      <c r="F37" s="466">
        <v>555</v>
      </c>
      <c r="G37" s="466"/>
      <c r="H37" s="466"/>
      <c r="I37" s="467"/>
      <c r="J37" s="467"/>
      <c r="K37" s="1671">
        <f t="shared" si="2"/>
        <v>41412</v>
      </c>
      <c r="L37" s="466">
        <v>46148</v>
      </c>
    </row>
    <row r="38" spans="1:14" x14ac:dyDescent="0.2">
      <c r="A38" s="1504" t="s">
        <v>198</v>
      </c>
      <c r="B38" s="614">
        <v>2130</v>
      </c>
      <c r="C38" s="466"/>
      <c r="D38" s="466"/>
      <c r="E38" s="466">
        <v>1289</v>
      </c>
      <c r="F38" s="466">
        <v>1837</v>
      </c>
      <c r="G38" s="466"/>
      <c r="H38" s="466"/>
      <c r="I38" s="467"/>
      <c r="J38" s="467"/>
      <c r="K38" s="1671">
        <f t="shared" si="2"/>
        <v>3126</v>
      </c>
      <c r="L38" s="466">
        <v>2500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46912</v>
      </c>
      <c r="D40" s="466">
        <v>10679</v>
      </c>
      <c r="E40" s="466"/>
      <c r="F40" s="466">
        <v>188</v>
      </c>
      <c r="G40" s="466"/>
      <c r="H40" s="466"/>
      <c r="I40" s="467"/>
      <c r="J40" s="467"/>
      <c r="K40" s="1671">
        <f t="shared" si="2"/>
        <v>57779</v>
      </c>
      <c r="L40" s="466">
        <v>58062</v>
      </c>
    </row>
    <row r="41" spans="1:14" x14ac:dyDescent="0.2">
      <c r="A41" s="1504" t="s">
        <v>1669</v>
      </c>
      <c r="B41" s="614">
        <v>2190</v>
      </c>
      <c r="C41" s="466"/>
      <c r="D41" s="466"/>
      <c r="E41" s="466">
        <v>100</v>
      </c>
      <c r="F41" s="466">
        <v>1366</v>
      </c>
      <c r="G41" s="466"/>
      <c r="H41" s="466"/>
      <c r="I41" s="467"/>
      <c r="J41" s="467"/>
      <c r="K41" s="1671">
        <f t="shared" si="2"/>
        <v>1466</v>
      </c>
      <c r="L41" s="466">
        <v>1700</v>
      </c>
    </row>
    <row r="42" spans="1:14" ht="12.75" customHeight="1" thickBot="1" x14ac:dyDescent="0.25">
      <c r="A42" s="1668" t="s">
        <v>560</v>
      </c>
      <c r="B42" s="1669" t="s">
        <v>716</v>
      </c>
      <c r="C42" s="1670">
        <f>SUM(C36:C41)</f>
        <v>82783</v>
      </c>
      <c r="D42" s="1670">
        <f t="shared" ref="D42:L42" si="3">SUM(D36:D41)</f>
        <v>14795</v>
      </c>
      <c r="E42" s="1670">
        <f t="shared" si="3"/>
        <v>2259</v>
      </c>
      <c r="F42" s="1670">
        <f t="shared" si="3"/>
        <v>3946</v>
      </c>
      <c r="G42" s="1670">
        <f t="shared" si="3"/>
        <v>0</v>
      </c>
      <c r="H42" s="1670">
        <f t="shared" si="3"/>
        <v>0</v>
      </c>
      <c r="I42" s="1670">
        <f t="shared" si="3"/>
        <v>0</v>
      </c>
      <c r="J42" s="1670">
        <f t="shared" si="3"/>
        <v>0</v>
      </c>
      <c r="K42" s="1670">
        <f t="shared" si="3"/>
        <v>103783</v>
      </c>
      <c r="L42" s="1670">
        <f t="shared" si="3"/>
        <v>108410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3436</v>
      </c>
      <c r="F44" s="481">
        <v>2034</v>
      </c>
      <c r="G44" s="481"/>
      <c r="H44" s="481"/>
      <c r="I44" s="467"/>
      <c r="J44" s="467"/>
      <c r="K44" s="1672">
        <f>SUM(C44:J44)</f>
        <v>5470</v>
      </c>
      <c r="L44" s="481">
        <v>15910</v>
      </c>
    </row>
    <row r="45" spans="1:14" x14ac:dyDescent="0.2">
      <c r="A45" s="1504" t="s">
        <v>815</v>
      </c>
      <c r="B45" s="614">
        <v>2220</v>
      </c>
      <c r="C45" s="466">
        <v>43130</v>
      </c>
      <c r="D45" s="466">
        <v>9191</v>
      </c>
      <c r="E45" s="466">
        <v>2637</v>
      </c>
      <c r="F45" s="466">
        <v>6697</v>
      </c>
      <c r="G45" s="466"/>
      <c r="H45" s="466"/>
      <c r="I45" s="467"/>
      <c r="J45" s="467"/>
      <c r="K45" s="1672">
        <f>SUM(C45:J45)</f>
        <v>61655</v>
      </c>
      <c r="L45" s="466">
        <v>63354</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43130</v>
      </c>
      <c r="D47" s="1670">
        <f t="shared" ref="D47:K47" si="4">SUM(D44:D46)</f>
        <v>9191</v>
      </c>
      <c r="E47" s="1670">
        <f t="shared" si="4"/>
        <v>6073</v>
      </c>
      <c r="F47" s="1670">
        <f t="shared" si="4"/>
        <v>8731</v>
      </c>
      <c r="G47" s="1670">
        <f t="shared" si="4"/>
        <v>0</v>
      </c>
      <c r="H47" s="1670">
        <f t="shared" si="4"/>
        <v>0</v>
      </c>
      <c r="I47" s="1670">
        <f t="shared" si="4"/>
        <v>0</v>
      </c>
      <c r="J47" s="1670">
        <f t="shared" si="4"/>
        <v>0</v>
      </c>
      <c r="K47" s="1670">
        <f t="shared" si="4"/>
        <v>67125</v>
      </c>
      <c r="L47" s="1670">
        <f>SUM(L44:L46)</f>
        <v>79264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26805</v>
      </c>
      <c r="F49" s="481">
        <v>9211</v>
      </c>
      <c r="G49" s="481"/>
      <c r="H49" s="481">
        <v>1857</v>
      </c>
      <c r="I49" s="467"/>
      <c r="J49" s="467"/>
      <c r="K49" s="1672">
        <f>SUM(C49:J49)</f>
        <v>37873</v>
      </c>
      <c r="L49" s="481">
        <v>28500</v>
      </c>
    </row>
    <row r="50" spans="1:14" x14ac:dyDescent="0.2">
      <c r="A50" s="1504" t="s">
        <v>818</v>
      </c>
      <c r="B50" s="614">
        <v>2320</v>
      </c>
      <c r="C50" s="466">
        <v>148299</v>
      </c>
      <c r="D50" s="466">
        <v>16964</v>
      </c>
      <c r="E50" s="466">
        <v>16849</v>
      </c>
      <c r="F50" s="466">
        <v>19935</v>
      </c>
      <c r="G50" s="466"/>
      <c r="H50" s="466">
        <v>1416</v>
      </c>
      <c r="I50" s="467">
        <v>4063</v>
      </c>
      <c r="J50" s="467"/>
      <c r="K50" s="1672">
        <f>SUM(C50:J50)</f>
        <v>207526</v>
      </c>
      <c r="L50" s="466">
        <v>199676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148299</v>
      </c>
      <c r="D53" s="1670">
        <f t="shared" ref="D53:L53" si="5">SUM(D49:D52)</f>
        <v>16964</v>
      </c>
      <c r="E53" s="1670">
        <f t="shared" si="5"/>
        <v>43654</v>
      </c>
      <c r="F53" s="1670">
        <f t="shared" si="5"/>
        <v>29146</v>
      </c>
      <c r="G53" s="1670">
        <f t="shared" si="5"/>
        <v>0</v>
      </c>
      <c r="H53" s="1670">
        <f t="shared" si="5"/>
        <v>3273</v>
      </c>
      <c r="I53" s="1670">
        <f t="shared" si="5"/>
        <v>4063</v>
      </c>
      <c r="J53" s="1670">
        <f t="shared" si="5"/>
        <v>0</v>
      </c>
      <c r="K53" s="1670">
        <f t="shared" si="5"/>
        <v>245399</v>
      </c>
      <c r="L53" s="1670">
        <f t="shared" si="5"/>
        <v>228176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219833</v>
      </c>
      <c r="D55" s="481">
        <v>25962</v>
      </c>
      <c r="E55" s="481">
        <v>3954</v>
      </c>
      <c r="F55" s="481">
        <v>13552</v>
      </c>
      <c r="G55" s="481"/>
      <c r="H55" s="481">
        <v>685</v>
      </c>
      <c r="I55" s="467"/>
      <c r="J55" s="467"/>
      <c r="K55" s="1672">
        <f>SUM(C55:J55)</f>
        <v>263986</v>
      </c>
      <c r="L55" s="481">
        <v>255638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219833</v>
      </c>
      <c r="D57" s="1674">
        <f t="shared" ref="D57:K57" si="6">SUM(D55:D56)</f>
        <v>25962</v>
      </c>
      <c r="E57" s="1674">
        <f t="shared" si="6"/>
        <v>3954</v>
      </c>
      <c r="F57" s="1674">
        <f t="shared" si="6"/>
        <v>13552</v>
      </c>
      <c r="G57" s="1674">
        <f t="shared" si="6"/>
        <v>0</v>
      </c>
      <c r="H57" s="1674">
        <f t="shared" si="6"/>
        <v>685</v>
      </c>
      <c r="I57" s="1674">
        <f t="shared" si="6"/>
        <v>0</v>
      </c>
      <c r="J57" s="1674">
        <f t="shared" si="6"/>
        <v>0</v>
      </c>
      <c r="K57" s="1674">
        <f t="shared" si="6"/>
        <v>263986</v>
      </c>
      <c r="L57" s="1670">
        <f>SUM(L55:L56)</f>
        <v>255638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20391</v>
      </c>
      <c r="D60" s="466">
        <v>4051</v>
      </c>
      <c r="E60" s="466">
        <v>7621</v>
      </c>
      <c r="F60" s="466">
        <v>159</v>
      </c>
      <c r="G60" s="466"/>
      <c r="H60" s="466"/>
      <c r="I60" s="467"/>
      <c r="J60" s="467"/>
      <c r="K60" s="1672">
        <f t="shared" si="7"/>
        <v>32222</v>
      </c>
      <c r="L60" s="466">
        <v>35371</v>
      </c>
      <c r="M60" s="609"/>
      <c r="N60" s="609"/>
    </row>
    <row r="61" spans="1:14" s="343" customFormat="1" x14ac:dyDescent="0.2">
      <c r="A61" s="1504" t="s">
        <v>197</v>
      </c>
      <c r="B61" s="614">
        <v>2540</v>
      </c>
      <c r="C61" s="466"/>
      <c r="D61" s="466"/>
      <c r="E61" s="466">
        <v>15769</v>
      </c>
      <c r="F61" s="466"/>
      <c r="G61" s="466"/>
      <c r="H61" s="466"/>
      <c r="I61" s="467"/>
      <c r="J61" s="467"/>
      <c r="K61" s="1672">
        <f t="shared" si="7"/>
        <v>15769</v>
      </c>
      <c r="L61" s="466">
        <v>16000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79969</v>
      </c>
      <c r="D63" s="466">
        <v>3502</v>
      </c>
      <c r="E63" s="466">
        <v>350</v>
      </c>
      <c r="F63" s="466">
        <v>103915</v>
      </c>
      <c r="G63" s="466"/>
      <c r="H63" s="466"/>
      <c r="I63" s="467"/>
      <c r="J63" s="467"/>
      <c r="K63" s="1672">
        <f t="shared" si="7"/>
        <v>187736</v>
      </c>
      <c r="L63" s="466">
        <v>179915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100360</v>
      </c>
      <c r="D65" s="1670">
        <f t="shared" ref="D65:L65" si="8">SUM(D59:D64)</f>
        <v>7553</v>
      </c>
      <c r="E65" s="1670">
        <f t="shared" si="8"/>
        <v>23740</v>
      </c>
      <c r="F65" s="1670">
        <f t="shared" si="8"/>
        <v>104074</v>
      </c>
      <c r="G65" s="1670">
        <f t="shared" si="8"/>
        <v>0</v>
      </c>
      <c r="H65" s="1670">
        <f t="shared" si="8"/>
        <v>0</v>
      </c>
      <c r="I65" s="1670">
        <f t="shared" si="8"/>
        <v>0</v>
      </c>
      <c r="J65" s="1670">
        <f t="shared" si="8"/>
        <v>0</v>
      </c>
      <c r="K65" s="1670">
        <f t="shared" si="8"/>
        <v>235727</v>
      </c>
      <c r="L65" s="1670">
        <f t="shared" si="8"/>
        <v>231286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42136</v>
      </c>
      <c r="D71" s="466">
        <v>2557</v>
      </c>
      <c r="E71" s="466"/>
      <c r="F71" s="466">
        <v>1316</v>
      </c>
      <c r="G71" s="466"/>
      <c r="H71" s="466"/>
      <c r="I71" s="467"/>
      <c r="J71" s="467"/>
      <c r="K71" s="1672">
        <f>SUM(C71:J71)</f>
        <v>46009</v>
      </c>
      <c r="L71" s="466">
        <v>53619</v>
      </c>
      <c r="M71" s="609"/>
      <c r="N71" s="609"/>
    </row>
    <row r="72" spans="1:14" s="343" customFormat="1" ht="12.75" customHeight="1" thickBot="1" x14ac:dyDescent="0.25">
      <c r="A72" s="1668" t="s">
        <v>37</v>
      </c>
      <c r="B72" s="1675" t="s">
        <v>36</v>
      </c>
      <c r="C72" s="1670">
        <f>SUM(C67:C71)</f>
        <v>42136</v>
      </c>
      <c r="D72" s="1670">
        <f t="shared" ref="D72:K72" si="9">SUM(D67:D71)</f>
        <v>2557</v>
      </c>
      <c r="E72" s="1670">
        <f t="shared" si="9"/>
        <v>0</v>
      </c>
      <c r="F72" s="1670">
        <f t="shared" si="9"/>
        <v>1316</v>
      </c>
      <c r="G72" s="1670">
        <f t="shared" si="9"/>
        <v>0</v>
      </c>
      <c r="H72" s="1670">
        <f t="shared" si="9"/>
        <v>0</v>
      </c>
      <c r="I72" s="1670">
        <f t="shared" si="9"/>
        <v>0</v>
      </c>
      <c r="J72" s="1670">
        <f t="shared" si="9"/>
        <v>0</v>
      </c>
      <c r="K72" s="1670">
        <f t="shared" si="9"/>
        <v>46009</v>
      </c>
      <c r="L72" s="1670">
        <f>SUM(L67:L71)</f>
        <v>53619</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636541</v>
      </c>
      <c r="D74" s="1677">
        <f t="shared" ref="D74:K74" si="10">SUM(D42,D47,D53,D57,D65,D72,D73)</f>
        <v>77022</v>
      </c>
      <c r="E74" s="1677">
        <f t="shared" si="10"/>
        <v>79680</v>
      </c>
      <c r="F74" s="1677">
        <f t="shared" si="10"/>
        <v>160765</v>
      </c>
      <c r="G74" s="1677">
        <f t="shared" si="10"/>
        <v>0</v>
      </c>
      <c r="H74" s="1677">
        <f t="shared" si="10"/>
        <v>3958</v>
      </c>
      <c r="I74" s="1677">
        <f t="shared" si="10"/>
        <v>4063</v>
      </c>
      <c r="J74" s="1677">
        <f t="shared" si="10"/>
        <v>0</v>
      </c>
      <c r="K74" s="1677">
        <f t="shared" si="10"/>
        <v>962029</v>
      </c>
      <c r="L74" s="1677">
        <f>SUM(L42,L47,L53,L57,L65,L72,L73)</f>
        <v>956393</v>
      </c>
    </row>
    <row r="75" spans="1:14" s="259" customFormat="1" ht="15.75" customHeight="1" thickTop="1" thickBot="1" x14ac:dyDescent="0.25">
      <c r="A75" s="1610" t="s">
        <v>47</v>
      </c>
      <c r="B75" s="1611" t="s">
        <v>575</v>
      </c>
      <c r="C75" s="573">
        <v>233770</v>
      </c>
      <c r="D75" s="573">
        <v>365</v>
      </c>
      <c r="E75" s="573">
        <v>37832</v>
      </c>
      <c r="F75" s="573">
        <v>106959</v>
      </c>
      <c r="G75" s="573"/>
      <c r="H75" s="573"/>
      <c r="I75" s="531">
        <v>31708</v>
      </c>
      <c r="J75" s="531"/>
      <c r="K75" s="1670">
        <f>SUM(C75:J75)</f>
        <v>410634</v>
      </c>
      <c r="L75" s="576">
        <v>440298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59889</v>
      </c>
      <c r="I81" s="477"/>
      <c r="J81" s="477"/>
      <c r="K81" s="1671">
        <f t="shared" si="11"/>
        <v>59889</v>
      </c>
      <c r="L81" s="466">
        <v>61018</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59889</v>
      </c>
      <c r="I84" s="477"/>
      <c r="J84" s="477"/>
      <c r="K84" s="1670">
        <f>SUM(K78:K83)</f>
        <v>59889</v>
      </c>
      <c r="L84" s="1670">
        <f>SUM(L78:L83)</f>
        <v>61018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420652</v>
      </c>
      <c r="I86" s="477"/>
      <c r="J86" s="477"/>
      <c r="K86" s="1677">
        <f t="shared" ref="K86:K98" si="12">H86</f>
        <v>420652</v>
      </c>
      <c r="L86" s="530">
        <v>399717</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420652</v>
      </c>
      <c r="I92" s="477"/>
      <c r="J92" s="477"/>
      <c r="K92" s="1677">
        <f t="shared" si="12"/>
        <v>420652</v>
      </c>
      <c r="L92" s="1670">
        <f>SUM(L85:L91)</f>
        <v>399717</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480541</v>
      </c>
      <c r="I102" s="477"/>
      <c r="J102" s="477"/>
      <c r="K102" s="1677">
        <f>SUM(K84,K92,K100,K101)</f>
        <v>480541</v>
      </c>
      <c r="L102" s="1677">
        <f>SUM(L84,L92,L100,L101)</f>
        <v>460735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2056813</v>
      </c>
      <c r="D114" s="1670">
        <f t="shared" ref="D114:K114" si="13">SUM(D33,D74,D75,D102,D112,D113)</f>
        <v>243644</v>
      </c>
      <c r="E114" s="1670">
        <f t="shared" si="13"/>
        <v>181563</v>
      </c>
      <c r="F114" s="1670">
        <f t="shared" si="13"/>
        <v>317613</v>
      </c>
      <c r="G114" s="1670">
        <f t="shared" si="13"/>
        <v>0</v>
      </c>
      <c r="H114" s="1670">
        <f>SUM(H33,H74,H75,H102,H112,H113)</f>
        <v>485255</v>
      </c>
      <c r="I114" s="1670">
        <f t="shared" si="13"/>
        <v>42699</v>
      </c>
      <c r="J114" s="1670">
        <f t="shared" si="13"/>
        <v>0</v>
      </c>
      <c r="K114" s="1670">
        <f t="shared" si="13"/>
        <v>3327587</v>
      </c>
      <c r="L114" s="1670">
        <f>SUM(L33,L74,L75,L102,L112,L113)</f>
        <v>3361126</v>
      </c>
    </row>
    <row r="115" spans="1:14" ht="13.5" thickTop="1" x14ac:dyDescent="0.2">
      <c r="A115" s="2159" t="s">
        <v>996</v>
      </c>
      <c r="B115" s="2160"/>
      <c r="C115" s="618"/>
      <c r="D115" s="618"/>
      <c r="E115" s="618"/>
      <c r="F115" s="618"/>
      <c r="G115" s="618"/>
      <c r="H115" s="618"/>
      <c r="I115" s="618"/>
      <c r="J115" s="618"/>
      <c r="K115" s="1684">
        <f>'Revenues 9-14'!C268-'Expenditures 15-22'!K114</f>
        <v>-205252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114771</v>
      </c>
      <c r="D124" s="466">
        <v>21979</v>
      </c>
      <c r="E124" s="466">
        <v>34745</v>
      </c>
      <c r="F124" s="466">
        <v>152772</v>
      </c>
      <c r="G124" s="466">
        <v>31733</v>
      </c>
      <c r="H124" s="466"/>
      <c r="I124" s="467"/>
      <c r="J124" s="467"/>
      <c r="K124" s="1670">
        <f>SUM(C124:J124)</f>
        <v>356000</v>
      </c>
      <c r="L124" s="466">
        <v>379869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114771</v>
      </c>
      <c r="D127" s="1670">
        <f t="shared" ref="D127:L127" si="14">SUM(D122:D126)</f>
        <v>21979</v>
      </c>
      <c r="E127" s="1670">
        <f t="shared" si="14"/>
        <v>34745</v>
      </c>
      <c r="F127" s="1670">
        <f t="shared" si="14"/>
        <v>152772</v>
      </c>
      <c r="G127" s="1670">
        <f t="shared" si="14"/>
        <v>31733</v>
      </c>
      <c r="H127" s="1670">
        <f t="shared" si="14"/>
        <v>0</v>
      </c>
      <c r="I127" s="1670">
        <f t="shared" si="14"/>
        <v>0</v>
      </c>
      <c r="J127" s="1670">
        <f t="shared" si="14"/>
        <v>0</v>
      </c>
      <c r="K127" s="1670">
        <f t="shared" si="14"/>
        <v>356000</v>
      </c>
      <c r="L127" s="1670">
        <f t="shared" si="14"/>
        <v>379869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114771</v>
      </c>
      <c r="D129" s="1677">
        <f t="shared" ref="D129:L129" si="15">SUM(D120,D127,D128)</f>
        <v>21979</v>
      </c>
      <c r="E129" s="1677">
        <f t="shared" si="15"/>
        <v>34745</v>
      </c>
      <c r="F129" s="1677">
        <f t="shared" si="15"/>
        <v>152772</v>
      </c>
      <c r="G129" s="1677">
        <f t="shared" si="15"/>
        <v>31733</v>
      </c>
      <c r="H129" s="1677">
        <f t="shared" si="15"/>
        <v>0</v>
      </c>
      <c r="I129" s="1677">
        <f t="shared" si="15"/>
        <v>0</v>
      </c>
      <c r="J129" s="1677">
        <f t="shared" si="15"/>
        <v>0</v>
      </c>
      <c r="K129" s="1677">
        <f t="shared" si="15"/>
        <v>356000</v>
      </c>
      <c r="L129" s="1677">
        <f t="shared" si="15"/>
        <v>379869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6"/>
      <c r="C151" s="1670">
        <f>SUM(C129,C130,C139,C149,C150)</f>
        <v>114771</v>
      </c>
      <c r="D151" s="1670">
        <f t="shared" ref="D151:K151" si="16">SUM(D129,D130,D139,D149,D150)</f>
        <v>21979</v>
      </c>
      <c r="E151" s="1670">
        <f t="shared" si="16"/>
        <v>34745</v>
      </c>
      <c r="F151" s="1670">
        <f t="shared" si="16"/>
        <v>152772</v>
      </c>
      <c r="G151" s="1670">
        <f t="shared" si="16"/>
        <v>31733</v>
      </c>
      <c r="H151" s="1670">
        <f t="shared" si="16"/>
        <v>0</v>
      </c>
      <c r="I151" s="1670">
        <f t="shared" si="16"/>
        <v>0</v>
      </c>
      <c r="J151" s="1670">
        <f t="shared" si="16"/>
        <v>0</v>
      </c>
      <c r="K151" s="1670">
        <f t="shared" si="16"/>
        <v>356000</v>
      </c>
      <c r="L151" s="1670">
        <f>SUM(L129,L130,L139,L149,L150)</f>
        <v>379869</v>
      </c>
    </row>
    <row r="152" spans="1:14" ht="12.75" customHeight="1" thickTop="1" x14ac:dyDescent="0.2">
      <c r="A152" s="2179" t="s">
        <v>1178</v>
      </c>
      <c r="B152" s="2180"/>
      <c r="C152" s="618"/>
      <c r="D152" s="618"/>
      <c r="E152" s="618"/>
      <c r="F152" s="618"/>
      <c r="G152" s="618"/>
      <c r="H152" s="618"/>
      <c r="I152" s="618"/>
      <c r="J152" s="616"/>
      <c r="K152" s="1684">
        <f>'Revenues 9-14'!D268-'Expenditures 15-22'!K151</f>
        <v>49983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9983</v>
      </c>
    </row>
    <row r="167" spans="1:14" ht="12.75" customHeight="1" x14ac:dyDescent="0.2">
      <c r="A167" s="1504" t="s">
        <v>619</v>
      </c>
      <c r="B167" s="614" t="s">
        <v>618</v>
      </c>
      <c r="C167" s="616"/>
      <c r="D167" s="616"/>
      <c r="E167" s="616"/>
      <c r="F167" s="616"/>
      <c r="G167" s="616"/>
      <c r="H167" s="466"/>
      <c r="I167" s="616"/>
      <c r="J167" s="616"/>
      <c r="K167" s="1671">
        <f>SUM(C167:J167)</f>
        <v>0</v>
      </c>
      <c r="L167" s="466">
        <v>500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10483</v>
      </c>
    </row>
    <row r="169" spans="1:14" ht="15.75" customHeight="1" thickTop="1" x14ac:dyDescent="0.2">
      <c r="A169" s="669" t="s">
        <v>83</v>
      </c>
      <c r="B169" s="670" t="s">
        <v>38</v>
      </c>
      <c r="C169" s="616"/>
      <c r="D169" s="616"/>
      <c r="E169" s="616"/>
      <c r="F169" s="616"/>
      <c r="G169" s="616"/>
      <c r="H169" s="656">
        <v>10682</v>
      </c>
      <c r="I169" s="616"/>
      <c r="J169" s="616"/>
      <c r="K169" s="1671">
        <f>SUM(C169:H169)</f>
        <v>10682</v>
      </c>
      <c r="L169" s="656">
        <v>85399</v>
      </c>
    </row>
    <row r="170" spans="1:14" ht="33.75" customHeight="1" x14ac:dyDescent="0.2">
      <c r="A170" s="669" t="s">
        <v>1670</v>
      </c>
      <c r="B170" s="671" t="s">
        <v>31</v>
      </c>
      <c r="C170" s="616"/>
      <c r="D170" s="616"/>
      <c r="E170" s="616"/>
      <c r="F170" s="616"/>
      <c r="G170" s="616"/>
      <c r="H170" s="569">
        <v>84700</v>
      </c>
      <c r="I170" s="616"/>
      <c r="J170" s="616"/>
      <c r="K170" s="1671">
        <f>SUM(C170:J170)</f>
        <v>84700</v>
      </c>
      <c r="L170" s="569"/>
    </row>
    <row r="171" spans="1:14" ht="15.75" customHeight="1" x14ac:dyDescent="0.2">
      <c r="A171" s="621" t="s">
        <v>766</v>
      </c>
      <c r="B171" s="672" t="s">
        <v>84</v>
      </c>
      <c r="C171" s="616"/>
      <c r="D171" s="616"/>
      <c r="E171" s="466"/>
      <c r="F171" s="616"/>
      <c r="G171" s="616"/>
      <c r="H171" s="569">
        <v>500</v>
      </c>
      <c r="I171" s="477"/>
      <c r="J171" s="616"/>
      <c r="K171" s="1671">
        <f>SUM(C171:J171)</f>
        <v>500</v>
      </c>
      <c r="L171" s="569"/>
    </row>
    <row r="172" spans="1:14" ht="12.75" customHeight="1" thickBot="1" x14ac:dyDescent="0.25">
      <c r="A172" s="1668" t="s">
        <v>638</v>
      </c>
      <c r="B172" s="1669" t="s">
        <v>492</v>
      </c>
      <c r="C172" s="616"/>
      <c r="D172" s="616"/>
      <c r="E172" s="1677">
        <f>SUM(E168,E169,E170,E171)</f>
        <v>0</v>
      </c>
      <c r="F172" s="616"/>
      <c r="G172" s="616"/>
      <c r="H172" s="1677">
        <f>SUM(H168,H169,H170,H171)</f>
        <v>95882</v>
      </c>
      <c r="I172" s="638"/>
      <c r="J172" s="616"/>
      <c r="K172" s="1677">
        <f>SUM(K168,K169,K170,K171)</f>
        <v>95882</v>
      </c>
      <c r="L172" s="1677">
        <f>SUM(L168,L169,L170,L171)</f>
        <v>95882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95882</v>
      </c>
      <c r="I174" s="638"/>
      <c r="J174" s="616"/>
      <c r="K174" s="1677">
        <f>SUM(K160,K172,K173)</f>
        <v>95882</v>
      </c>
      <c r="L174" s="1677">
        <f>SUM(L160,L172,L173)</f>
        <v>95882</v>
      </c>
    </row>
    <row r="175" spans="1:14" ht="13.5" thickTop="1" x14ac:dyDescent="0.2">
      <c r="A175" s="2159" t="s">
        <v>996</v>
      </c>
      <c r="B175" s="2160"/>
      <c r="C175" s="616"/>
      <c r="D175" s="616"/>
      <c r="E175" s="616"/>
      <c r="F175" s="616"/>
      <c r="G175" s="616"/>
      <c r="H175" s="618"/>
      <c r="I175" s="616"/>
      <c r="J175" s="616"/>
      <c r="K175" s="1684">
        <f>'Revenues 9-14'!E268-'Expenditures 15-22'!K174</f>
        <v>66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202751</v>
      </c>
      <c r="D182" s="466">
        <v>10560</v>
      </c>
      <c r="E182" s="466">
        <v>29659</v>
      </c>
      <c r="F182" s="466">
        <v>55357</v>
      </c>
      <c r="G182" s="466">
        <v>45799</v>
      </c>
      <c r="H182" s="466"/>
      <c r="I182" s="467"/>
      <c r="J182" s="467"/>
      <c r="K182" s="1671">
        <f>SUM(C182:J182)</f>
        <v>344126</v>
      </c>
      <c r="L182" s="466">
        <v>333828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202751</v>
      </c>
      <c r="D184" s="1677">
        <f t="shared" ref="D184:J184" si="17">SUM(D180,D182,D183)</f>
        <v>10560</v>
      </c>
      <c r="E184" s="1677">
        <f t="shared" si="17"/>
        <v>29659</v>
      </c>
      <c r="F184" s="1677">
        <f t="shared" si="17"/>
        <v>55357</v>
      </c>
      <c r="G184" s="1677">
        <f t="shared" si="17"/>
        <v>45799</v>
      </c>
      <c r="H184" s="1677">
        <f t="shared" si="17"/>
        <v>0</v>
      </c>
      <c r="I184" s="1677">
        <f t="shared" si="17"/>
        <v>0</v>
      </c>
      <c r="J184" s="1677">
        <f t="shared" si="17"/>
        <v>0</v>
      </c>
      <c r="K184" s="1677">
        <f>SUM(K180,K182,K183)</f>
        <v>344126</v>
      </c>
      <c r="L184" s="1677">
        <f>SUM(L180, L182:L183)</f>
        <v>333828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202751</v>
      </c>
      <c r="D210" s="1670">
        <f>SUM(D184,D185)</f>
        <v>10560</v>
      </c>
      <c r="E210" s="1670">
        <f>SUM(E184,E185,E196)</f>
        <v>29659</v>
      </c>
      <c r="F210" s="1670">
        <f>SUM(F184,F185)</f>
        <v>55357</v>
      </c>
      <c r="G210" s="1670">
        <f>SUM(G184,G185)</f>
        <v>45799</v>
      </c>
      <c r="H210" s="1670">
        <f>SUM(H184,H185,H196,H208,H209)</f>
        <v>0</v>
      </c>
      <c r="I210" s="1670">
        <f>SUM(I184,I185)</f>
        <v>0</v>
      </c>
      <c r="J210" s="1670">
        <f>SUM(J184,J185)</f>
        <v>0</v>
      </c>
      <c r="K210" s="1671">
        <f>SUM(K184,K185,K196,K208,K209)</f>
        <v>344126</v>
      </c>
      <c r="L210" s="1670">
        <f>SUM(L184,L185,L196,L208,L209)</f>
        <v>333828</v>
      </c>
    </row>
    <row r="211" spans="1:14" ht="13.5" thickTop="1" x14ac:dyDescent="0.2">
      <c r="A211" s="2159" t="s">
        <v>996</v>
      </c>
      <c r="B211" s="2160"/>
      <c r="C211" s="618"/>
      <c r="D211" s="618"/>
      <c r="E211" s="618"/>
      <c r="F211" s="618"/>
      <c r="G211" s="618"/>
      <c r="H211" s="618"/>
      <c r="I211" s="616"/>
      <c r="J211" s="616"/>
      <c r="K211" s="1684">
        <f>'Revenues 9-14'!F268-'Expenditures 15-22'!K210</f>
        <v>-13916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17362</v>
      </c>
      <c r="E215" s="616"/>
      <c r="F215" s="616"/>
      <c r="G215" s="616"/>
      <c r="H215" s="616"/>
      <c r="I215" s="616"/>
      <c r="J215" s="616"/>
      <c r="K215" s="1671">
        <f>D215</f>
        <v>17362</v>
      </c>
      <c r="L215" s="466">
        <v>17973</v>
      </c>
    </row>
    <row r="216" spans="1:14" x14ac:dyDescent="0.2">
      <c r="A216" s="1504" t="s">
        <v>163</v>
      </c>
      <c r="B216" s="614" t="s">
        <v>967</v>
      </c>
      <c r="C216" s="616"/>
      <c r="D216" s="467">
        <v>6624</v>
      </c>
      <c r="E216" s="616"/>
      <c r="F216" s="616"/>
      <c r="G216" s="616"/>
      <c r="H216" s="616"/>
      <c r="I216" s="616"/>
      <c r="J216" s="616"/>
      <c r="K216" s="1671">
        <f t="shared" ref="K216:K228" si="19">D216</f>
        <v>6624</v>
      </c>
      <c r="L216" s="466">
        <v>6386</v>
      </c>
    </row>
    <row r="217" spans="1:14" x14ac:dyDescent="0.2">
      <c r="A217" s="1504" t="s">
        <v>164</v>
      </c>
      <c r="B217" s="614">
        <v>1200</v>
      </c>
      <c r="C217" s="616"/>
      <c r="D217" s="466">
        <v>10034</v>
      </c>
      <c r="E217" s="616"/>
      <c r="F217" s="616"/>
      <c r="G217" s="616"/>
      <c r="H217" s="616"/>
      <c r="I217" s="616"/>
      <c r="J217" s="616"/>
      <c r="K217" s="1671">
        <f t="shared" si="19"/>
        <v>10034</v>
      </c>
      <c r="L217" s="466">
        <v>8977</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7281</v>
      </c>
      <c r="E219" s="616"/>
      <c r="F219" s="616"/>
      <c r="G219" s="616"/>
      <c r="H219" s="616"/>
      <c r="I219" s="616"/>
      <c r="J219" s="616"/>
      <c r="K219" s="1671">
        <f t="shared" si="19"/>
        <v>7281</v>
      </c>
      <c r="L219" s="466">
        <v>9750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461</v>
      </c>
      <c r="E222" s="616"/>
      <c r="F222" s="616"/>
      <c r="G222" s="616"/>
      <c r="H222" s="616"/>
      <c r="I222" s="616"/>
      <c r="J222" s="616"/>
      <c r="K222" s="1671">
        <f t="shared" si="19"/>
        <v>461</v>
      </c>
      <c r="L222" s="466"/>
    </row>
    <row r="223" spans="1:14" x14ac:dyDescent="0.2">
      <c r="A223" s="1504" t="s">
        <v>963</v>
      </c>
      <c r="B223" s="614">
        <v>1500</v>
      </c>
      <c r="C223" s="616"/>
      <c r="D223" s="466">
        <v>489</v>
      </c>
      <c r="E223" s="616"/>
      <c r="F223" s="616"/>
      <c r="G223" s="616"/>
      <c r="H223" s="616"/>
      <c r="I223" s="616"/>
      <c r="J223" s="616"/>
      <c r="K223" s="1671">
        <f t="shared" si="19"/>
        <v>489</v>
      </c>
      <c r="L223" s="466">
        <v>558</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42251</v>
      </c>
      <c r="E229" s="616"/>
      <c r="F229" s="616"/>
      <c r="G229" s="616"/>
      <c r="H229" s="616"/>
      <c r="I229" s="616"/>
      <c r="J229" s="616"/>
      <c r="K229" s="1670">
        <f>SUM(K215:K228)</f>
        <v>42251</v>
      </c>
      <c r="L229" s="1670">
        <f>SUM(L215:L228)</f>
        <v>43644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520</v>
      </c>
      <c r="E233" s="616"/>
      <c r="F233" s="616"/>
      <c r="G233" s="616"/>
      <c r="H233" s="616"/>
      <c r="I233" s="616"/>
      <c r="J233" s="616"/>
      <c r="K233" s="1671">
        <f t="shared" si="20"/>
        <v>520</v>
      </c>
      <c r="L233" s="466">
        <v>536</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498</v>
      </c>
      <c r="E236" s="616"/>
      <c r="F236" s="616"/>
      <c r="G236" s="616"/>
      <c r="H236" s="616"/>
      <c r="I236" s="616"/>
      <c r="J236" s="616"/>
      <c r="K236" s="1671">
        <f t="shared" si="20"/>
        <v>498</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1018</v>
      </c>
      <c r="E238" s="616"/>
      <c r="F238" s="616"/>
      <c r="G238" s="616"/>
      <c r="H238" s="616"/>
      <c r="I238" s="616"/>
      <c r="J238" s="616"/>
      <c r="K238" s="1670">
        <f>SUM(K232:K237)</f>
        <v>1018</v>
      </c>
      <c r="L238" s="1670">
        <f>SUM(L232:L237)</f>
        <v>536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542</v>
      </c>
      <c r="E241" s="616"/>
      <c r="F241" s="616"/>
      <c r="G241" s="616"/>
      <c r="H241" s="616"/>
      <c r="I241" s="616"/>
      <c r="J241" s="616"/>
      <c r="K241" s="1672">
        <f>D241</f>
        <v>542</v>
      </c>
      <c r="L241" s="466">
        <v>552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542</v>
      </c>
      <c r="E243" s="616"/>
      <c r="F243" s="616"/>
      <c r="G243" s="616"/>
      <c r="H243" s="616"/>
      <c r="I243" s="616"/>
      <c r="J243" s="616"/>
      <c r="K243" s="1670">
        <f>SUM(K240:K242)</f>
        <v>542</v>
      </c>
      <c r="L243" s="1670">
        <f>SUM(L240:L242)</f>
        <v>552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1364</v>
      </c>
      <c r="E246" s="616"/>
      <c r="F246" s="616"/>
      <c r="G246" s="616"/>
      <c r="H246" s="616"/>
      <c r="I246" s="616"/>
      <c r="J246" s="616"/>
      <c r="K246" s="1672">
        <f t="shared" ref="K246:K256" si="21">D246</f>
        <v>1364</v>
      </c>
      <c r="L246" s="466">
        <v>1357</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1364</v>
      </c>
      <c r="E257" s="616"/>
      <c r="F257" s="616"/>
      <c r="G257" s="616"/>
      <c r="H257" s="616"/>
      <c r="I257" s="616"/>
      <c r="J257" s="616"/>
      <c r="K257" s="1670">
        <f>SUM(K245:K256)</f>
        <v>1364</v>
      </c>
      <c r="L257" s="1670">
        <f>SUM(L245:L256)</f>
        <v>1357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14436</v>
      </c>
      <c r="E259" s="616"/>
      <c r="F259" s="616"/>
      <c r="G259" s="616"/>
      <c r="H259" s="616"/>
      <c r="I259" s="616"/>
      <c r="J259" s="616"/>
      <c r="K259" s="1672">
        <f>D259</f>
        <v>14436</v>
      </c>
      <c r="L259" s="481">
        <v>15898</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14436</v>
      </c>
      <c r="E261" s="616"/>
      <c r="F261" s="616"/>
      <c r="G261" s="616"/>
      <c r="H261" s="616"/>
      <c r="I261" s="616"/>
      <c r="J261" s="616"/>
      <c r="K261" s="1670">
        <f>SUM(K259:K260)</f>
        <v>14436</v>
      </c>
      <c r="L261" s="1670">
        <f>SUM(L259:L260)</f>
        <v>15898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8642</v>
      </c>
      <c r="E264" s="616"/>
      <c r="F264" s="616"/>
      <c r="G264" s="616"/>
      <c r="H264" s="616"/>
      <c r="I264" s="616"/>
      <c r="J264" s="616"/>
      <c r="K264" s="1672">
        <f t="shared" ref="K264:K269" si="22">D264</f>
        <v>8642</v>
      </c>
      <c r="L264" s="466">
        <v>9595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24527</v>
      </c>
      <c r="E266" s="616"/>
      <c r="F266" s="616"/>
      <c r="G266" s="616"/>
      <c r="H266" s="616"/>
      <c r="I266" s="616"/>
      <c r="J266" s="616"/>
      <c r="K266" s="1672">
        <f t="shared" si="22"/>
        <v>24527</v>
      </c>
      <c r="L266" s="466">
        <v>28660</v>
      </c>
    </row>
    <row r="267" spans="1:14" x14ac:dyDescent="0.2">
      <c r="A267" s="1504" t="s">
        <v>953</v>
      </c>
      <c r="B267" s="614">
        <v>2550</v>
      </c>
      <c r="C267" s="616"/>
      <c r="D267" s="466">
        <v>25571</v>
      </c>
      <c r="E267" s="616"/>
      <c r="F267" s="616"/>
      <c r="G267" s="616"/>
      <c r="H267" s="616"/>
      <c r="I267" s="616"/>
      <c r="J267" s="616"/>
      <c r="K267" s="1672">
        <f t="shared" si="22"/>
        <v>25571</v>
      </c>
      <c r="L267" s="466">
        <v>27689</v>
      </c>
    </row>
    <row r="268" spans="1:14" x14ac:dyDescent="0.2">
      <c r="A268" s="1504" t="s">
        <v>100</v>
      </c>
      <c r="B268" s="614">
        <v>2560</v>
      </c>
      <c r="C268" s="616"/>
      <c r="D268" s="466">
        <v>11841</v>
      </c>
      <c r="E268" s="616"/>
      <c r="F268" s="616"/>
      <c r="G268" s="616"/>
      <c r="H268" s="616"/>
      <c r="I268" s="616"/>
      <c r="J268" s="616"/>
      <c r="K268" s="1672">
        <f t="shared" si="22"/>
        <v>11841</v>
      </c>
      <c r="L268" s="466">
        <v>12940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70581</v>
      </c>
      <c r="E270" s="616"/>
      <c r="F270" s="616"/>
      <c r="G270" s="616"/>
      <c r="H270" s="616"/>
      <c r="I270" s="616"/>
      <c r="J270" s="616"/>
      <c r="K270" s="1670">
        <f>SUM(K263:K269)</f>
        <v>70581</v>
      </c>
      <c r="L270" s="1670">
        <f>SUM(L263:L269)</f>
        <v>78884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5887</v>
      </c>
      <c r="E276" s="616"/>
      <c r="F276" s="616"/>
      <c r="G276" s="616"/>
      <c r="H276" s="616"/>
      <c r="I276" s="616"/>
      <c r="J276" s="616"/>
      <c r="K276" s="1672">
        <f>D276</f>
        <v>5887</v>
      </c>
      <c r="L276" s="466"/>
    </row>
    <row r="277" spans="1:12" ht="12.75" customHeight="1" thickBot="1" x14ac:dyDescent="0.25">
      <c r="A277" s="1691" t="s">
        <v>37</v>
      </c>
      <c r="B277" s="1669" t="s">
        <v>36</v>
      </c>
      <c r="C277" s="616"/>
      <c r="D277" s="1670">
        <f>SUM(D272:D276)</f>
        <v>5887</v>
      </c>
      <c r="E277" s="616"/>
      <c r="F277" s="616"/>
      <c r="G277" s="616"/>
      <c r="H277" s="616"/>
      <c r="I277" s="616"/>
      <c r="J277" s="616"/>
      <c r="K277" s="1670">
        <f>SUM(K272:K276)</f>
        <v>5887</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93828</v>
      </c>
      <c r="E279" s="616"/>
      <c r="F279" s="616"/>
      <c r="G279" s="616"/>
      <c r="H279" s="616"/>
      <c r="I279" s="616"/>
      <c r="J279" s="616"/>
      <c r="K279" s="1677">
        <f>SUM(K238,K243,K257,K261,K270,K277,K278)</f>
        <v>93828</v>
      </c>
      <c r="L279" s="1677">
        <f>SUM(L238,L243,L257,L261,L270,L277,L278)</f>
        <v>97227</v>
      </c>
    </row>
    <row r="280" spans="1:12" ht="15.75" customHeight="1" thickTop="1" thickBot="1" x14ac:dyDescent="0.25">
      <c r="A280" s="1624" t="s">
        <v>875</v>
      </c>
      <c r="B280" s="1613">
        <v>3000</v>
      </c>
      <c r="C280" s="616"/>
      <c r="D280" s="576">
        <v>37066</v>
      </c>
      <c r="E280" s="616"/>
      <c r="F280" s="616"/>
      <c r="G280" s="616"/>
      <c r="H280" s="616"/>
      <c r="I280" s="616"/>
      <c r="J280" s="616"/>
      <c r="K280" s="1679">
        <f>D280</f>
        <v>37066</v>
      </c>
      <c r="L280" s="576">
        <v>16000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173145</v>
      </c>
      <c r="E295" s="616"/>
      <c r="F295" s="616"/>
      <c r="G295" s="616"/>
      <c r="H295" s="1670">
        <f>H293</f>
        <v>0</v>
      </c>
      <c r="I295" s="616"/>
      <c r="J295" s="616"/>
      <c r="K295" s="1670">
        <f>SUM(K229,K279,K280,K285,K293,K294)</f>
        <v>173145</v>
      </c>
      <c r="L295" s="1670">
        <f>SUM(L229,L279,L280,L285,L293,L294)</f>
        <v>156871</v>
      </c>
    </row>
    <row r="296" spans="1:14" ht="13.5" thickTop="1" x14ac:dyDescent="0.2">
      <c r="A296" s="2159" t="s">
        <v>996</v>
      </c>
      <c r="B296" s="2160"/>
      <c r="C296" s="616"/>
      <c r="D296" s="618"/>
      <c r="E296" s="616"/>
      <c r="F296" s="616"/>
      <c r="G296" s="616"/>
      <c r="H296" s="687"/>
      <c r="I296" s="616"/>
      <c r="J296" s="616"/>
      <c r="K296" s="1684">
        <f>'Revenues 9-14'!G268-'Expenditures 15-22'!K295</f>
        <v>-35345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51527</v>
      </c>
      <c r="F320" s="467"/>
      <c r="G320" s="467"/>
      <c r="H320" s="467"/>
      <c r="I320" s="467"/>
      <c r="J320" s="467"/>
      <c r="K320" s="1671">
        <f t="shared" ref="K320:K327" si="24">SUM(C320:J320)</f>
        <v>51527</v>
      </c>
      <c r="L320" s="467">
        <v>201156</v>
      </c>
      <c r="M320" s="665"/>
      <c r="N320" s="665"/>
    </row>
    <row r="321" spans="1:14" s="674" customFormat="1" x14ac:dyDescent="0.2">
      <c r="A321" s="1519" t="s">
        <v>300</v>
      </c>
      <c r="B321" s="697" t="s">
        <v>283</v>
      </c>
      <c r="C321" s="467"/>
      <c r="D321" s="467"/>
      <c r="E321" s="467">
        <v>5971</v>
      </c>
      <c r="F321" s="467"/>
      <c r="G321" s="467"/>
      <c r="H321" s="467"/>
      <c r="I321" s="467"/>
      <c r="J321" s="467"/>
      <c r="K321" s="1671">
        <f t="shared" si="24"/>
        <v>5971</v>
      </c>
      <c r="L321" s="467"/>
      <c r="M321" s="665"/>
      <c r="N321" s="665"/>
    </row>
    <row r="322" spans="1:14" s="674" customFormat="1" x14ac:dyDescent="0.2">
      <c r="A322" s="1519" t="s">
        <v>238</v>
      </c>
      <c r="B322" s="697" t="s">
        <v>284</v>
      </c>
      <c r="C322" s="467"/>
      <c r="D322" s="467"/>
      <c r="E322" s="467">
        <v>3632</v>
      </c>
      <c r="F322" s="467"/>
      <c r="G322" s="467"/>
      <c r="H322" s="467"/>
      <c r="I322" s="467"/>
      <c r="J322" s="467"/>
      <c r="K322" s="1671">
        <f t="shared" si="24"/>
        <v>3632</v>
      </c>
      <c r="L322" s="467"/>
      <c r="M322" s="665"/>
      <c r="N322" s="665"/>
    </row>
    <row r="323" spans="1:14" s="674" customFormat="1" x14ac:dyDescent="0.2">
      <c r="A323" s="1519" t="s">
        <v>702</v>
      </c>
      <c r="B323" s="697" t="s">
        <v>285</v>
      </c>
      <c r="C323" s="467"/>
      <c r="D323" s="467"/>
      <c r="E323" s="467">
        <v>13307</v>
      </c>
      <c r="F323" s="467">
        <v>7004</v>
      </c>
      <c r="G323" s="467"/>
      <c r="H323" s="467"/>
      <c r="I323" s="467"/>
      <c r="J323" s="467"/>
      <c r="K323" s="1671">
        <f t="shared" si="24"/>
        <v>20311</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72853</v>
      </c>
      <c r="D325" s="467"/>
      <c r="E325" s="467"/>
      <c r="F325" s="467"/>
      <c r="G325" s="467"/>
      <c r="H325" s="467"/>
      <c r="I325" s="467"/>
      <c r="J325" s="467"/>
      <c r="K325" s="1671">
        <f t="shared" si="24"/>
        <v>72853</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32021</v>
      </c>
      <c r="F328" s="474"/>
      <c r="G328" s="474"/>
      <c r="H328" s="474"/>
      <c r="I328" s="474"/>
      <c r="J328" s="474"/>
      <c r="K328" s="1699">
        <f>SUM(C328:J328)</f>
        <v>32021</v>
      </c>
      <c r="L328" s="474"/>
      <c r="M328" s="665"/>
      <c r="N328" s="665"/>
    </row>
    <row r="329" spans="1:14" s="674" customFormat="1" x14ac:dyDescent="0.2">
      <c r="A329" s="1520" t="s">
        <v>1133</v>
      </c>
      <c r="B329" s="690" t="s">
        <v>1134</v>
      </c>
      <c r="C329" s="474"/>
      <c r="D329" s="474"/>
      <c r="E329" s="474">
        <v>14884</v>
      </c>
      <c r="F329" s="474"/>
      <c r="G329" s="474"/>
      <c r="H329" s="474"/>
      <c r="I329" s="474"/>
      <c r="J329" s="474"/>
      <c r="K329" s="1699">
        <f>SUM(C329:J329)</f>
        <v>14884</v>
      </c>
      <c r="L329" s="474"/>
      <c r="M329" s="665"/>
      <c r="N329" s="665"/>
    </row>
    <row r="330" spans="1:14" s="674" customFormat="1" ht="12.75" customHeight="1" thickBot="1" x14ac:dyDescent="0.25">
      <c r="A330" s="1700" t="s">
        <v>717</v>
      </c>
      <c r="B330" s="1669" t="s">
        <v>569</v>
      </c>
      <c r="C330" s="1670">
        <f>SUM(C319:C329)</f>
        <v>72853</v>
      </c>
      <c r="D330" s="1670">
        <f t="shared" ref="D330:J330" si="25">SUM(D319:D329)</f>
        <v>0</v>
      </c>
      <c r="E330" s="1670">
        <f t="shared" si="25"/>
        <v>121342</v>
      </c>
      <c r="F330" s="1670">
        <f t="shared" si="25"/>
        <v>7004</v>
      </c>
      <c r="G330" s="1670">
        <f t="shared" si="25"/>
        <v>0</v>
      </c>
      <c r="H330" s="1670">
        <f t="shared" si="25"/>
        <v>0</v>
      </c>
      <c r="I330" s="1670">
        <f t="shared" si="25"/>
        <v>0</v>
      </c>
      <c r="J330" s="1670">
        <f t="shared" si="25"/>
        <v>0</v>
      </c>
      <c r="K330" s="1670">
        <f>SUM(K319:K329)</f>
        <v>201199</v>
      </c>
      <c r="L330" s="1670">
        <f>SUM(L319:L329)</f>
        <v>201156</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72853</v>
      </c>
      <c r="D342" s="1670">
        <f>SUM(D330)</f>
        <v>0</v>
      </c>
      <c r="E342" s="1670">
        <f>SUM(E330)</f>
        <v>121342</v>
      </c>
      <c r="F342" s="1670">
        <f>SUM(F330)</f>
        <v>7004</v>
      </c>
      <c r="G342" s="1670">
        <f>SUM(G330)</f>
        <v>0</v>
      </c>
      <c r="H342" s="1670">
        <f>SUM(H330,H334,H340)</f>
        <v>0</v>
      </c>
      <c r="I342" s="1670">
        <f>SUM(I330)</f>
        <v>0</v>
      </c>
      <c r="J342" s="1670">
        <f>SUM(J330)</f>
        <v>0</v>
      </c>
      <c r="K342" s="1670">
        <f>SUM(K330,K334,K340)</f>
        <v>201199</v>
      </c>
      <c r="L342" s="1677">
        <f>SUM(L330,L334,L340,L341)</f>
        <v>201156</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9" t="s">
        <v>996</v>
      </c>
      <c r="B368" s="2160"/>
      <c r="C368" s="654"/>
      <c r="D368" s="654"/>
      <c r="E368" s="626"/>
      <c r="F368" s="626"/>
      <c r="G368" s="626"/>
      <c r="H368" s="626"/>
      <c r="I368" s="626"/>
      <c r="J368" s="623"/>
      <c r="K368" s="1671">
        <f>'Revenues 9-14'!K268-'Expenditures 15-22'!K367</f>
        <v>11947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6ce3111e-7420-4802-b50a-75d4e9a0b980"/>
    <ds:schemaRef ds:uri="http://purl.org/dc/elements/1.1/"/>
    <ds:schemaRef ds:uri="http://purl.org/dc/dcmitype/"/>
    <ds:schemaRef ds:uri="d21dc803-237d-4c68-8692-8d731fd29118"/>
    <ds:schemaRef ds:uri="http://schemas.microsoft.com/office/infopath/2007/PartnerControls"/>
    <ds:schemaRef ds:uri="http://schemas.microsoft.com/office/2006/metadata/propertie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2019-10-17T20:15:52Z</cp:lastPrinted>
  <dcterms:created xsi:type="dcterms:W3CDTF">2003-10-29T19:06:34Z</dcterms:created>
  <dcterms:modified xsi:type="dcterms:W3CDTF">2019-11-25T17:10:47Z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