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CF46C26-9D37-45F3-93B5-D1D6DB058CBF}" xr6:coauthVersionLast="36" xr6:coauthVersionMax="36" xr10:uidLastSave="{00000000-0000-0000-0000-000000000000}"/>
  <bookViews>
    <workbookView xWindow="-15" yWindow="13650" windowWidth="2424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1" i="127" l="1"/>
  <c r="H25" i="127"/>
  <c r="H20" i="127"/>
  <c r="H15" i="127"/>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C14" i="4" s="1"/>
  <c r="B2558" i="106" s="1"/>
  <c r="D2558" i="106" s="1"/>
  <c r="K130" i="29"/>
  <c r="B2805" i="106" s="1"/>
  <c r="D2805" i="106" s="1"/>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E27" i="108"/>
  <c r="F27" i="108"/>
  <c r="G27" i="108"/>
  <c r="E28" i="108"/>
  <c r="F31" i="108"/>
  <c r="F36" i="108"/>
  <c r="F37" i="108"/>
  <c r="G28" i="108"/>
  <c r="E29" i="108"/>
  <c r="E30"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H28" i="118"/>
  <c r="D11" i="37"/>
  <c r="D22" i="37"/>
  <c r="J22" i="37"/>
  <c r="L22" i="37"/>
  <c r="D24" i="37"/>
  <c r="B4270" i="106" s="1"/>
  <c r="D4270" i="106" s="1"/>
  <c r="B5752" i="106"/>
  <c r="D5752" i="106" s="1"/>
  <c r="L367" i="29" l="1"/>
  <c r="F49" i="34"/>
  <c r="F44" i="34"/>
  <c r="B7235" i="106"/>
  <c r="D7235" i="106" s="1"/>
  <c r="J41" i="3"/>
  <c r="B4087" i="106"/>
  <c r="D4087" i="106" s="1"/>
  <c r="K41" i="3"/>
  <c r="B3568" i="106" s="1"/>
  <c r="D3568" i="106" s="1"/>
  <c r="L15" i="11"/>
  <c r="B3459" i="106" s="1"/>
  <c r="D3459" i="106" s="1"/>
  <c r="B3254" i="106"/>
  <c r="D3254" i="106" s="1"/>
  <c r="B1308" i="106"/>
  <c r="D1308" i="106" s="1"/>
  <c r="E174" i="29"/>
  <c r="B1309" i="106" s="1"/>
  <c r="D1309" i="106" s="1"/>
  <c r="B1124" i="106"/>
  <c r="D1124" i="106" s="1"/>
  <c r="L13" i="11"/>
  <c r="B2060" i="106" s="1"/>
  <c r="D2060" i="106" s="1"/>
  <c r="L5" i="11"/>
  <c r="B2056" i="106" s="1"/>
  <c r="D2056" i="106" s="1"/>
  <c r="N22" i="3"/>
  <c r="B283" i="106" s="1"/>
  <c r="D283" i="106" s="1"/>
  <c r="F19" i="7"/>
  <c r="B1807" i="106" s="1"/>
  <c r="D1807" i="106" s="1"/>
  <c r="C342" i="29"/>
  <c r="B7216" i="106" s="1"/>
  <c r="D7216" i="106" s="1"/>
  <c r="L342" i="29"/>
  <c r="F65" i="34"/>
  <c r="G29" i="108"/>
  <c r="F28" i="108"/>
  <c r="F41" i="108" s="1"/>
  <c r="G43" i="108" s="1"/>
  <c r="C129" i="29"/>
  <c r="C151" i="29" s="1"/>
  <c r="B1226" i="106" s="1"/>
  <c r="D1226" i="106" s="1"/>
  <c r="F52" i="34"/>
  <c r="E38" i="108"/>
  <c r="G38" i="108"/>
  <c r="G30" i="108"/>
  <c r="B2724" i="106"/>
  <c r="D2724" i="106" s="1"/>
  <c r="F34" i="34"/>
  <c r="D54" i="36"/>
  <c r="D52" i="36"/>
  <c r="H33" i="118"/>
  <c r="H29" i="118"/>
  <c r="K28" i="118" s="1"/>
  <c r="O27" i="118" s="1"/>
  <c r="O29" i="118" s="1"/>
  <c r="D9" i="7"/>
  <c r="B1767" i="106" s="1"/>
  <c r="D1767" i="106" s="1"/>
  <c r="D17" i="7"/>
  <c r="B4104" i="106" s="1"/>
  <c r="D4104" i="106" s="1"/>
  <c r="G15" i="145"/>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5" i="106" l="1"/>
  <c r="D7253" i="106"/>
  <c r="D7252" i="106"/>
  <c r="L114" i="29"/>
  <c r="L16" i="11"/>
  <c r="B2061" i="106" s="1"/>
  <c r="D2061" i="106" s="1"/>
  <c r="K342" i="29"/>
  <c r="F13" i="34" s="1"/>
  <c r="B1317" i="106"/>
  <c r="D1317" i="106" s="1"/>
  <c r="C114" i="29"/>
  <c r="B757" i="106" s="1"/>
  <c r="D757" i="106" s="1"/>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J20" i="4"/>
  <c r="J78" i="4" s="1"/>
  <c r="B6223" i="106"/>
  <c r="D6223" i="106" s="1"/>
  <c r="D8" i="146"/>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<sst xmlns="http://schemas.openxmlformats.org/spreadsheetml/2006/main" count="5081" uniqueCount="2110">
  <si>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</si>
  <si>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</si>
  <si>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</si>
  <si>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</si>
  <si>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</si>
  <si>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</si>
  <si>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</si>
  <si>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</si>
  <si>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</si>
  <si>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</si>
  <si>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</si>
  <si>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</si>
  <si>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</si>
  <si>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</si>
  <si>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</si>
  <si>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</si>
  <si>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</si>
  <si>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</si>
  <si>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</si>
  <si>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</si>
  <si>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</si>
  <si>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</si>
  <si>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</si>
  <si>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</si>
  <si>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</si>
  <si>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</si>
  <si>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</si>
  <si>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</si>
  <si>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</si>
  <si>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</si>
  <si>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</si>
  <si>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</si>
  <si>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</si>
  <si>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</si>
  <si>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</si>
  <si>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</si>
  <si>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</si>
  <si>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</si>
  <si>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</si>
  <si>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</si>
  <si>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</si>
  <si>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</si>
  <si>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</si>
  <si>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</si>
  <si>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</si>
  <si>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</si>
  <si>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</si>
  <si>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</si>
  <si>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</si>
  <si>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</si>
  <si>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</si>
  <si>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</si>
  <si>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</si>
  <si>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</si>
  <si>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</si>
  <si>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</si>
  <si>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</si>
  <si>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</si>
  <si>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</si>
  <si>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</si>
  <si>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</si>
  <si>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</si>
  <si>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</si>
  <si>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</si>
  <si>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</si>
  <si>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</si>
  <si>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</si>
  <si>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</si>
  <si>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</si>
  <si>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</si>
  <si>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</si>
  <si>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</si>
  <si>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</si>
  <si>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</si>
  <si>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</si>
  <si>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</si>
  <si>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</si>
  <si>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</si>
  <si>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</si>
  <si>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</si>
  <si>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</si>
  <si>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</si>
  <si>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</si>
  <si>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</si>
  <si>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</si>
  <si>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</si>
  <si>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</si>
  <si>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</si>
  <si>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</si>
  <si>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</si>
  <si>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</si>
  <si>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</si>
  <si>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</si>
  <si>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</si>
  <si>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</si>
  <si>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</si>
  <si>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</si>
  <si>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</si>
  <si>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</si>
  <si>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</si>
  <si>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</si>
  <si>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</si>
  <si>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</si>
  <si>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</si>
  <si>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</si>
  <si>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</si>
  <si>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</si>
  <si>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</si>
  <si>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</si>
  <si>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</si>
  <si>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</si>
  <si>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</si>
  <si>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</si>
  <si>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</si>
  <si>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</si>
  <si>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</si>
  <si>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</si>
  <si>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</si>
  <si>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</si>
  <si>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</si>
  <si>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</si>
  <si>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</si>
  <si>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</si>
  <si>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</si>
  <si>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</si>
  <si>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</si>
  <si>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</si>
  <si>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</si>
  <si>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</si>
  <si>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</si>
  <si>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</si>
  <si>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</si>
  <si>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</si>
  <si>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</si>
  <si>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</si>
  <si>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</si>
  <si>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</si>
  <si>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</si>
  <si>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</si>
  <si>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</si>
  <si>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</si>
  <si>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</si>
  <si>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</si>
  <si>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</si>
  <si>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</si>
  <si>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</si>
  <si>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</si>
  <si>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</si>
  <si>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</si>
  <si>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</si>
  <si>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</si>
  <si>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</si>
  <si>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</si>
  <si>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</si>
  <si>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</si>
  <si>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</si>
  <si>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</si>
  <si>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</si>
  <si>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</si>
  <si>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</si>
  <si>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</si>
  <si>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</si>
  <si>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</si>
  <si>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</si>
  <si>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</si>
  <si>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</si>
  <si>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</si>
  <si>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</si>
  <si>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</si>
  <si>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</si>
  <si>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</si>
  <si>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</si>
  <si>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</si>
  <si>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</si>
  <si>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</si>
  <si>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</si>
  <si>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</si>
  <si>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</si>
  <si>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</si>
  <si>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</si>
  <si>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</si>
  <si>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</si>
  <si>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</si>
  <si>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</si>
  <si>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</si>
  <si>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</si>
  <si>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</si>
  <si>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</si>
  <si>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</si>
  <si>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</si>
  <si>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</si>
  <si>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</si>
  <si>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</si>
  <si>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</si>
  <si>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</si>
  <si>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</si>
  <si>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</si>
  <si>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</si>
  <si>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</si>
  <si>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</si>
  <si>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</si>
  <si>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</si>
  <si>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</si>
  <si>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</si>
  <si>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</si>
  <si>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</si>
  <si>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</si>
  <si>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</si>
  <si>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</si>
  <si>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</si>
  <si>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</si>
  <si>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</si>
  <si>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</si>
  <si>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</si>
  <si>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</si>
  <si>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</si>
  <si>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</si>
  <si>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</si>
  <si>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</si>
  <si>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</si>
  <si>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</si>
  <si>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</si>
  <si>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</si>
  <si>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</si>
  <si>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</si>
  <si>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</si>
  <si>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</si>
  <si>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</si>
  <si>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</si>
  <si>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</si>
  <si>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</si>
  <si>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</si>
  <si>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</si>
  <si>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</si>
  <si>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</si>
  <si>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</si>
  <si>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</si>
  <si>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</si>
  <si>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</si>
  <si>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</si>
  <si>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</si>
  <si>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</si>
  <si>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</si>
  <si>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</si>
  <si>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</si>
  <si>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</si>
  <si>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</si>
  <si>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</si>
  <si>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</si>
  <si>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</si>
  <si>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</si>
  <si>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</si>
  <si>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</si>
  <si>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</si>
  <si>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</si>
  <si>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</si>
  <si>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</si>
  <si>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</si>
  <si>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</si>
  <si>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</si>
  <si>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</si>
  <si>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</si>
  <si>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</si>
  <si>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</si>
  <si>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</si>
  <si>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</si>
  <si>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</si>
  <si>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</si>
  <si>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</si>
  <si>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</si>
  <si>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</si>
  <si>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</si>
  <si>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</si>
  <si>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</si>
  <si>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</si>
  <si>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</si>
  <si>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</si>
  <si>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</si>
  <si>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</si>
  <si>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</si>
  <si>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</si>
  <si>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</si>
  <si>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</si>
  <si>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</si>
  <si>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</si>
  <si>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</si>
  <si>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</si>
  <si>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</si>
  <si>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</si>
  <si>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</si>
  <si>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</si>
  <si>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</si>
  <si>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</si>
  <si>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</si>
  <si>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</si>
  <si>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</si>
  <si>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</si>
  <si>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</si>
  <si>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</si>
  <si>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</si>
  <si>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</si>
  <si>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</si>
  <si>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</si>
  <si>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</si>
  <si>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</si>
  <si>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</si>
  <si>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</si>
  <si>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</si>
  <si>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</si>
  <si>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</si>
  <si>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</si>
  <si>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</si>
  <si>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</si>
  <si>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</si>
  <si>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</si>
  <si>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</si>
  <si>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</si>
  <si>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</si>
  <si>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</si>
  <si>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</si>
  <si>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</si>
  <si>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</si>
  <si>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</si>
  <si>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</si>
  <si>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</si>
  <si>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</si>
  <si>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</si>
  <si>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</si>
  <si>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</si>
  <si>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</si>
  <si>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</si>
  <si>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</si>
  <si>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</si>
  <si>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</si>
  <si>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</si>
  <si>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</si>
  <si>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</si>
  <si>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</si>
  <si>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</si>
  <si>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</si>
  <si>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</si>
  <si>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</si>
  <si>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</si>
  <si>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</si>
  <si>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</si>
  <si>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</si>
  <si>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</si>
  <si>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</si>
  <si>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</si>
  <si>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</si>
  <si>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</si>
  <si>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</si>
  <si>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</si>
  <si>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</si>
  <si>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</si>
  <si>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</si>
  <si>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</si>
  <si>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</si>
  <si>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</si>
  <si>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</si>
  <si>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</si>
  <si>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</si>
  <si>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</si>
  <si>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</si>
  <si>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</si>
  <si>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</si>
  <si>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</si>
  <si>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</si>
  <si>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</si>
  <si>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</si>
  <si>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</si>
  <si>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</si>
  <si>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</si>
  <si>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</si>
  <si>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</si>
  <si>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</si>
  <si>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</si>
  <si>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</si>
  <si>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</si>
  <si>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</si>
  <si>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</si>
  <si>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</si>
  <si>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</si>
  <si>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</si>
  <si>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</si>
  <si>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</si>
  <si>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</si>
  <si>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</si>
  <si>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</si>
  <si>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</si>
  <si>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</si>
  <si>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</si>
  <si>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</si>
  <si>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</si>
  <si>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</si>
  <si>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</si>
  <si>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</si>
  <si>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</si>
  <si>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</si>
  <si>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</si>
  <si>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</si>
  <si>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</si>
  <si>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</si>
  <si>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</si>
  <si>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</si>
  <si>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</si>
  <si>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</si>
  <si>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</si>
  <si>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</si>
  <si>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</si>
  <si>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</si>
  <si>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</si>
  <si>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</si>
  <si>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</si>
  <si>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</si>
  <si>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</si>
  <si>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</si>
  <si>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</si>
  <si>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</si>
  <si>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</si>
  <si>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</si>
  <si>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</si>
  <si>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</si>
  <si>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</si>
  <si>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</si>
  <si>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</si>
  <si>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</si>
  <si>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</si>
  <si>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</si>
  <si>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</si>
  <si>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</si>
  <si>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</si>
  <si>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</si>
  <si>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</si>
  <si>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</si>
  <si>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</si>
  <si>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</si>
  <si>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</si>
  <si>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</si>
  <si>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</si>
  <si>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</si>
  <si>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</si>
  <si>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</si>
  <si>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</si>
  <si>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</si>
  <si>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</si>
  <si>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</si>
  <si>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</si>
  <si>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</si>
  <si>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</si>
  <si>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</si>
  <si>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</si>
  <si>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</si>
  <si>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</si>
  <si>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</si>
  <si>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</si>
  <si>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</si>
  <si>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</si>
  <si>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</si>
  <si>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</si>
  <si>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</si>
  <si>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</si>
  <si>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</si>
  <si>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</si>
  <si>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</si>
  <si>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</si>
  <si>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</si>
  <si>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</si>
  <si>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</si>
  <si>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</si>
  <si>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</si>
  <si>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</si>
  <si>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</si>
  <si>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</si>
  <si>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</si>
  <si>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</si>
  <si>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</si>
  <si>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</si>
  <si>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</si>
  <si>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</si>
  <si>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</si>
  <si>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</si>
  <si>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</si>
  <si>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</si>
  <si>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</si>
  <si>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</si>
  <si>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</si>
  <si>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</si>
  <si>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</si>
  <si>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</si>
  <si>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</si>
  <si>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</si>
  <si>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</si>
  <si>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</si>
  <si>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</si>
  <si>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</si>
  <si>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</si>
  <si>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</si>
  <si>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</si>
  <si>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</si>
  <si>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</si>
  <si>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</si>
  <si>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</si>
  <si>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</si>
  <si>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</si>
  <si>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</si>
  <si>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</si>
  <si>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</si>
  <si>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</si>
  <si>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</si>
  <si>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</si>
  <si>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</si>
  <si>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</si>
  <si>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</si>
  <si>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</si>
  <si>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</si>
  <si>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</si>
  <si>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</si>
  <si>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</si>
  <si>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</si>
  <si>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</si>
  <si>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</si>
  <si>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</si>
  <si>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</si>
  <si>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</si>
  <si>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</si>
  <si>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</si>
  <si>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</si>
  <si>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</si>
  <si>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</si>
  <si>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</si>
  <si>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</si>
  <si>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</si>
  <si>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</si>
  <si>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</si>
  <si>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</si>
  <si>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</si>
  <si>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</si>
  <si>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</si>
  <si>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</si>
  <si>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</si>
  <si>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</si>
  <si>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</si>
  <si>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</si>
  <si>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</si>
  <si>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</si>
  <si>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</si>
  <si>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</si>
  <si>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</si>
  <si>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</si>
  <si>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</si>
  <si>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</si>
  <si>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</si>
  <si>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</si>
  <si>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</si>
  <si>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</si>
  <si>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</si>
  <si>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</si>
  <si>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</si>
  <si>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</si>
  <si>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</si>
  <si>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</si>
  <si>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</si>
  <si>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</si>
  <si>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</si>
  <si>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</si>
  <si>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</si>
  <si>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</si>
  <si>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</si>
  <si>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</si>
  <si>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</si>
  <si>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</si>
  <si>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</si>
  <si>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</si>
  <si>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</si>
  <si>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</si>
  <si>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</si>
  <si>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</si>
  <si>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</si>
  <si>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</si>
  <si>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</si>
  <si>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</si>
  <si>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</si>
  <si>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</si>
  <si>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</si>
  <si>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</si>
  <si>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</si>
  <si>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</si>
  <si>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</si>
  <si>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</si>
  <si>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</si>
  <si>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</si>
  <si>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</si>
  <si>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</si>
  <si>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</si>
  <si>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</si>
  <si>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</si>
  <si>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</si>
  <si>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</si>
  <si>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</si>
  <si>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</si>
  <si>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</si>
  <si>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</si>
  <si>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</si>
  <si>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</si>
  <si>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</si>
  <si>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</si>
  <si>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</si>
  <si>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</si>
  <si>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</si>
  <si>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</si>
  <si>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</si>
  <si>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</si>
  <si>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</si>
  <si>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</si>
  <si>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</si>
  <si>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</si>
  <si>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</si>
  <si>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</si>
  <si>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</si>
  <si>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</si>
  <si>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</si>
  <si>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</si>
  <si>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</si>
  <si>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</si>
  <si>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</si>
  <si>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</si>
  <si>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</si>
  <si>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</si>
  <si>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</si>
  <si>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</si>
  <si>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</si>
  <si>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</si>
  <si>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</si>
  <si>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</si>
  <si>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</si>
  <si>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</si>
  <si>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</si>
  <si>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</si>
  <si>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</si>
  <si>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</si>
  <si>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</si>
  <si>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</si>
  <si>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</si>
  <si>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</si>
  <si>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</si>
  <si>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</si>
  <si>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</si>
  <si>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</si>
  <si>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</si>
  <si>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</si>
  <si>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</si>
  <si>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</si>
  <si>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</si>
  <si>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</si>
  <si>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</si>
  <si>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</si>
  <si>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</si>
  <si>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</si>
  <si>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</si>
  <si>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</si>
  <si>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</si>
  <si>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</si>
  <si>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</si>
  <si>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</si>
  <si>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</si>
  <si>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</si>
  <si>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</si>
  <si>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</si>
  <si>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</si>
  <si>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</si>
  <si>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</si>
  <si>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</si>
  <si>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</si>
  <si>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</si>
  <si>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</si>
  <si>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</si>
  <si>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</si>
  <si>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</si>
  <si>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</si>
  <si>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</si>
  <si>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</si>
  <si>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</si>
  <si>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</si>
  <si>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</si>
  <si>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</si>
  <si>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</si>
  <si>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</si>
  <si>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</si>
  <si>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</si>
  <si>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</si>
  <si>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</si>
  <si>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</si>
  <si>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</si>
  <si>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</si>
  <si>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</si>
  <si>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</si>
  <si>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</si>
  <si>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</si>
  <si>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</si>
  <si>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</si>
  <si>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</si>
  <si>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</si>
  <si>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</si>
  <si>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</si>
  <si>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</si>
  <si>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</si>
  <si>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</si>
  <si>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</si>
  <si>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</si>
  <si>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</si>
  <si>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</si>
  <si>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</si>
  <si>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</si>
  <si>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</si>
  <si>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</si>
  <si>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</si>
  <si>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</si>
  <si>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</si>
  <si>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</si>
  <si>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</si>
  <si>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</si>
  <si>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</si>
  <si>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</si>
  <si>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</si>
  <si>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</si>
  <si>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</si>
  <si>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</si>
  <si>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</si>
  <si>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</si>
  <si>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</si>
  <si>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</si>
  <si>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</si>
  <si>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</si>
  <si>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</si>
  <si>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</si>
  <si>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</si>
  <si>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</si>
  <si>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</si>
  <si>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</si>
  <si>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</si>
  <si>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</si>
  <si>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</si>
  <si>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</si>
  <si>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</si>
  <si>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</si>
  <si>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</si>
  <si>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</si>
  <si>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</si>
  <si>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</si>
  <si>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</si>
  <si>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</si>
  <si>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</si>
  <si>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</si>
  <si>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</si>
  <si>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</si>
  <si>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</si>
  <si>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</si>
  <si>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</si>
  <si>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</si>
  <si>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</si>
  <si>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</si>
  <si>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</si>
  <si>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</si>
  <si>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</si>
  <si>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</si>
  <si>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</si>
  <si>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</si>
  <si>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</si>
  <si>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</si>
  <si>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</si>
  <si>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</si>
  <si>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</si>
  <si>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</si>
  <si>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</si>
  <si>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</si>
  <si>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</si>
  <si>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</si>
  <si>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</si>
  <si>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</si>
  <si>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</si>
  <si>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</si>
  <si>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</si>
  <si>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</si>
  <si>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</si>
  <si>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</si>
  <si>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</si>
  <si>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</si>
  <si>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</si>
  <si>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</si>
  <si>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</si>
  <si>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</si>
  <si>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</si>
  <si>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</si>
  <si>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</si>
  <si>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</si>
  <si>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</si>
  <si>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</si>
  <si>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</si>
  <si>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</si>
  <si>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</si>
  <si>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</si>
  <si>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</si>
  <si>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</si>
  <si>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</si>
  <si>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</si>
  <si>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</si>
  <si>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</si>
  <si>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</si>
  <si>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</si>
  <si>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</si>
  <si>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</si>
  <si>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</si>
  <si>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</si>
  <si>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</si>
  <si>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</si>
  <si>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</si>
  <si>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</si>
  <si>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</si>
  <si>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</si>
  <si>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</si>
  <si>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</si>
  <si>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</si>
  <si>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</si>
  <si>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</si>
  <si>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</si>
  <si>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</si>
  <si>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</si>
  <si>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</si>
  <si>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</si>
  <si>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</si>
  <si>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</si>
  <si>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</si>
  <si>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</si>
  <si>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</si>
  <si>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</si>
  <si>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</si>
  <si>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</si>
  <si>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</si>
  <si>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</si>
  <si>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</si>
  <si>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</si>
  <si>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</si>
  <si>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</si>
  <si>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</si>
  <si>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</si>
  <si>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</si>
  <si>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</si>
  <si>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</si>
  <si>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</si>
  <si>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</si>
  <si>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</si>
  <si>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</si>
  <si>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</si>
  <si>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</si>
  <si>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</si>
  <si>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</si>
  <si>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</si>
  <si>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</si>
  <si>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</si>
  <si>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</si>
  <si>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</si>
  <si>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</si>
  <si>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</si>
  <si>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</si>
  <si>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</si>
  <si>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</si>
  <si>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</si>
  <si>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</si>
  <si>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</si>
  <si>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</si>
  <si>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</si>
  <si>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</si>
  <si>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</si>
  <si>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</si>
  <si>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</si>
  <si>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</si>
  <si>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</si>
  <si>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</si>
  <si>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</si>
  <si>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</si>
  <si>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</si>
  <si>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</si>
  <si>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</si>
  <si>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</si>
  <si>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</si>
  <si>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</si>
  <si>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</si>
  <si>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</si>
  <si>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</si>
  <si>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</si>
  <si>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</si>
  <si>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</si>
  <si>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</si>
  <si>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</si>
  <si>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</si>
  <si>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</si>
  <si>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</si>
  <si>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</si>
  <si>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</si>
  <si>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</si>
  <si>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</si>
  <si>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</si>
  <si>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</si>
  <si>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</si>
  <si>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</si>
  <si>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</si>
  <si>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</si>
  <si>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</si>
  <si>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</si>
  <si>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</si>
  <si>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</si>
  <si>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</si>
  <si>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</si>
  <si>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</si>
  <si>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</si>
  <si>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</si>
  <si>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</si>
  <si>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</si>
  <si>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</si>
  <si>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</si>
  <si>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</si>
  <si>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</si>
  <si>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</si>
  <si>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</si>
  <si>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</si>
  <si>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</si>
  <si>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</si>
  <si>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</si>
  <si>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</si>
  <si>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</si>
  <si>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</si>
  <si>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</si>
  <si>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</si>
  <si>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</si>
  <si>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</si>
  <si>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</si>
  <si>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</si>
  <si>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</si>
  <si>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</si>
  <si>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</si>
  <si>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</si>
  <si>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</si>
  <si>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</si>
  <si>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</si>
  <si>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</si>
  <si>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</si>
  <si>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</si>
  <si>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</si>
  <si>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</si>
  <si>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</si>
  <si>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</si>
  <si>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</si>
  <si>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</si>
  <si>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</si>
  <si>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</si>
  <si>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</si>
  <si>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</si>
  <si>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</si>
  <si>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</si>
  <si>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</si>
  <si>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</si>
  <si>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</si>
  <si>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</si>
  <si>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</si>
  <si>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</si>
  <si>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</si>
  <si>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</si>
  <si>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</si>
  <si>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</si>
  <si>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</si>
  <si>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</si>
  <si>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</si>
  <si>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</si>
  <si>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</si>
  <si>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</si>
  <si>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</si>
  <si>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</si>
  <si>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</si>
  <si>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</si>
  <si>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</si>
  <si>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</si>
  <si>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</si>
  <si>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</si>
  <si>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</si>
  <si>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</si>
  <si>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</si>
  <si>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</si>
  <si>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</si>
  <si>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</si>
  <si>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</si>
  <si>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</si>
  <si>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</si>
  <si>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</si>
  <si>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</si>
  <si>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</si>
  <si>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</si>
  <si>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</si>
  <si>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</si>
  <si>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</si>
  <si>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</si>
  <si>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</si>
  <si>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</si>
  <si>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</si>
  <si>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</si>
  <si>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</si>
  <si>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</si>
  <si>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</si>
  <si>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</si>
  <si>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</si>
  <si>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</si>
  <si>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</si>
  <si>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</si>
  <si>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</si>
  <si>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</si>
  <si>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</si>
  <si>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</si>
  <si>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</si>
  <si>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</si>
  <si>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</si>
  <si>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</si>
  <si>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</si>
  <si>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</si>
  <si>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</si>
  <si>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</si>
  <si>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</si>
  <si>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</si>
  <si>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</si>
  <si>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</si>
  <si>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</si>
  <si>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</si>
  <si>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</si>
  <si>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</si>
  <si>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</si>
  <si>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</si>
  <si>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</si>
  <si>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</si>
  <si>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</si>
  <si>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</si>
  <si>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</si>
  <si>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</si>
  <si>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</si>
  <si>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</si>
  <si>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</si>
  <si>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</si>
  <si>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</si>
  <si>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</si>
  <si>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</si>
  <si>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</si>
  <si>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</si>
  <si>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</si>
  <si>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</si>
  <si>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</si>
  <si>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</si>
  <si>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</si>
  <si>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</si>
  <si>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</si>
  <si>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</si>
  <si>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</si>
  <si>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</si>
  <si>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</si>
  <si>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</si>
  <si>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</si>
  <si>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</si>
  <si>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</si>
  <si>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</si>
  <si>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</si>
  <si>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</si>
  <si>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</si>
  <si>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</si>
  <si>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</si>
  <si>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</si>
  <si>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</si>
  <si>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</si>
  <si>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</si>
  <si>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</si>
  <si>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</si>
  <si>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</si>
  <si>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</si>
  <si>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</si>
  <si>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</si>
  <si>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</si>
  <si>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</si>
  <si>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</si>
  <si>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</si>
  <si>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</si>
  <si>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</si>
  <si>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</si>
  <si>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</si>
  <si>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</si>
  <si>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</si>
  <si>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</si>
  <si>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</si>
  <si>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</si>
  <si>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</si>
  <si>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</si>
  <si>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</si>
  <si>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</si>
  <si>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</si>
  <si>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</si>
  <si>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</si>
  <si>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</si>
  <si>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</si>
  <si>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</si>
  <si>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</si>
  <si>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</si>
  <si>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</si>
  <si>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</si>
  <si>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</si>
  <si>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</si>
  <si>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</si>
  <si>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</si>
  <si>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</si>
  <si>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</si>
  <si>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</si>
  <si>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</si>
  <si>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</si>
  <si>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</si>
  <si>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</si>
  <si>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</si>
  <si>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</si>
  <si>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</si>
  <si>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</si>
  <si>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</si>
  <si>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</si>
  <si>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</si>
  <si>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</si>
  <si>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</si>
  <si>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</si>
  <si>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</si>
  <si>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</si>
  <si>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</si>
  <si>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</si>
  <si>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</si>
  <si>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</si>
  <si>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</si>
  <si>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</si>
  <si>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</si>
  <si>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</si>
  <si>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</si>
  <si>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</si>
  <si>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</si>
  <si>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</si>
  <si>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</si>
  <si>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</si>
  <si>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</si>
  <si>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</si>
  <si>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</si>
  <si>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</si>
  <si>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</si>
  <si>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</si>
  <si>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</si>
  <si>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</si>
  <si>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</si>
  <si>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</si>
  <si>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</si>
  <si>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</si>
  <si>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</si>
  <si>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</si>
  <si>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</si>
  <si>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</si>
  <si>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</si>
  <si>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</si>
  <si>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</si>
  <si>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</si>
  <si>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</si>
  <si>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</si>
  <si>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</si>
  <si>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</si>
  <si>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</si>
  <si>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</si>
  <si>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</si>
  <si>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</si>
  <si>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</si>
  <si>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</si>
  <si>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</si>
  <si>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</si>
  <si>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</si>
  <si>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</si>
  <si>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</si>
  <si>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</si>
  <si>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</si>
  <si>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</si>
  <si>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</si>
  <si>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</si>
  <si>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</si>
  <si>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</si>
  <si>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</si>
  <si>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</si>
  <si>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</si>
  <si>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</si>
  <si>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</si>
  <si>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</si>
  <si>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</si>
  <si>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</si>
  <si>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</si>
  <si>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</si>
  <si>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</si>
  <si>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</si>
  <si>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</si>
  <si>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</si>
  <si>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</si>
  <si>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</si>
  <si>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</si>
  <si>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</si>
  <si>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</si>
  <si>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</si>
  <si>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</si>
  <si>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</si>
  <si>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</si>
  <si>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</si>
  <si>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</si>
  <si>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</si>
  <si>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</si>
  <si>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</si>
  <si>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</si>
  <si>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</si>
  <si>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</si>
  <si>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</si>
  <si>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</si>
  <si>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</si>
  <si>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</si>
  <si>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</si>
  <si>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</si>
  <si>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</si>
  <si>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</si>
  <si>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</si>
  <si>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</si>
  <si>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</si>
  <si>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</si>
  <si>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</si>
  <si>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</si>
  <si>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</si>
  <si>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</si>
  <si>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</si>
  <si>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</si>
  <si>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</si>
  <si>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</si>
  <si>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</si>
  <si>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</si>
  <si>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</si>
  <si>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</si>
  <si>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</si>
  <si>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</si>
  <si>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</si>
  <si>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</si>
  <si>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</si>
  <si>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</si>
  <si>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</si>
  <si>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</si>
  <si>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</si>
  <si>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</si>
  <si>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</si>
  <si>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</si>
  <si>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</si>
  <si>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</si>
  <si>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</si>
  <si>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</si>
  <si>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</si>
  <si>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</si>
  <si>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</si>
  <si>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</si>
  <si>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</si>
  <si>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</si>
  <si>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</si>
  <si>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</si>
  <si>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</si>
  <si>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</si>
  <si>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</si>
  <si>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</si>
  <si>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</si>
  <si>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</si>
  <si>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</si>
  <si>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</si>
  <si>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</si>
  <si>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</si>
  <si>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</si>
  <si>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</si>
  <si>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</si>
  <si>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</si>
  <si>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</si>
  <si>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</si>
  <si>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</si>
  <si>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</si>
  <si>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</si>
  <si>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</si>
  <si>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</si>
  <si>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</si>
  <si>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</si>
  <si>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</si>
  <si>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</si>
  <si>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</si>
  <si>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</si>
  <si>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</si>
  <si>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</si>
  <si>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</si>
  <si>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</si>
  <si>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</si>
  <si>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</si>
  <si>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</si>
  <si>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</si>
  <si>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</si>
  <si>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</si>
  <si>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</si>
  <si>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</si>
  <si>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</si>
  <si>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</si>
  <si>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</si>
  <si>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</si>
  <si>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</si>
  <si>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</si>
  <si>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</si>
  <si>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</si>
  <si>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</si>
  <si>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</si>
  <si>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</si>
  <si>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</si>
  <si>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</si>
  <si>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</si>
  <si>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</si>
  <si>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</si>
  <si>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</si>
  <si>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</si>
  <si>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</si>
  <si>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</si>
  <si>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</si>
  <si>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</si>
  <si>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</si>
  <si>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</si>
  <si>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</si>
  <si>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</si>
  <si>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</si>
  <si>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</si>
  <si>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</si>
  <si>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</si>
  <si>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</si>
  <si>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</si>
  <si>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</si>
  <si>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</si>
  <si>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</si>
  <si>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</si>
  <si>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</si>
  <si>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</si>
  <si>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</si>
  <si>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</si>
  <si>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</si>
  <si>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</si>
  <si>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</si>
  <si>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</si>
  <si>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</si>
  <si>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</si>
  <si>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</si>
  <si>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</si>
  <si>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</si>
  <si>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</si>
  <si>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</si>
  <si>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</si>
  <si>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</si>
  <si>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</si>
  <si>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</si>
  <si>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</si>
  <si>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</si>
  <si>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</si>
  <si>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</si>
  <si>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</si>
  <si>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</si>
  <si>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</si>
  <si>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</si>
  <si>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</si>
  <si>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</si>
  <si>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</si>
  <si>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</si>
  <si>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</si>
  <si>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</si>
  <si>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</si>
  <si>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</si>
  <si>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</si>
  <si>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</si>
  <si>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</si>
  <si>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</si>
  <si>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</si>
  <si>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</si>
  <si>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</si>
  <si>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</si>
  <si>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</si>
  <si>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</si>
  <si>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</si>
  <si>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</si>
  <si>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</si>
  <si>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</si>
  <si>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</si>
  <si>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</si>
  <si>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</si>
  <si>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</si>
  <si>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</si>
  <si>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</si>
  <si>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</si>
  <si>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</si>
  <si>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</si>
  <si>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</si>
  <si>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</si>
  <si>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</si>
  <si>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</si>
  <si>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</si>
  <si>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</si>
  <si>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</si>
  <si>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</si>
  <si>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</si>
  <si>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</si>
  <si>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</si>
  <si>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</si>
  <si>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</si>
  <si>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</si>
  <si>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</si>
  <si>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</si>
  <si>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</si>
  <si>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</si>
  <si>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</si>
  <si>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</si>
  <si>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</si>
  <si>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</si>
  <si>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</si>
  <si>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</si>
  <si>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</si>
  <si>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</si>
  <si>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</si>
  <si>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</si>
  <si>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</si>
  <si>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</si>
  <si>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</si>
  <si>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</si>
  <si>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</si>
  <si>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</si>
  <si>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</si>
  <si>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</si>
  <si>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</si>
  <si>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</si>
  <si>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</si>
  <si>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</si>
  <si>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</si>
  <si>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</si>
  <si>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</si>
  <si>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</si>
  <si>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</si>
  <si>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</si>
  <si>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</si>
  <si>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</si>
  <si>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</si>
  <si>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</si>
  <si>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</si>
  <si>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</si>
  <si>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</si>
  <si>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</si>
  <si>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</si>
  <si>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</si>
  <si>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</si>
  <si>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</si>
  <si>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</si>
  <si>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</si>
  <si>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</si>
  <si>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</si>
  <si>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</si>
  <si>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</si>
  <si>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</si>
  <si>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</si>
  <si>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</si>
  <si>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</si>
  <si>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</si>
  <si>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</si>
  <si>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</si>
  <si>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</si>
  <si>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</si>
  <si>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</si>
  <si>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</si>
  <si>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</si>
  <si>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</si>
  <si>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</si>
  <si>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</si>
  <si>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</si>
  <si>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</si>
  <si>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</si>
  <si>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</si>
  <si>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</si>
  <si>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</si>
  <si>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</si>
  <si>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</si>
  <si>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</si>
  <si>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</si>
  <si>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</si>
  <si>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</si>
  <si>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</si>
  <si>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</si>
  <si>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</si>
  <si>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</si>
  <si>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</si>
  <si>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</si>
  <si>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</si>
  <si>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</si>
  <si>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</si>
  <si>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</si>
  <si>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</si>
  <si>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</si>
  <si>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</si>
  <si>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</si>
  <si>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</si>
  <si>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</si>
  <si>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</si>
  <si>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</si>
  <si>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</si>
  <si>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</si>
  <si>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</si>
  <si>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</si>
  <si>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</si>
  <si>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</si>
  <si>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</si>
  <si>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</si>
  <si>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</si>
  <si>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</si>
  <si>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</si>
  <si>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</si>
  <si>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</si>
  <si>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</si>
  <si>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</si>
  <si>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</si>
  <si>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</si>
  <si>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</si>
  <si>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</si>
  <si>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</si>
  <si>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</si>
  <si>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</si>
  <si>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</si>
  <si>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</si>
  <si>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</si>
  <si>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</si>
  <si>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</si>
  <si>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</si>
  <si>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</si>
  <si>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</si>
  <si>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</si>
  <si>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</si>
  <si>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</si>
  <si>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</si>
  <si>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</si>
  <si>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</si>
  <si>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</si>
  <si>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</si>
  <si>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</si>
  <si>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</si>
  <si>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</si>
  <si>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</si>
  <si>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</si>
  <si>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</si>
  <si>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</si>
  <si>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</si>
  <si>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</si>
  <si>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</si>
  <si>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</si>
  <si>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</si>
  <si>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</si>
  <si>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</si>
  <si>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</si>
  <si>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</si>
  <si>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</si>
  <si>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</si>
  <si>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</si>
  <si>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</si>
  <si>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</si>
  <si>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</si>
  <si>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</si>
  <si>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</si>
  <si>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</si>
  <si>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</si>
  <si>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</si>
  <si>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</si>
  <si>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</si>
  <si>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</si>
  <si>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</si>
  <si>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</si>
  <si>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</si>
  <si>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</si>
  <si>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</si>
  <si>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</si>
  <si>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</si>
  <si>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</si>
  <si>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</si>
  <si>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</si>
  <si>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</si>
  <si>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</si>
  <si>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</si>
  <si>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</si>
  <si>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</si>
  <si>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</si>
  <si>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</si>
  <si>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</si>
  <si>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</si>
  <si>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</si>
  <si>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</si>
  <si>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</si>
  <si>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</si>
  <si>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</si>
  <si>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</si>
  <si>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</si>
  <si>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</si>
  <si>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</si>
  <si>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</si>
  <si>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</si>
  <si>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</si>
  <si>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</si>
  <si>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</si>
  <si>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</si>
  <si>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</si>
  <si>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</si>
  <si>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</si>
  <si>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</si>
  <si>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</si>
  <si>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</si>
  <si>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</si>
  <si>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</si>
  <si>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</si>
  <si>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</si>
  <si>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</si>
  <si>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</si>
  <si>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</si>
  <si>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</si>
  <si>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</si>
  <si>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</si>
  <si>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</si>
  <si>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</si>
  <si>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</si>
  <si>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</si>
  <si>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</si>
  <si>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</si>
  <si>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</si>
  <si>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</si>
  <si>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</si>
  <si>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</si>
  <si>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</si>
  <si>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</si>
  <si>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</si>
  <si>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</si>
  <si>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</si>
  <si>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</si>
  <si>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</si>
  <si>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</si>
  <si>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</si>
  <si>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</si>
  <si>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</si>
  <si>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</si>
  <si>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</si>
  <si>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</si>
  <si>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</si>
  <si>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</si>
  <si>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</si>
  <si>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</si>
  <si>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</si>
  <si>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</si>
  <si>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</si>
  <si>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</si>
  <si>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</si>
  <si>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</si>
  <si>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</si>
  <si>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</si>
  <si>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</si>
  <si>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</si>
  <si>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</si>
  <si>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</si>
  <si>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</si>
  <si>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</si>
  <si>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</si>
  <si>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</si>
  <si>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</si>
  <si>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</si>
  <si>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</si>
  <si>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</si>
  <si>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</si>
  <si>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</si>
  <si>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</si>
  <si>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</si>
  <si>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</si>
  <si>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</si>
  <si>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</si>
  <si>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</si>
  <si>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</si>
  <si>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</si>
  <si>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</si>
  <si>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</si>
  <si>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</si>
  <si>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</si>
  <si>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</si>
  <si>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</si>
  <si>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</si>
  <si>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</si>
  <si>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</si>
  <si>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</si>
  <si>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</si>
  <si>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</si>
  <si>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</si>
  <si>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</si>
  <si>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</si>
  <si>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</si>
  <si>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</si>
  <si>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</si>
  <si>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</si>
  <si>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</si>
  <si>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</si>
  <si>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</si>
  <si>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</si>
  <si>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</si>
  <si>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</si>
  <si>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</si>
  <si>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</si>
  <si>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</si>
  <si>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</si>
  <si>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</si>
  <si>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</si>
  <si>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</si>
  <si>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</si>
  <si>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</si>
  <si>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</si>
  <si>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</si>
  <si>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</si>
  <si>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</si>
  <si>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</si>
  <si>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</si>
  <si>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</si>
  <si>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</si>
  <si>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</si>
  <si>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</si>
  <si>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</si>
  <si>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</si>
  <si>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</si>
  <si>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</si>
  <si>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</si>
  <si>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</si>
  <si>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</si>
  <si>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</si>
  <si>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</si>
  <si>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</si>
  <si>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</si>
  <si>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</si>
  <si>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</si>
  <si>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</si>
  <si>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</si>
  <si>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</si>
  <si>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</si>
  <si>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</si>
  <si>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</si>
  <si>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</si>
  <si>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</si>
  <si>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</si>
  <si>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</si>
  <si>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</si>
  <si>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</si>
  <si>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</si>
  <si>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</si>
  <si>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</si>
  <si>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</si>
  <si>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</si>
  <si>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</si>
  <si>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</si>
  <si>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</si>
  <si>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</si>
  <si>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</si>
  <si>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</si>
  <si>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</si>
  <si>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</si>
  <si>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</si>
  <si>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</si>
  <si>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</si>
  <si>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</si>
  <si>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</si>
  <si>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</si>
  <si>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</si>
  <si>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</si>
  <si>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</si>
  <si>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</si>
  <si>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</si>
  <si>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</si>
  <si>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</si>
  <si>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</si>
  <si>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</si>
  <si>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</si>
  <si>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</si>
  <si>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</si>
  <si>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</si>
  <si>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</si>
  <si>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</si>
  <si>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</si>
  <si>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</si>
  <si>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</si>
  <si>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</si>
  <si>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</si>
  <si>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</si>
  <si>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</si>
  <si>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</si>
  <si>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</si>
  <si>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</si>
  <si>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</si>
  <si>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</si>
  <si>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</si>
  <si>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</si>
  <si>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</si>
  <si>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</si>
  <si>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</si>
  <si>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</si>
  <si>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</si>
  <si>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</si>
  <si>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</si>
  <si>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</si>
  <si>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</si>
  <si>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</si>
  <si>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</si>
  <si>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</si>
  <si>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</si>
  <si>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</si>
  <si>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</si>
  <si>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</si>
  <si>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</si>
  <si>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</si>
  <si>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</si>
  <si>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</si>
  <si>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</si>
  <si>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</si>
  <si>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</si>
  <si>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</si>
  <si>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</si>
  <si>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</si>
  <si>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</si>
  <si>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</si>
  <si>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</si>
  <si>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</si>
  <si>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</si>
  <si>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</si>
  <si>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</si>
  <si>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</si>
  <si>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</si>
  <si>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</si>
  <si>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</si>
  <si>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</si>
  <si>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</si>
  <si>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</si>
  <si>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</si>
  <si>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</si>
  <si>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</si>
  <si>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</si>
  <si>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</si>
  <si>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</si>
  <si>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</si>
  <si>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</si>
  <si>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</si>
  <si>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</si>
  <si>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</si>
  <si>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</si>
  <si>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</si>
  <si>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</si>
  <si>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</si>
  <si>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</si>
  <si>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</si>
  <si>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</si>
  <si>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</si>
  <si>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</si>
  <si>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</si>
  <si>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</si>
  <si>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</si>
  <si>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</si>
  <si>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</si>
  <si>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</si>
  <si>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</si>
  <si>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</si>
  <si>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</si>
  <si>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</si>
  <si>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</si>
  <si>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</si>
  <si>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</si>
  <si>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</si>
  <si>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</si>
  <si>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</si>
  <si>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</si>
  <si>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</si>
  <si>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</si>
  <si>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</si>
  <si>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</si>
  <si>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</si>
  <si>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</si>
  <si>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</si>
  <si>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</si>
  <si>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</si>
  <si>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</si>
  <si>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</si>
  <si>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</si>
  <si>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</si>
  <si>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</si>
  <si>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</si>
  <si>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</si>
  <si>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</si>
  <si>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</si>
  <si>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</si>
  <si>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</si>
  <si>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</si>
  <si>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</si>
  <si>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</si>
  <si>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</si>
  <si>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</si>
  <si>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</si>
  <si>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</si>
  <si>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</si>
  <si>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</si>
  <si>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</si>
  <si>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</si>
  <si>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</si>
  <si>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</si>
  <si>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</si>
  <si>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</si>
  <si>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</si>
  <si>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</si>
  <si>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</si>
  <si>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</si>
  <si>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</si>
  <si>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</si>
  <si>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</si>
  <si>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</si>
  <si>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</si>
  <si>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</si>
  <si>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</si>
  <si>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</si>
  <si>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</si>
  <si>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</si>
  <si>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</si>
  <si>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</si>
  <si>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</si>
  <si>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</si>
  <si>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</si>
  <si>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</si>
  <si>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</si>
  <si>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</si>
  <si>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</si>
  <si>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</si>
  <si>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</si>
  <si>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</si>
  <si>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</si>
  <si>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</si>
  <si>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</si>
  <si>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</si>
  <si>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</si>
  <si>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</si>
  <si>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</si>
  <si>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</si>
  <si>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</si>
  <si>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</si>
  <si>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</si>
  <si>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</si>
  <si>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</si>
  <si>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</si>
  <si>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</si>
  <si>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</si>
  <si>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</si>
  <si>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</si>
  <si>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</si>
  <si>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</si>
  <si>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</si>
  <si>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</si>
  <si>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</si>
  <si>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</si>
  <si>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</si>
  <si>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</si>
  <si>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</si>
  <si>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</si>
  <si>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</si>
  <si>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</si>
  <si>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</si>
  <si>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</si>
  <si>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</si>
  <si>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</si>
  <si>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</si>
  <si>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</si>
  <si>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</si>
  <si>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</si>
  <si>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</si>
  <si>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</si>
  <si>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</si>
  <si>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</si>
  <si>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</si>
  <si>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</si>
  <si>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</si>
  <si>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</si>
  <si>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</si>
  <si>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</si>
  <si>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</si>
  <si>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</si>
  <si>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</si>
  <si>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</si>
  <si>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</si>
  <si>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</si>
  <si>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</si>
  <si>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</si>
  <si>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</si>
  <si>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</si>
  <si>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</si>
  <si>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</si>
  <si>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</si>
  <si>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</si>
  <si>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</si>
  <si>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</si>
  <si>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</si>
  <si>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</si>
  <si>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</si>
  <si>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</si>
  <si>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</si>
  <si>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</si>
  <si>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</si>
  <si>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</si>
  <si>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</si>
  <si>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</si>
  <si>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</si>
  <si>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</si>
  <si>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</si>
  <si>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</si>
  <si>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</si>
  <si>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</si>
  <si>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</si>
  <si>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</si>
  <si>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</si>
  <si>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</si>
  <si>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</si>
  <si>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</si>
  <si>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</si>
  <si>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</si>
  <si>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</si>
  <si>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</si>
  <si>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</si>
  <si>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</si>
  <si>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</si>
  <si>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</si>
  <si>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</si>
  <si>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</si>
  <si>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</si>
  <si>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</si>
  <si>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</si>
  <si>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</si>
  <si>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</si>
  <si>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</si>
  <si>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</si>
  <si>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</si>
  <si>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</si>
  <si>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</si>
  <si>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</si>
  <si>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</si>
  <si>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</si>
  <si>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</si>
  <si>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</si>
  <si>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</si>
  <si>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</si>
  <si>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</si>
  <si>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</si>
  <si>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</si>
  <si>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</si>
  <si>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</si>
  <si>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</si>
  <si>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</si>
  <si>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</si>
  <si>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</si>
  <si>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</si>
  <si>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</si>
  <si>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</si>
  <si>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</si>
  <si>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Clay</t>
  </si>
  <si>
    <t>706 South Walnut</t>
  </si>
  <si>
    <t xml:space="preserve">Clay City  </t>
  </si>
  <si>
    <t>Greg M. McCalley &amp; Associates, P.C.</t>
  </si>
  <si>
    <t xml:space="preserve">Greg M. McCalley  </t>
  </si>
  <si>
    <t>855 E. Ferguson Ave.</t>
  </si>
  <si>
    <t>Wood River</t>
  </si>
  <si>
    <t>IL</t>
  </si>
  <si>
    <t>(618)254-8188</t>
  </si>
  <si>
    <t>(618)254-8680</t>
  </si>
  <si>
    <t>060-009547</t>
  </si>
  <si>
    <t>Greg M. McCalley &amp; Associate, P.C.</t>
  </si>
  <si>
    <t>Series 2012</t>
  </si>
  <si>
    <t>Series 2014</t>
  </si>
  <si>
    <t>10/03814</t>
  </si>
  <si>
    <t>1 &amp; 3</t>
  </si>
  <si>
    <t>Ed. Fund-Support Service</t>
  </si>
  <si>
    <t>Donohoo, McCalley &amp; Ass. P.C.</t>
  </si>
  <si>
    <t>Tort Fund-Support Service</t>
  </si>
  <si>
    <t>Robbins Schwartz</t>
  </si>
  <si>
    <t>South Eastern Special Education</t>
  </si>
  <si>
    <t>Page 11, Line 81, Clumn ( C ), Other District/School Activity</t>
  </si>
  <si>
    <t>Sport Fees</t>
  </si>
  <si>
    <t>Page 12, Line 106, Column ( C ), Other Local Fee</t>
  </si>
  <si>
    <t>P.E. Sales</t>
  </si>
  <si>
    <t>Page 12, Line 107, Column ( C ), Other Local Revenue</t>
  </si>
  <si>
    <t>JRH Softball , N. Clay</t>
  </si>
  <si>
    <t>HS Softball N. Clay</t>
  </si>
  <si>
    <t>Page 12, Lne 107, Column ( D ), Other Local Revenue</t>
  </si>
  <si>
    <t>Citiation</t>
  </si>
  <si>
    <t>Page 12, Line 107, Column ( F ), Other Local Revenue</t>
  </si>
  <si>
    <t>SESE</t>
  </si>
  <si>
    <t>Page 13, Line 168, Column ( C ), Other Restricted Revenue From State Sources</t>
  </si>
  <si>
    <t>Community Wellness</t>
  </si>
  <si>
    <t>Library Grant</t>
  </si>
  <si>
    <t>Back to Books</t>
  </si>
  <si>
    <t>Page 12, Line 174, Column ( C ), Other Unrestricted Grant-In-Aid</t>
  </si>
  <si>
    <t>R.E.A.P.</t>
  </si>
  <si>
    <t>Page 19, Line 171, Column ( H ), Debt Service-Other</t>
  </si>
  <si>
    <t>Bond Fee</t>
  </si>
  <si>
    <t>Page 15, Line 265, Column ( C ), Other Restricted Revenue From Federal Sources</t>
  </si>
  <si>
    <t>Greg@dmacpa.coom</t>
  </si>
  <si>
    <t>10-2300-300</t>
  </si>
  <si>
    <t>80-2300-300</t>
  </si>
  <si>
    <t>Clay City CUSD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</si>
</sst>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181" fontId="57" fillId="0" borderId="0" xfId="19" applyNumberFormat="1" applyFont="1"/>
    <xf numFmtId="181" fontId="57" fillId="0" borderId="165" xfId="19" applyNumberFormat="1" applyFont="1" applyBorder="1"/>
    <xf numFmtId="182" fontId="57" fillId="0" borderId="0" xfId="1" applyNumberFormat="1" applyFont="1"/>
    <xf numFmtId="182" fontId="57" fillId="0" borderId="78" xfId="1" applyNumberFormat="1" applyFont="1" applyBorder="1"/>
    <xf numFmtId="181" fontId="57" fillId="0" borderId="166" xfId="19" applyNumberFormat="1" applyFont="1" applyBorder="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2467841</xdr:colOff>
          <xdr:row>5</xdr:row>
          <xdr:rowOff>19050</xdr:rowOff>
        </xdr:from>
        <xdr:to>
          <xdr:col>1</xdr:col>
          <xdr:colOff>3382241</xdr:colOff>
          <xdr:row>9</xdr:row>
          <xdr:rowOff>57150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1CC002B6-60FB-4F3B-A6CC-8A8392EC55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1268557</xdr:colOff>
          <xdr:row>5</xdr:row>
          <xdr:rowOff>2597</xdr:rowOff>
        </xdr:from>
        <xdr:to>
          <xdr:col>1</xdr:col>
          <xdr:colOff>2182957</xdr:colOff>
          <xdr:row>9</xdr:row>
          <xdr:rowOff>40697</xdr:rowOff>
        </xdr:to>
        <xdr:sp macro="" textlink="">
          <xdr:nvSpPr>
            <xdr:cNvPr id="29698" name="Object 2" hidden="1">
              <a:extLst>
                <a:ext uri="{63B3BB69-23CF-44E3-9099-C40C66FF867C}">
                  <a14:compatExt spid="_x0000_s29698"/>
                </a:ext>
                <a:ext uri="{FF2B5EF4-FFF2-40B4-BE49-F238E27FC236}">
                  <a16:creationId xmlns:a16="http://schemas.microsoft.com/office/drawing/2014/main" id="{657B83C2-C7A6-4F44-86AC-C049B963FE4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29699" name="Object 3" hidden="1">
              <a:extLst>
                <a:ext uri="{63B3BB69-23CF-44E3-9099-C40C66FF867C}">
                  <a14:compatExt spid="_x0000_s29699"/>
                </a:ext>
                <a:ext uri="{FF2B5EF4-FFF2-40B4-BE49-F238E27FC236}">
                  <a16:creationId xmlns:a16="http://schemas.microsoft.com/office/drawing/2014/main" id="{A944193A-156E-48F0-9CF1-2D3E0D1A1B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Microsoft_Word_97_-_2003_Document.doc"/><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4"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9" t="s">
        <v>405</v>
      </c>
      <c r="J1" s="2020"/>
      <c r="K1" s="2020"/>
      <c r="L1" s="2020"/>
      <c r="M1" s="2020"/>
      <c r="N1" s="2020"/>
      <c r="O1" s="2020"/>
      <c r="P1" s="2020"/>
      <c r="Q1" s="2020"/>
      <c r="R1" s="2020"/>
      <c r="S1" s="2020"/>
    </row>
    <row r="2" spans="1:28" ht="12" customHeight="1" x14ac:dyDescent="0.2">
      <c r="A2" s="47" t="s">
        <v>1993</v>
      </c>
      <c r="D2" s="48"/>
      <c r="I2" s="2021" t="s">
        <v>979</v>
      </c>
      <c r="J2" s="2020"/>
      <c r="K2" s="2020"/>
      <c r="L2" s="2020"/>
      <c r="M2" s="2020"/>
      <c r="N2" s="2020"/>
      <c r="O2" s="2020"/>
      <c r="P2" s="2020"/>
      <c r="Q2" s="2020"/>
      <c r="R2" s="2020"/>
      <c r="S2" s="2020"/>
    </row>
    <row r="3" spans="1:28" ht="12" customHeight="1" x14ac:dyDescent="0.2">
      <c r="A3" s="155" t="s">
        <v>1945</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2064</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2064</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12013010026</v>
      </c>
      <c r="B13" s="1990"/>
      <c r="C13" s="1990"/>
      <c r="D13" s="1990"/>
      <c r="E13" s="1990"/>
      <c r="F13" s="1990"/>
      <c r="G13" s="1990"/>
      <c r="H13" s="1991"/>
      <c r="I13" s="31"/>
      <c r="J13" s="30"/>
      <c r="K13" s="28"/>
      <c r="L13" s="30"/>
      <c r="M13" s="30"/>
      <c r="N13" s="30"/>
      <c r="O13" s="30"/>
      <c r="P13" s="30"/>
      <c r="Q13" s="30"/>
      <c r="R13" s="30"/>
      <c r="S13" s="30"/>
      <c r="T13" s="1994" t="s">
        <v>2068</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2065</v>
      </c>
      <c r="B15" s="1992"/>
      <c r="C15" s="1992"/>
      <c r="D15" s="1992"/>
      <c r="E15" s="1992"/>
      <c r="F15" s="1992"/>
      <c r="G15" s="1992"/>
      <c r="H15" s="1993"/>
      <c r="T15" s="1955" t="s">
        <v>2069</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2109</v>
      </c>
      <c r="B17" s="2017"/>
      <c r="C17" s="2017"/>
      <c r="D17" s="2017"/>
      <c r="E17" s="2017"/>
      <c r="F17" s="2017"/>
      <c r="G17" s="2017"/>
      <c r="H17" s="2018"/>
      <c r="T17" s="2004" t="s">
        <v>2070</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2066</v>
      </c>
      <c r="B19" s="1988"/>
      <c r="C19" s="1988"/>
      <c r="D19" s="1988"/>
      <c r="E19" s="1988"/>
      <c r="F19" s="1988"/>
      <c r="G19" s="1988"/>
      <c r="H19" s="1986"/>
      <c r="I19" s="30"/>
      <c r="J19" s="99"/>
      <c r="K19" s="40"/>
      <c r="L19" s="38"/>
      <c r="M19" s="112" t="s">
        <v>315</v>
      </c>
      <c r="P19" s="27"/>
      <c r="Q19" s="27"/>
      <c r="R19" s="27"/>
      <c r="S19" s="31"/>
      <c r="T19" s="1987" t="s">
        <v>2071</v>
      </c>
      <c r="U19" s="1985"/>
      <c r="V19" s="1985"/>
      <c r="W19" s="1986"/>
      <c r="X19" s="2002" t="s">
        <v>2072</v>
      </c>
      <c r="Y19" s="2003"/>
      <c r="Z19" s="2000">
        <v>62095</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2067</v>
      </c>
      <c r="B21" s="1985"/>
      <c r="C21" s="1985"/>
      <c r="D21" s="1985"/>
      <c r="E21" s="1985"/>
      <c r="F21" s="1985"/>
      <c r="G21" s="1985"/>
      <c r="H21" s="1986"/>
      <c r="I21" s="2010" t="s">
        <v>678</v>
      </c>
      <c r="J21" s="1973"/>
      <c r="K21" s="1973"/>
      <c r="L21" s="1973"/>
      <c r="M21" s="1973"/>
      <c r="N21" s="1973"/>
      <c r="O21" s="1973"/>
      <c r="P21" s="1973"/>
      <c r="Q21" s="1973"/>
      <c r="R21" s="1973"/>
      <c r="S21" s="1974"/>
      <c r="T21" s="1952" t="s">
        <v>2073</v>
      </c>
      <c r="U21" s="1953"/>
      <c r="V21" s="1953"/>
      <c r="W21" s="1953"/>
      <c r="X21" s="1966" t="s">
        <v>2074</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2075</v>
      </c>
      <c r="U23" s="1948"/>
      <c r="V23" s="1948"/>
      <c r="W23" s="1948"/>
      <c r="X23" s="1963">
        <v>44469</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v>62824</v>
      </c>
      <c r="B25" s="1985"/>
      <c r="C25" s="1985"/>
      <c r="D25" s="1985"/>
      <c r="E25" s="1985"/>
      <c r="F25" s="1985"/>
      <c r="G25" s="1985"/>
      <c r="H25" s="1986"/>
      <c r="I25" s="113"/>
      <c r="J25" s="2051"/>
      <c r="K25" s="2051"/>
      <c r="L25" s="2051"/>
      <c r="M25" s="2051"/>
      <c r="N25" s="2051"/>
      <c r="O25" s="2051"/>
      <c r="P25" s="2051"/>
      <c r="Q25" s="2051"/>
      <c r="R25" s="2051"/>
      <c r="S25" s="2052"/>
      <c r="T25" s="1944" t="s">
        <v>2106</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c r="B38" s="2017"/>
      <c r="C38" s="2017"/>
      <c r="D38" s="2017"/>
      <c r="E38" s="2017"/>
      <c r="F38" s="1985"/>
      <c r="G38" s="1985"/>
      <c r="H38" s="1986"/>
      <c r="I38" s="2036"/>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c r="B42" s="2034"/>
      <c r="C42" s="2035"/>
      <c r="D42" s="2048"/>
      <c r="E42" s="2034"/>
      <c r="F42" s="2034"/>
      <c r="G42" s="2034"/>
      <c r="H42" s="2035"/>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&amp;C77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2076</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78"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1" colorId="8" zoomScale="110" zoomScaleNormal="110" workbookViewId="0">
      <selection activeCell="B44" sqref="B4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26813161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2.0809999999999999E-2</v>
      </c>
      <c r="E10" s="356" t="s">
        <v>1005</v>
      </c>
      <c r="F10" s="355">
        <v>4.9550000000000002E-3</v>
      </c>
      <c r="G10" s="356" t="s">
        <v>1005</v>
      </c>
      <c r="H10" s="355">
        <v>1.9819999999999998E-3</v>
      </c>
      <c r="I10" s="356" t="s">
        <v>1006</v>
      </c>
      <c r="J10" s="1732">
        <f>ROUND(D10+F10+H10,5)</f>
        <v>2.775E-2</v>
      </c>
      <c r="K10" s="222"/>
      <c r="L10" s="355">
        <v>4.9600000000000002E-4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2702415</v>
      </c>
      <c r="E16" s="356"/>
      <c r="F16" s="1733">
        <f>SUM('Acct Summary 7-8'!C17,'Acct Summary 7-8'!D17,'Acct Summary 7-8'!F17)</f>
        <v>2652993</v>
      </c>
      <c r="G16" s="356"/>
      <c r="H16" s="1733">
        <f>SUM(D16-F16)</f>
        <v>49422</v>
      </c>
      <c r="I16" s="222"/>
      <c r="J16" s="1733">
        <f>SUM('Acct Summary 7-8'!C81,'Acct Summary 7-8'!D81,'Acct Summary 7-8'!F81,'Acct Summary 7-8'!I81)</f>
        <v>1912520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3700216.2180000003</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931200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79"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Clay City CUSD 10</v>
      </c>
      <c r="E7" s="391"/>
      <c r="G7" s="252"/>
      <c r="H7" s="387"/>
      <c r="I7" s="387"/>
      <c r="J7" s="387"/>
      <c r="K7" s="387"/>
      <c r="L7" s="329"/>
      <c r="M7" s="329"/>
      <c r="N7" s="329"/>
      <c r="O7" s="329"/>
      <c r="P7" s="329"/>
    </row>
    <row r="8" spans="1:18" ht="12.75" x14ac:dyDescent="0.2">
      <c r="A8" s="329"/>
      <c r="B8" s="329"/>
      <c r="C8" s="389" t="s">
        <v>1125</v>
      </c>
      <c r="D8" s="392">
        <f>COVER!A13</f>
        <v>12013010026</v>
      </c>
      <c r="E8" s="393"/>
      <c r="G8" s="329"/>
      <c r="H8" s="329"/>
      <c r="I8" s="329"/>
      <c r="J8" s="329"/>
      <c r="K8" s="329"/>
      <c r="L8" s="329"/>
      <c r="M8" s="329"/>
      <c r="N8" s="329"/>
      <c r="O8" s="329"/>
      <c r="P8" s="329"/>
    </row>
    <row r="9" spans="1:18" ht="12.75" x14ac:dyDescent="0.2">
      <c r="A9" s="329"/>
      <c r="B9" s="329"/>
      <c r="C9" s="389" t="s">
        <v>713</v>
      </c>
      <c r="D9" s="394" t="str">
        <f>COVER!A15</f>
        <v>Clay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1912520</v>
      </c>
      <c r="I12" s="404"/>
      <c r="J12" s="404"/>
      <c r="K12" s="405">
        <f>TRUNC((H12/H13*100000),5)/100000</f>
        <v>0.70770773539999998</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2702415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2652993</v>
      </c>
      <c r="I17" s="404"/>
      <c r="J17" s="416"/>
      <c r="K17" s="405">
        <f>TRUNC((H17/H18*100000),5)/100000</f>
        <v>0.98171191319999995</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2702415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1908443</v>
      </c>
      <c r="I24" s="422"/>
      <c r="J24" s="422"/>
      <c r="K24" s="423">
        <f>TRUNC(((H24/H25*100000)/100000),2)</f>
        <v>258.95999999999998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7369.4250000000002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632455.43509000004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931200</v>
      </c>
      <c r="I32" s="420"/>
      <c r="J32" s="420"/>
      <c r="K32" s="423">
        <f>TRUNC(100-((((H32/H33*100))*100)/100),2)</f>
        <v>74.83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3700216.2180000003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80"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12" activePane="bottomLeft" state="frozen"/>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1877777</v>
      </c>
      <c r="D4" s="466">
        <v>13283</v>
      </c>
      <c r="E4" s="466">
        <v>100570</v>
      </c>
      <c r="F4" s="466">
        <v>17383</v>
      </c>
      <c r="G4" s="466">
        <v>254673</v>
      </c>
      <c r="H4" s="466"/>
      <c r="I4" s="466"/>
      <c r="J4" s="467">
        <v>45929</v>
      </c>
      <c r="K4" s="466">
        <v>52099</v>
      </c>
      <c r="L4" s="466">
        <v>98223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68657</v>
      </c>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3536</v>
      </c>
      <c r="D11" s="467">
        <v>164</v>
      </c>
      <c r="E11" s="467"/>
      <c r="F11" s="467">
        <v>377</v>
      </c>
      <c r="G11" s="467">
        <v>109</v>
      </c>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1949970</v>
      </c>
      <c r="D13" s="1737">
        <f t="shared" ref="D13:L13" si="0">SUM(D4:D12)</f>
        <v>13447</v>
      </c>
      <c r="E13" s="1737">
        <f t="shared" si="0"/>
        <v>100570</v>
      </c>
      <c r="F13" s="1737">
        <f t="shared" si="0"/>
        <v>17760</v>
      </c>
      <c r="G13" s="1737">
        <f t="shared" si="0"/>
        <v>254782</v>
      </c>
      <c r="H13" s="1737">
        <f t="shared" si="0"/>
        <v>0</v>
      </c>
      <c r="I13" s="1737">
        <f t="shared" si="0"/>
        <v>0</v>
      </c>
      <c r="J13" s="1737">
        <f t="shared" si="0"/>
        <v>45929</v>
      </c>
      <c r="K13" s="1737">
        <f t="shared" si="0"/>
        <v>52099</v>
      </c>
      <c r="L13" s="1737">
        <f t="shared" si="0"/>
        <v>98223</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33070</v>
      </c>
      <c r="N16" s="484"/>
    </row>
    <row r="17" spans="1:14" s="485" customFormat="1" ht="12.75" customHeight="1" x14ac:dyDescent="0.2">
      <c r="A17" s="482" t="s">
        <v>1403</v>
      </c>
      <c r="B17" s="483">
        <v>230</v>
      </c>
      <c r="C17" s="477"/>
      <c r="D17" s="477"/>
      <c r="E17" s="477"/>
      <c r="F17" s="477"/>
      <c r="G17" s="477"/>
      <c r="H17" s="477"/>
      <c r="I17" s="477"/>
      <c r="J17" s="477"/>
      <c r="K17" s="477"/>
      <c r="L17" s="477"/>
      <c r="M17" s="467">
        <v>8972196</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1630226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100570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830630</v>
      </c>
    </row>
    <row r="23" spans="1:14" ht="13.5" customHeight="1" thickBot="1" x14ac:dyDescent="0.25">
      <c r="A23" s="1736" t="s">
        <v>643</v>
      </c>
      <c r="B23" s="1741"/>
      <c r="C23" s="468"/>
      <c r="D23" s="468"/>
      <c r="E23" s="468"/>
      <c r="F23" s="468"/>
      <c r="G23" s="468"/>
      <c r="H23" s="468"/>
      <c r="I23" s="468"/>
      <c r="J23" s="468"/>
      <c r="K23" s="468"/>
      <c r="L23" s="468"/>
      <c r="M23" s="1688">
        <f>SUM(M15:M22)</f>
        <v>10635492</v>
      </c>
      <c r="N23" s="1688">
        <f>SUM(N21:N22)</f>
        <v>931200</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v>68657</v>
      </c>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98223</v>
      </c>
      <c r="M33" s="468"/>
      <c r="N33" s="469"/>
    </row>
    <row r="34" spans="1:14" ht="13.5" customHeight="1" thickBot="1" x14ac:dyDescent="0.25">
      <c r="A34" s="1738" t="s">
        <v>654</v>
      </c>
      <c r="B34" s="1739"/>
      <c r="C34" s="1740">
        <f>SUM(C25:C33)</f>
        <v>0</v>
      </c>
      <c r="D34" s="1740">
        <f t="shared" ref="D34:K34" si="1">SUM(D25:D33)</f>
        <v>68657</v>
      </c>
      <c r="E34" s="1740">
        <f t="shared" si="1"/>
        <v>0</v>
      </c>
      <c r="F34" s="1740">
        <f t="shared" si="1"/>
        <v>0</v>
      </c>
      <c r="G34" s="1740">
        <f t="shared" si="1"/>
        <v>0</v>
      </c>
      <c r="H34" s="1740">
        <f t="shared" si="1"/>
        <v>0</v>
      </c>
      <c r="I34" s="1740">
        <f t="shared" si="1"/>
        <v>0</v>
      </c>
      <c r="J34" s="1740">
        <f t="shared" si="1"/>
        <v>0</v>
      </c>
      <c r="K34" s="1740">
        <f t="shared" si="1"/>
        <v>0</v>
      </c>
      <c r="L34" s="1721">
        <f>SUM(L33)</f>
        <v>98223</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931200</v>
      </c>
    </row>
    <row r="37" spans="1:14" ht="13.5" thickBot="1" x14ac:dyDescent="0.25">
      <c r="A37" s="1736" t="s">
        <v>653</v>
      </c>
      <c r="B37" s="1741"/>
      <c r="C37" s="477"/>
      <c r="D37" s="477"/>
      <c r="E37" s="477"/>
      <c r="F37" s="477"/>
      <c r="G37" s="477"/>
      <c r="H37" s="477"/>
      <c r="I37" s="477"/>
      <c r="J37" s="477"/>
      <c r="K37" s="477"/>
      <c r="L37" s="480"/>
      <c r="M37" s="468"/>
      <c r="N37" s="1688">
        <f>SUM(N36:N36)</f>
        <v>931200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1949970</v>
      </c>
      <c r="D39" s="466">
        <v>-55210</v>
      </c>
      <c r="E39" s="466">
        <v>100570</v>
      </c>
      <c r="F39" s="466">
        <v>17760</v>
      </c>
      <c r="G39" s="466">
        <v>254782</v>
      </c>
      <c r="H39" s="466"/>
      <c r="I39" s="466"/>
      <c r="J39" s="467">
        <v>45929</v>
      </c>
      <c r="K39" s="466">
        <v>52099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10635492</v>
      </c>
      <c r="N40" s="497"/>
    </row>
    <row r="41" spans="1:14" ht="13.5" customHeight="1" thickBot="1" x14ac:dyDescent="0.25">
      <c r="A41" s="1736" t="s">
        <v>655</v>
      </c>
      <c r="B41" s="1706"/>
      <c r="C41" s="1688">
        <f>(SUM(C34,C37,C38,C39))</f>
        <v>1949970</v>
      </c>
      <c r="D41" s="1688">
        <f t="shared" ref="D41:L41" si="2">SUM(D34,D37,D38:D39)</f>
        <v>13447</v>
      </c>
      <c r="E41" s="1688">
        <f t="shared" si="2"/>
        <v>100570</v>
      </c>
      <c r="F41" s="1688">
        <f t="shared" si="2"/>
        <v>17760</v>
      </c>
      <c r="G41" s="1688">
        <f t="shared" si="2"/>
        <v>254782</v>
      </c>
      <c r="H41" s="1688">
        <f t="shared" si="2"/>
        <v>0</v>
      </c>
      <c r="I41" s="1688">
        <f t="shared" si="2"/>
        <v>0</v>
      </c>
      <c r="J41" s="1688">
        <f t="shared" si="2"/>
        <v>45929</v>
      </c>
      <c r="K41" s="1688">
        <f t="shared" si="2"/>
        <v>52099</v>
      </c>
      <c r="L41" s="1688">
        <f t="shared" si="2"/>
        <v>98223</v>
      </c>
      <c r="M41" s="1688">
        <f>SUM(M40)</f>
        <v>10635492</v>
      </c>
      <c r="N41" s="1688">
        <f>SUM(N37)</f>
        <v>931200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6"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Notes to the Financial Statements are an intregal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754784</v>
      </c>
      <c r="D4" s="1742">
        <f>'Revenues 9-14'!D109</f>
        <v>189805</v>
      </c>
      <c r="E4" s="1742">
        <f>'Revenues 9-14'!E109</f>
        <v>293864</v>
      </c>
      <c r="F4" s="1742">
        <f>'Revenues 9-14'!F109</f>
        <v>57254</v>
      </c>
      <c r="G4" s="1742">
        <f>'Revenues 9-14'!G109</f>
        <v>65104</v>
      </c>
      <c r="H4" s="1742">
        <f>'Revenues 9-14'!H109</f>
        <v>0</v>
      </c>
      <c r="I4" s="1742">
        <f>'Revenues 9-14'!I109</f>
        <v>13863</v>
      </c>
      <c r="J4" s="1742">
        <f>'Revenues 9-14'!J109</f>
        <v>188410</v>
      </c>
      <c r="K4" s="1742">
        <f>'Revenues 9-14'!K109</f>
        <v>14182</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1294992</v>
      </c>
      <c r="D6" s="1743">
        <f>'Revenues 9-14'!D170</f>
        <v>0</v>
      </c>
      <c r="E6" s="1743">
        <f>'Revenues 9-14'!E170</f>
        <v>0</v>
      </c>
      <c r="F6" s="1743">
        <f>'Revenues 9-14'!F170</f>
        <v>176842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214875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2264651</v>
      </c>
      <c r="D8" s="1688">
        <f t="shared" ref="D8:K8" si="0">SUM(D4:D7)</f>
        <v>189805</v>
      </c>
      <c r="E8" s="1688">
        <f t="shared" si="0"/>
        <v>293864</v>
      </c>
      <c r="F8" s="1688">
        <f t="shared" si="0"/>
        <v>234096</v>
      </c>
      <c r="G8" s="1688">
        <f t="shared" si="0"/>
        <v>65104</v>
      </c>
      <c r="H8" s="1688">
        <f t="shared" si="0"/>
        <v>0</v>
      </c>
      <c r="I8" s="1688">
        <f t="shared" si="0"/>
        <v>13863</v>
      </c>
      <c r="J8" s="1688">
        <f t="shared" si="0"/>
        <v>188410</v>
      </c>
      <c r="K8" s="1688">
        <f t="shared" si="0"/>
        <v>14182</v>
      </c>
      <c r="L8" s="347"/>
    </row>
    <row r="9" spans="1:13" ht="15.75" thickTop="1" x14ac:dyDescent="0.2">
      <c r="A9" s="514" t="s">
        <v>1653</v>
      </c>
      <c r="B9" s="515">
        <v>3998</v>
      </c>
      <c r="C9" s="481">
        <v>906342</v>
      </c>
      <c r="D9" s="516"/>
      <c r="E9" s="481"/>
      <c r="F9" s="481"/>
      <c r="G9" s="517"/>
      <c r="H9" s="481"/>
      <c r="I9" s="509" t="s">
        <v>1169</v>
      </c>
      <c r="J9" s="478"/>
      <c r="K9" s="481"/>
      <c r="L9" s="347"/>
    </row>
    <row r="10" spans="1:13" s="519" customFormat="1" ht="13.5" thickBot="1" x14ac:dyDescent="0.25">
      <c r="A10" s="1736" t="s">
        <v>1173</v>
      </c>
      <c r="B10" s="1709"/>
      <c r="C10" s="1688">
        <f>SUM(C8:C9)</f>
        <v>3170993</v>
      </c>
      <c r="D10" s="1688">
        <f t="shared" ref="D10:K10" si="1">SUM(D8:D9)</f>
        <v>189805</v>
      </c>
      <c r="E10" s="1688">
        <f t="shared" si="1"/>
        <v>293864</v>
      </c>
      <c r="F10" s="1688">
        <f t="shared" si="1"/>
        <v>234096</v>
      </c>
      <c r="G10" s="1688">
        <f t="shared" si="1"/>
        <v>65104</v>
      </c>
      <c r="H10" s="1688">
        <f t="shared" si="1"/>
        <v>0</v>
      </c>
      <c r="I10" s="1688">
        <f t="shared" si="1"/>
        <v>13863</v>
      </c>
      <c r="J10" s="1688">
        <f t="shared" si="1"/>
        <v>188410</v>
      </c>
      <c r="K10" s="1688">
        <f t="shared" si="1"/>
        <v>14182</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1206567</v>
      </c>
      <c r="D12" s="520" t="s">
        <v>1169</v>
      </c>
      <c r="E12" s="468" t="s">
        <v>1169</v>
      </c>
      <c r="F12" s="468" t="s">
        <v>1169</v>
      </c>
      <c r="G12" s="1742">
        <f>'Expenditures 15-22'!K229</f>
        <v>28181</v>
      </c>
      <c r="H12" s="521"/>
      <c r="I12" s="468" t="s">
        <v>1169</v>
      </c>
      <c r="J12" s="468" t="s">
        <v>1169</v>
      </c>
      <c r="K12" s="521" t="s">
        <v>1169</v>
      </c>
      <c r="L12" s="347"/>
    </row>
    <row r="13" spans="1:13" ht="15.75" customHeight="1" x14ac:dyDescent="0.2">
      <c r="A13" s="1576" t="s">
        <v>457</v>
      </c>
      <c r="B13" s="1578">
        <v>2000</v>
      </c>
      <c r="C13" s="1743">
        <f>'Expenditures 15-22'!K74</f>
        <v>656871</v>
      </c>
      <c r="D13" s="1743">
        <f>'Expenditures 15-22'!K129</f>
        <v>246877</v>
      </c>
      <c r="E13" s="469" t="s">
        <v>1169</v>
      </c>
      <c r="F13" s="1743">
        <f>'Expenditures 15-22'!K184</f>
        <v>452713</v>
      </c>
      <c r="G13" s="1743">
        <f>'Expenditures 15-22'!K279</f>
        <v>39054</v>
      </c>
      <c r="H13" s="1743">
        <f>'Expenditures 15-22'!K303</f>
        <v>0</v>
      </c>
      <c r="I13" s="468" t="s">
        <v>1169</v>
      </c>
      <c r="J13" s="1743">
        <f>'Expenditures 15-22'!K330</f>
        <v>178743</v>
      </c>
      <c r="K13" s="1747">
        <f>'Expenditures 15-22'!K352</f>
        <v>0</v>
      </c>
      <c r="L13" s="347"/>
    </row>
    <row r="14" spans="1:13" ht="15.75" customHeight="1" x14ac:dyDescent="0.2">
      <c r="A14" s="1576" t="s">
        <v>449</v>
      </c>
      <c r="B14" s="1578">
        <v>3000</v>
      </c>
      <c r="C14" s="1743">
        <f>'Expenditures 15-22'!K75</f>
        <v>9205</v>
      </c>
      <c r="D14" s="1743">
        <f>'Expenditures 15-22'!K130</f>
        <v>0</v>
      </c>
      <c r="E14" s="520" t="s">
        <v>1169</v>
      </c>
      <c r="F14" s="1743">
        <f>'Expenditures 15-22'!K185</f>
        <v>0</v>
      </c>
      <c r="G14" s="1743">
        <f>'Expenditures 15-22'!K280</f>
        <v>509</v>
      </c>
      <c r="H14" s="512"/>
      <c r="I14" s="468" t="s">
        <v>1169</v>
      </c>
      <c r="J14" s="468" t="s">
        <v>1169</v>
      </c>
      <c r="K14" s="512" t="s">
        <v>1169</v>
      </c>
      <c r="L14" s="347"/>
    </row>
    <row r="15" spans="1:13" ht="15.75" customHeight="1" x14ac:dyDescent="0.2">
      <c r="A15" s="1576" t="s">
        <v>107</v>
      </c>
      <c r="B15" s="1578">
        <v>4000</v>
      </c>
      <c r="C15" s="1743">
        <f>'Expenditures 15-22'!K102</f>
        <v>76284</v>
      </c>
      <c r="D15" s="1743">
        <f>'Expenditures 15-22'!K139</f>
        <v>0</v>
      </c>
      <c r="E15" s="1743">
        <f>'Expenditures 15-22'!K160</f>
        <v>0</v>
      </c>
      <c r="F15" s="1743">
        <f>'Expenditures 15-22'!K196</f>
        <v>4476</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289913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1948927</v>
      </c>
      <c r="D17" s="1688">
        <f t="shared" si="2"/>
        <v>246877</v>
      </c>
      <c r="E17" s="1688">
        <f t="shared" si="2"/>
        <v>289913</v>
      </c>
      <c r="F17" s="1688">
        <f t="shared" si="2"/>
        <v>457189</v>
      </c>
      <c r="G17" s="1688">
        <f t="shared" si="2"/>
        <v>67744</v>
      </c>
      <c r="H17" s="1688">
        <f t="shared" si="2"/>
        <v>0</v>
      </c>
      <c r="I17" s="468"/>
      <c r="J17" s="1688">
        <f>SUM(J12:J16)</f>
        <v>178743</v>
      </c>
      <c r="K17" s="1688">
        <f>SUM(K12:K16)</f>
        <v>0</v>
      </c>
      <c r="L17" s="347"/>
    </row>
    <row r="18" spans="1:12" ht="15" customHeight="1" thickTop="1" x14ac:dyDescent="0.2">
      <c r="A18" s="1744" t="s">
        <v>1654</v>
      </c>
      <c r="B18" s="1745">
        <v>4180</v>
      </c>
      <c r="C18" s="1742">
        <f t="shared" ref="C18:H18" si="3">C9</f>
        <v>906342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2855269</v>
      </c>
      <c r="D19" s="1688">
        <f t="shared" si="4"/>
        <v>246877</v>
      </c>
      <c r="E19" s="1688">
        <f t="shared" si="4"/>
        <v>289913</v>
      </c>
      <c r="F19" s="1688">
        <f t="shared" si="4"/>
        <v>457189</v>
      </c>
      <c r="G19" s="1688">
        <f t="shared" si="4"/>
        <v>67744</v>
      </c>
      <c r="H19" s="1688">
        <f t="shared" si="4"/>
        <v>0</v>
      </c>
      <c r="I19" s="468"/>
      <c r="J19" s="1688">
        <f>SUM(J17:J18)</f>
        <v>178743</v>
      </c>
      <c r="K19" s="1688">
        <f>SUM(K17:K18)</f>
        <v>0</v>
      </c>
      <c r="L19" s="347"/>
    </row>
    <row r="20" spans="1:12" ht="16.5" thickTop="1" thickBot="1" x14ac:dyDescent="0.25">
      <c r="A20" s="2129" t="s">
        <v>1655</v>
      </c>
      <c r="B20" s="2130"/>
      <c r="C20" s="1746">
        <f>C8-C17</f>
        <v>315724</v>
      </c>
      <c r="D20" s="1746">
        <f t="shared" ref="D20:K20" si="5">D8-D17</f>
        <v>-57072</v>
      </c>
      <c r="E20" s="1746">
        <f t="shared" si="5"/>
        <v>3951</v>
      </c>
      <c r="F20" s="1746">
        <f t="shared" si="5"/>
        <v>-223093</v>
      </c>
      <c r="G20" s="1746">
        <f t="shared" si="5"/>
        <v>-2640</v>
      </c>
      <c r="H20" s="1746">
        <f t="shared" si="5"/>
        <v>0</v>
      </c>
      <c r="I20" s="1746">
        <f t="shared" si="5"/>
        <v>13863</v>
      </c>
      <c r="J20" s="1746">
        <f t="shared" si="5"/>
        <v>9667</v>
      </c>
      <c r="K20" s="1746">
        <f t="shared" si="5"/>
        <v>14182</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v>13863</v>
      </c>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v>45728</v>
      </c>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13863</v>
      </c>
      <c r="D44" s="1703">
        <f t="shared" ref="D44:K44" si="6">SUM(D24:D43)</f>
        <v>45728</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13863</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45728</v>
      </c>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9" t="s">
        <v>440</v>
      </c>
      <c r="B76" s="2120"/>
      <c r="C76" s="1703">
        <f t="shared" ref="C76:K76" si="7">SUM(C47:C75)</f>
        <v>45728</v>
      </c>
      <c r="D76" s="1703">
        <f t="shared" si="7"/>
        <v>0</v>
      </c>
      <c r="E76" s="1703">
        <f t="shared" si="7"/>
        <v>0</v>
      </c>
      <c r="F76" s="1703">
        <f t="shared" si="7"/>
        <v>0</v>
      </c>
      <c r="G76" s="1703">
        <f t="shared" si="7"/>
        <v>0</v>
      </c>
      <c r="H76" s="1703">
        <f t="shared" si="7"/>
        <v>0</v>
      </c>
      <c r="I76" s="1703">
        <f t="shared" si="7"/>
        <v>13863</v>
      </c>
      <c r="J76" s="1703">
        <f t="shared" si="7"/>
        <v>0</v>
      </c>
      <c r="K76" s="1703">
        <f t="shared" si="7"/>
        <v>0</v>
      </c>
      <c r="L76" s="524"/>
    </row>
    <row r="77" spans="1:12" ht="14.25" thickTop="1" thickBot="1" x14ac:dyDescent="0.25">
      <c r="A77" s="2121" t="s">
        <v>1177</v>
      </c>
      <c r="B77" s="2122"/>
      <c r="C77" s="1703">
        <f t="shared" ref="C77:K77" si="8">C44-C76</f>
        <v>-31865</v>
      </c>
      <c r="D77" s="1703">
        <f t="shared" si="8"/>
        <v>45728</v>
      </c>
      <c r="E77" s="1703">
        <f t="shared" si="8"/>
        <v>0</v>
      </c>
      <c r="F77" s="1703">
        <f t="shared" si="8"/>
        <v>0</v>
      </c>
      <c r="G77" s="1703">
        <f t="shared" si="8"/>
        <v>0</v>
      </c>
      <c r="H77" s="1703">
        <f t="shared" si="8"/>
        <v>0</v>
      </c>
      <c r="I77" s="1703">
        <f t="shared" si="8"/>
        <v>-13863</v>
      </c>
      <c r="J77" s="1703">
        <f t="shared" si="8"/>
        <v>0</v>
      </c>
      <c r="K77" s="1703">
        <f t="shared" si="8"/>
        <v>0</v>
      </c>
      <c r="L77" s="347"/>
    </row>
    <row r="78" spans="1:12" ht="21.75" customHeight="1" thickTop="1" thickBot="1" x14ac:dyDescent="0.25">
      <c r="A78" s="2125" t="s">
        <v>597</v>
      </c>
      <c r="B78" s="2126"/>
      <c r="C78" s="1702">
        <f t="shared" ref="C78:K78" si="9">C20+C77</f>
        <v>283859</v>
      </c>
      <c r="D78" s="1702">
        <f t="shared" si="9"/>
        <v>-11344</v>
      </c>
      <c r="E78" s="1702">
        <f t="shared" si="9"/>
        <v>3951</v>
      </c>
      <c r="F78" s="1702">
        <f t="shared" si="9"/>
        <v>-223093</v>
      </c>
      <c r="G78" s="1702">
        <f t="shared" si="9"/>
        <v>-2640</v>
      </c>
      <c r="H78" s="1702">
        <f t="shared" si="9"/>
        <v>0</v>
      </c>
      <c r="I78" s="1702">
        <f t="shared" si="9"/>
        <v>0</v>
      </c>
      <c r="J78" s="1702">
        <f t="shared" si="9"/>
        <v>9667</v>
      </c>
      <c r="K78" s="1702">
        <f t="shared" si="9"/>
        <v>14182</v>
      </c>
      <c r="L78" s="533"/>
    </row>
    <row r="79" spans="1:12" ht="13.5" thickTop="1" x14ac:dyDescent="0.2">
      <c r="A79" s="1494" t="s">
        <v>1949</v>
      </c>
      <c r="B79" s="534"/>
      <c r="C79" s="478">
        <v>1666111</v>
      </c>
      <c r="D79" s="535">
        <v>-43866</v>
      </c>
      <c r="E79" s="535">
        <v>96619</v>
      </c>
      <c r="F79" s="535">
        <v>240853</v>
      </c>
      <c r="G79" s="535">
        <v>257422</v>
      </c>
      <c r="H79" s="535"/>
      <c r="I79" s="535">
        <v>0</v>
      </c>
      <c r="J79" s="535">
        <v>36262</v>
      </c>
      <c r="K79" s="535">
        <v>37917</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1950</v>
      </c>
      <c r="B81" s="2124"/>
      <c r="C81" s="1688">
        <f>(SUM(C78:C80))</f>
        <v>1949970</v>
      </c>
      <c r="D81" s="1688">
        <f>SUM(D78:D80)</f>
        <v>-55210</v>
      </c>
      <c r="E81" s="1688">
        <f t="shared" ref="E81:K81" si="10">SUM(E78:E80)</f>
        <v>100570</v>
      </c>
      <c r="F81" s="1688">
        <f t="shared" si="10"/>
        <v>17760</v>
      </c>
      <c r="G81" s="1688">
        <f t="shared" si="10"/>
        <v>254782</v>
      </c>
      <c r="H81" s="1688">
        <f t="shared" si="10"/>
        <v>0</v>
      </c>
      <c r="I81" s="1688">
        <f t="shared" si="10"/>
        <v>0</v>
      </c>
      <c r="J81" s="1688">
        <f t="shared" si="10"/>
        <v>45929</v>
      </c>
      <c r="K81" s="1688">
        <f t="shared" si="10"/>
        <v>52099</v>
      </c>
      <c r="L81" s="347"/>
    </row>
    <row r="82" spans="1:12" ht="0.75" customHeight="1" thickTop="1" thickBot="1" x14ac:dyDescent="0.25">
      <c r="A82" s="536" t="s">
        <v>343</v>
      </c>
      <c r="B82" s="537"/>
      <c r="C82" s="538">
        <f>(C81-C79)</f>
        <v>283859</v>
      </c>
      <c r="D82" s="538">
        <f t="shared" ref="D82:K82" si="11">(D81-D79)</f>
        <v>-11344</v>
      </c>
      <c r="E82" s="538">
        <f t="shared" si="11"/>
        <v>3951</v>
      </c>
      <c r="F82" s="538">
        <f t="shared" si="11"/>
        <v>-223093</v>
      </c>
      <c r="G82" s="538">
        <f t="shared" si="11"/>
        <v>-2640</v>
      </c>
      <c r="H82" s="538">
        <f t="shared" si="11"/>
        <v>0</v>
      </c>
      <c r="I82" s="538">
        <f t="shared" si="11"/>
        <v>0</v>
      </c>
      <c r="J82" s="538">
        <f t="shared" si="11"/>
        <v>9667</v>
      </c>
      <c r="K82" s="538">
        <f t="shared" si="11"/>
        <v>14182</v>
      </c>
    </row>
    <row r="83" spans="1:12" ht="14.25" hidden="1" thickTop="1" thickBot="1" x14ac:dyDescent="0.25">
      <c r="A83" s="539" t="s">
        <v>344</v>
      </c>
      <c r="B83" s="464"/>
      <c r="C83" s="540">
        <f>C82/C81</f>
        <v>0.14557095750191029</v>
      </c>
      <c r="D83" s="540">
        <f t="shared" ref="D83:K83" si="12">D82/D81</f>
        <v>0.20547002354645896</v>
      </c>
      <c r="E83" s="540">
        <f t="shared" si="12"/>
        <v>3.9286069404394948E-2</v>
      </c>
      <c r="F83" s="540">
        <f t="shared" si="12"/>
        <v>-12.561542792792793</v>
      </c>
      <c r="G83" s="540">
        <f t="shared" si="12"/>
        <v>-1.036179949917969E-2</v>
      </c>
      <c r="H83" s="540" t="e">
        <f t="shared" si="12"/>
        <v>#DIV/0!</v>
      </c>
      <c r="I83" s="540" t="e">
        <f t="shared" si="12"/>
        <v>#DIV/0!</v>
      </c>
      <c r="J83" s="540">
        <f t="shared" si="12"/>
        <v>0.21047704064969844</v>
      </c>
      <c r="K83" s="540">
        <f t="shared" si="12"/>
        <v>0.27221251847444289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8"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to the Financial Statements are an intregal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0" activePane="bottomLeft" state="frozen"/>
      <selection pane="bottomLeft" activeCell="C193" sqref="C19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571999</v>
      </c>
      <c r="D5" s="481">
        <v>136454</v>
      </c>
      <c r="E5" s="466">
        <v>289798</v>
      </c>
      <c r="F5" s="548">
        <v>54582</v>
      </c>
      <c r="G5" s="466">
        <v>20039</v>
      </c>
      <c r="H5" s="466"/>
      <c r="I5" s="466">
        <v>13645</v>
      </c>
      <c r="J5" s="467">
        <v>185374</v>
      </c>
      <c r="K5" s="466">
        <v>13645</v>
      </c>
    </row>
    <row r="6" spans="1:12" ht="15" x14ac:dyDescent="0.2">
      <c r="A6" s="463" t="s">
        <v>1662</v>
      </c>
      <c r="B6" s="470">
        <v>1130</v>
      </c>
      <c r="C6" s="466">
        <v>13645</v>
      </c>
      <c r="D6" s="466"/>
      <c r="E6" s="475"/>
      <c r="F6" s="475"/>
      <c r="G6" s="468"/>
      <c r="H6" s="468"/>
      <c r="I6" s="468"/>
      <c r="J6" s="468"/>
      <c r="K6" s="468"/>
    </row>
    <row r="7" spans="1:12" x14ac:dyDescent="0.2">
      <c r="A7" s="463" t="s">
        <v>110</v>
      </c>
      <c r="B7" s="549">
        <v>1140</v>
      </c>
      <c r="C7" s="466">
        <v>10916</v>
      </c>
      <c r="D7" s="466"/>
      <c r="E7" s="468"/>
      <c r="F7" s="467"/>
      <c r="G7" s="467"/>
      <c r="H7" s="467"/>
      <c r="I7" s="468"/>
      <c r="J7" s="468"/>
      <c r="K7" s="468"/>
    </row>
    <row r="8" spans="1:12" x14ac:dyDescent="0.2">
      <c r="A8" s="463" t="s">
        <v>413</v>
      </c>
      <c r="B8" s="470">
        <v>1150</v>
      </c>
      <c r="C8" s="475"/>
      <c r="D8" s="475"/>
      <c r="E8" s="477"/>
      <c r="F8" s="477"/>
      <c r="G8" s="481">
        <v>25056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596560</v>
      </c>
      <c r="D12" s="1707">
        <f t="shared" si="0"/>
        <v>136454</v>
      </c>
      <c r="E12" s="1707">
        <f t="shared" si="0"/>
        <v>289798</v>
      </c>
      <c r="F12" s="1707">
        <f t="shared" si="0"/>
        <v>54582</v>
      </c>
      <c r="G12" s="1707">
        <f t="shared" si="0"/>
        <v>45095</v>
      </c>
      <c r="H12" s="1707">
        <f t="shared" si="0"/>
        <v>0</v>
      </c>
      <c r="I12" s="1707">
        <f t="shared" si="0"/>
        <v>13645</v>
      </c>
      <c r="J12" s="1707">
        <f t="shared" si="0"/>
        <v>185374</v>
      </c>
      <c r="K12" s="1688">
        <f t="shared" si="0"/>
        <v>13645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4358</v>
      </c>
      <c r="D14" s="466">
        <v>997</v>
      </c>
      <c r="E14" s="466">
        <v>2119</v>
      </c>
      <c r="F14" s="466">
        <v>399</v>
      </c>
      <c r="G14" s="466">
        <v>330</v>
      </c>
      <c r="H14" s="466"/>
      <c r="I14" s="466">
        <v>100</v>
      </c>
      <c r="J14" s="467">
        <v>1355</v>
      </c>
      <c r="K14" s="466">
        <v>100</v>
      </c>
    </row>
    <row r="15" spans="1:12" ht="12.75" customHeight="1" x14ac:dyDescent="0.2">
      <c r="A15" s="463" t="s">
        <v>95</v>
      </c>
      <c r="B15" s="470">
        <v>1220</v>
      </c>
      <c r="C15" s="551">
        <v>921</v>
      </c>
      <c r="D15" s="466">
        <v>211</v>
      </c>
      <c r="E15" s="466">
        <v>448</v>
      </c>
      <c r="F15" s="466">
        <v>84</v>
      </c>
      <c r="G15" s="466">
        <v>70</v>
      </c>
      <c r="H15" s="466"/>
      <c r="I15" s="466">
        <v>21</v>
      </c>
      <c r="J15" s="467">
        <v>287</v>
      </c>
      <c r="K15" s="466">
        <v>21</v>
      </c>
    </row>
    <row r="16" spans="1:12" ht="15" customHeight="1" x14ac:dyDescent="0.2">
      <c r="A16" s="463" t="s">
        <v>1663</v>
      </c>
      <c r="B16" s="549">
        <v>1230</v>
      </c>
      <c r="C16" s="551">
        <v>78453</v>
      </c>
      <c r="D16" s="466"/>
      <c r="E16" s="466"/>
      <c r="F16" s="466"/>
      <c r="G16" s="466">
        <v>16041</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83732</v>
      </c>
      <c r="D18" s="1710">
        <f t="shared" ref="D18:K18" si="1">SUM(D14:D17)</f>
        <v>1208</v>
      </c>
      <c r="E18" s="1710">
        <f t="shared" si="1"/>
        <v>2567</v>
      </c>
      <c r="F18" s="1710">
        <f t="shared" si="1"/>
        <v>483</v>
      </c>
      <c r="G18" s="1710">
        <f t="shared" si="1"/>
        <v>16441</v>
      </c>
      <c r="H18" s="1710">
        <f t="shared" si="1"/>
        <v>0</v>
      </c>
      <c r="I18" s="1710">
        <f t="shared" si="1"/>
        <v>121</v>
      </c>
      <c r="J18" s="1710">
        <f t="shared" si="1"/>
        <v>1642</v>
      </c>
      <c r="K18" s="1711">
        <f t="shared" si="1"/>
        <v>121</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255</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255</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9750</v>
      </c>
      <c r="D65" s="466">
        <v>254</v>
      </c>
      <c r="E65" s="466">
        <v>1499</v>
      </c>
      <c r="F65" s="467">
        <v>555</v>
      </c>
      <c r="G65" s="466">
        <v>3568</v>
      </c>
      <c r="H65" s="466"/>
      <c r="I65" s="466">
        <v>97</v>
      </c>
      <c r="J65" s="467">
        <v>1129</v>
      </c>
      <c r="K65" s="466">
        <v>416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9750</v>
      </c>
      <c r="D67" s="1688">
        <f t="shared" ref="D67:K67" si="2">SUM(D65:D66)</f>
        <v>254</v>
      </c>
      <c r="E67" s="1688">
        <f t="shared" si="2"/>
        <v>1499</v>
      </c>
      <c r="F67" s="1688">
        <f t="shared" si="2"/>
        <v>555</v>
      </c>
      <c r="G67" s="1688">
        <f t="shared" si="2"/>
        <v>3568</v>
      </c>
      <c r="H67" s="1688">
        <f t="shared" si="2"/>
        <v>0</v>
      </c>
      <c r="I67" s="1688">
        <f t="shared" si="2"/>
        <v>97</v>
      </c>
      <c r="J67" s="1688">
        <f t="shared" si="2"/>
        <v>1129</v>
      </c>
      <c r="K67" s="1688">
        <f t="shared" si="2"/>
        <v>416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33814</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33814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10868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950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2225</v>
      </c>
      <c r="D81" s="466"/>
      <c r="E81" s="468"/>
      <c r="F81" s="468"/>
      <c r="G81" s="468"/>
      <c r="H81" s="468"/>
      <c r="I81" s="468"/>
      <c r="J81" s="468"/>
      <c r="K81" s="468"/>
    </row>
    <row r="82" spans="1:11" ht="12.75" customHeight="1" thickBot="1" x14ac:dyDescent="0.25">
      <c r="A82" s="1708" t="s">
        <v>241</v>
      </c>
      <c r="B82" s="1709"/>
      <c r="C82" s="1707">
        <f>SUM(C77:C81)</f>
        <v>14043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5870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v>1280</v>
      </c>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7150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50000</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476</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1100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5</v>
      </c>
      <c r="D106" s="489"/>
      <c r="E106" s="467"/>
      <c r="F106" s="467"/>
      <c r="G106" s="467"/>
      <c r="H106" s="467"/>
      <c r="I106" s="521"/>
      <c r="J106" s="467"/>
      <c r="K106" s="467"/>
    </row>
    <row r="107" spans="1:12" ht="12.75" customHeight="1" x14ac:dyDescent="0.2">
      <c r="A107" s="463" t="s">
        <v>78</v>
      </c>
      <c r="B107" s="470">
        <v>1999</v>
      </c>
      <c r="C107" s="551">
        <v>8154</v>
      </c>
      <c r="D107" s="466">
        <v>1889</v>
      </c>
      <c r="E107" s="466"/>
      <c r="F107" s="466">
        <v>1379</v>
      </c>
      <c r="G107" s="466"/>
      <c r="H107" s="466"/>
      <c r="I107" s="466"/>
      <c r="J107" s="467">
        <v>265</v>
      </c>
      <c r="K107" s="466"/>
    </row>
    <row r="108" spans="1:12" ht="12.75" customHeight="1" thickBot="1" x14ac:dyDescent="0.25">
      <c r="A108" s="1708" t="s">
        <v>487</v>
      </c>
      <c r="B108" s="1712"/>
      <c r="C108" s="1707">
        <f>SUM(C95:C107)</f>
        <v>9735</v>
      </c>
      <c r="D108" s="1707">
        <f t="shared" ref="D108:K108" si="3">SUM(D95:D107)</f>
        <v>51889</v>
      </c>
      <c r="E108" s="1707">
        <f t="shared" si="3"/>
        <v>0</v>
      </c>
      <c r="F108" s="1707">
        <f t="shared" si="3"/>
        <v>1379</v>
      </c>
      <c r="G108" s="1707">
        <f t="shared" si="3"/>
        <v>0</v>
      </c>
      <c r="H108" s="1707">
        <f t="shared" si="3"/>
        <v>0</v>
      </c>
      <c r="I108" s="1707">
        <f t="shared" si="3"/>
        <v>0</v>
      </c>
      <c r="J108" s="1707">
        <f t="shared" si="3"/>
        <v>265</v>
      </c>
      <c r="K108" s="1688">
        <f t="shared" si="3"/>
        <v>0</v>
      </c>
    </row>
    <row r="109" spans="1:12" ht="14.25" thickTop="1" thickBot="1" x14ac:dyDescent="0.25">
      <c r="A109" s="1713" t="s">
        <v>248</v>
      </c>
      <c r="B109" s="1714" t="s">
        <v>570</v>
      </c>
      <c r="C109" s="1715">
        <f t="shared" ref="C109:K109" si="4">SUM(C12,C18,C40,C63,C67,C75,C82,C93,C108,)</f>
        <v>754784</v>
      </c>
      <c r="D109" s="1715">
        <f t="shared" si="4"/>
        <v>189805</v>
      </c>
      <c r="E109" s="1715">
        <f t="shared" si="4"/>
        <v>293864</v>
      </c>
      <c r="F109" s="1715">
        <f t="shared" si="4"/>
        <v>57254</v>
      </c>
      <c r="G109" s="1715">
        <f t="shared" si="4"/>
        <v>65104</v>
      </c>
      <c r="H109" s="1715">
        <f t="shared" si="4"/>
        <v>0</v>
      </c>
      <c r="I109" s="1715">
        <f t="shared" si="4"/>
        <v>13863</v>
      </c>
      <c r="J109" s="1715">
        <f t="shared" si="4"/>
        <v>188410</v>
      </c>
      <c r="K109" s="1702">
        <f t="shared" si="4"/>
        <v>14182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1138467</v>
      </c>
      <c r="D117" s="481"/>
      <c r="E117" s="466"/>
      <c r="F117" s="481">
        <v>113847</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1138467</v>
      </c>
      <c r="D122" s="1707">
        <f t="shared" si="5"/>
        <v>0</v>
      </c>
      <c r="E122" s="1707">
        <f t="shared" si="5"/>
        <v>0</v>
      </c>
      <c r="F122" s="1707">
        <f t="shared" si="5"/>
        <v>113847</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10912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10912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13022</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2869</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15891</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2357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1523</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53899</v>
      </c>
      <c r="G152" s="467"/>
      <c r="H152" s="468"/>
      <c r="I152" s="468"/>
      <c r="J152" s="468"/>
      <c r="K152" s="468"/>
    </row>
    <row r="153" spans="1:11" ht="12.75" customHeight="1" x14ac:dyDescent="0.2">
      <c r="A153" s="463" t="s">
        <v>1057</v>
      </c>
      <c r="B153" s="562">
        <v>3510</v>
      </c>
      <c r="C153" s="551"/>
      <c r="D153" s="466"/>
      <c r="E153" s="561"/>
      <c r="F153" s="466">
        <v>9096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62995</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99912</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25930</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156525</v>
      </c>
      <c r="D169" s="1722">
        <f t="shared" si="6"/>
        <v>0</v>
      </c>
      <c r="E169" s="1722">
        <f t="shared" si="6"/>
        <v>0</v>
      </c>
      <c r="F169" s="1722">
        <f t="shared" si="6"/>
        <v>62995</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1294992</v>
      </c>
      <c r="D170" s="1715">
        <f t="shared" si="7"/>
        <v>0</v>
      </c>
      <c r="E170" s="1715">
        <f t="shared" si="7"/>
        <v>0</v>
      </c>
      <c r="F170" s="1715">
        <f t="shared" si="7"/>
        <v>176842</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v>23661</v>
      </c>
      <c r="D174" s="466"/>
      <c r="E174" s="467"/>
      <c r="F174" s="466"/>
      <c r="G174" s="466"/>
      <c r="H174" s="467"/>
      <c r="I174" s="467"/>
      <c r="J174" s="467"/>
      <c r="K174" s="467"/>
    </row>
    <row r="175" spans="1:11" ht="13.5" thickBot="1" x14ac:dyDescent="0.25">
      <c r="A175" s="2153" t="s">
        <v>1665</v>
      </c>
      <c r="B175" s="2154"/>
      <c r="C175" s="1707">
        <f>SUM(C173:C174)</f>
        <v>23661</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85197</v>
      </c>
      <c r="D191" s="468"/>
      <c r="E191" s="561"/>
      <c r="F191" s="468"/>
      <c r="G191" s="585"/>
      <c r="H191" s="468"/>
      <c r="I191" s="468"/>
      <c r="J191" s="468"/>
      <c r="K191" s="468"/>
    </row>
    <row r="192" spans="1:11" ht="12.75" customHeight="1" x14ac:dyDescent="0.2">
      <c r="A192" s="463" t="s">
        <v>1047</v>
      </c>
      <c r="B192" s="470">
        <v>4215</v>
      </c>
      <c r="C192" s="551">
        <v>1156</v>
      </c>
      <c r="D192" s="468"/>
      <c r="E192" s="561"/>
      <c r="F192" s="468"/>
      <c r="G192" s="585"/>
      <c r="H192" s="468"/>
      <c r="I192" s="468"/>
      <c r="J192" s="468"/>
      <c r="K192" s="468"/>
    </row>
    <row r="193" spans="1:11" ht="12.75" customHeight="1" x14ac:dyDescent="0.2">
      <c r="A193" s="463" t="s">
        <v>1059</v>
      </c>
      <c r="B193" s="470">
        <v>4220</v>
      </c>
      <c r="C193" s="551">
        <v>35076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121429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51409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51409</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4012</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4012</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2546</v>
      </c>
      <c r="D220" s="466"/>
      <c r="E220" s="468"/>
      <c r="F220" s="468"/>
      <c r="G220" s="466"/>
      <c r="H220" s="468"/>
      <c r="I220" s="468"/>
      <c r="J220" s="468"/>
      <c r="K220" s="468"/>
    </row>
    <row r="221" spans="1:11" ht="12.75" customHeight="1" thickBot="1" x14ac:dyDescent="0.25">
      <c r="A221" s="1723" t="s">
        <v>1085</v>
      </c>
      <c r="B221" s="1724"/>
      <c r="C221" s="1707">
        <f>SUM(C219:C220)</f>
        <v>2546</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1810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5009</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4999</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191214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214875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2264651</v>
      </c>
      <c r="D268" s="1715">
        <f t="shared" si="12"/>
        <v>189805</v>
      </c>
      <c r="E268" s="1715">
        <f t="shared" si="12"/>
        <v>293864</v>
      </c>
      <c r="F268" s="1715">
        <f t="shared" si="12"/>
        <v>234096</v>
      </c>
      <c r="G268" s="1715">
        <f t="shared" si="12"/>
        <v>65104</v>
      </c>
      <c r="H268" s="1715">
        <f t="shared" si="12"/>
        <v>0</v>
      </c>
      <c r="I268" s="1715">
        <f t="shared" si="12"/>
        <v>13863</v>
      </c>
      <c r="J268" s="1715">
        <f t="shared" si="12"/>
        <v>188410</v>
      </c>
      <c r="K268" s="1702">
        <f t="shared" si="12"/>
        <v>14182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10" orientation="landscape" useFirstPageNumber="1" r:id="rId1"/>
  <headerFooter alignWithMargins="0">
    <oddHeader>&amp;L&amp;8Page &amp;P&amp;C&amp;"Arial,Bold"&amp;9STATEMENT OF REVENUES RECEIVED/REVENUES
FOR THE YEAR ENDING JUNE 30, 2019&amp;R&amp;8Page &amp;P</oddHeader>
    <oddFooter>&amp;CThe Notes to the Financial Statements are an intregal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8" activePane="bottomLeft" state="frozen"/>
      <selection pane="bottomLeft" activeCell="L321" sqref="L32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622317</v>
      </c>
      <c r="D5" s="466">
        <v>18640</v>
      </c>
      <c r="E5" s="466">
        <v>51924</v>
      </c>
      <c r="F5" s="466">
        <v>32521</v>
      </c>
      <c r="G5" s="466"/>
      <c r="H5" s="466">
        <v>8826</v>
      </c>
      <c r="I5" s="467"/>
      <c r="J5" s="467"/>
      <c r="K5" s="1671">
        <f>SUM(C5:J5)</f>
        <v>734228</v>
      </c>
      <c r="L5" s="466">
        <v>732300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70414</v>
      </c>
      <c r="D7" s="467">
        <v>2512</v>
      </c>
      <c r="E7" s="467">
        <v>579</v>
      </c>
      <c r="F7" s="467">
        <v>6024</v>
      </c>
      <c r="G7" s="467"/>
      <c r="H7" s="467"/>
      <c r="I7" s="467"/>
      <c r="J7" s="467"/>
      <c r="K7" s="1671">
        <f t="shared" ref="K7:K32" si="0">SUM(C7:J7)</f>
        <v>79529</v>
      </c>
      <c r="L7" s="466">
        <v>78600</v>
      </c>
    </row>
    <row r="8" spans="1:14" x14ac:dyDescent="0.2">
      <c r="A8" s="1504" t="s">
        <v>164</v>
      </c>
      <c r="B8" s="614">
        <v>1200</v>
      </c>
      <c r="C8" s="466">
        <v>186457</v>
      </c>
      <c r="D8" s="466">
        <v>7280</v>
      </c>
      <c r="E8" s="466">
        <v>431</v>
      </c>
      <c r="F8" s="466">
        <v>1089</v>
      </c>
      <c r="G8" s="466"/>
      <c r="H8" s="466">
        <v>550</v>
      </c>
      <c r="I8" s="467"/>
      <c r="J8" s="467"/>
      <c r="K8" s="1671">
        <f t="shared" si="0"/>
        <v>195807</v>
      </c>
      <c r="L8" s="466">
        <v>187125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35441</v>
      </c>
      <c r="D10" s="466">
        <v>1</v>
      </c>
      <c r="E10" s="466">
        <v>8651</v>
      </c>
      <c r="F10" s="466">
        <v>4407</v>
      </c>
      <c r="G10" s="466">
        <v>1275</v>
      </c>
      <c r="H10" s="466"/>
      <c r="I10" s="467"/>
      <c r="J10" s="467"/>
      <c r="K10" s="1671">
        <f t="shared" si="0"/>
        <v>49775</v>
      </c>
      <c r="L10" s="466">
        <v>68050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36249</v>
      </c>
      <c r="D13" s="466">
        <v>2139</v>
      </c>
      <c r="E13" s="466">
        <v>12902</v>
      </c>
      <c r="F13" s="466">
        <v>4195</v>
      </c>
      <c r="G13" s="466">
        <v>4985</v>
      </c>
      <c r="H13" s="466"/>
      <c r="I13" s="467"/>
      <c r="J13" s="467"/>
      <c r="K13" s="1671">
        <f t="shared" si="0"/>
        <v>60470</v>
      </c>
      <c r="L13" s="466">
        <v>60600</v>
      </c>
    </row>
    <row r="14" spans="1:14" x14ac:dyDescent="0.2">
      <c r="A14" s="1504" t="s">
        <v>963</v>
      </c>
      <c r="B14" s="614">
        <v>1500</v>
      </c>
      <c r="C14" s="466">
        <v>65679</v>
      </c>
      <c r="D14" s="466">
        <v>788</v>
      </c>
      <c r="E14" s="466">
        <v>6201</v>
      </c>
      <c r="F14" s="466">
        <v>3844</v>
      </c>
      <c r="G14" s="466"/>
      <c r="H14" s="466">
        <v>5853</v>
      </c>
      <c r="I14" s="467"/>
      <c r="J14" s="467"/>
      <c r="K14" s="1671">
        <f t="shared" si="0"/>
        <v>82365</v>
      </c>
      <c r="L14" s="466">
        <v>83000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4241</v>
      </c>
      <c r="D17" s="467">
        <v>77</v>
      </c>
      <c r="E17" s="467">
        <v>75</v>
      </c>
      <c r="F17" s="467"/>
      <c r="G17" s="467"/>
      <c r="H17" s="467"/>
      <c r="I17" s="467"/>
      <c r="J17" s="467"/>
      <c r="K17" s="1671">
        <f t="shared" si="0"/>
        <v>4393</v>
      </c>
      <c r="L17" s="466">
        <v>4290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1020798</v>
      </c>
      <c r="D33" s="1670">
        <f t="shared" ref="D33:L33" si="1">SUM(D5:D32)</f>
        <v>31437</v>
      </c>
      <c r="E33" s="1670">
        <f t="shared" si="1"/>
        <v>80763</v>
      </c>
      <c r="F33" s="1670">
        <f t="shared" si="1"/>
        <v>52080</v>
      </c>
      <c r="G33" s="1670">
        <f t="shared" si="1"/>
        <v>6260</v>
      </c>
      <c r="H33" s="1670">
        <f t="shared" si="1"/>
        <v>15229</v>
      </c>
      <c r="I33" s="1670">
        <f t="shared" si="1"/>
        <v>0</v>
      </c>
      <c r="J33" s="1670">
        <f t="shared" si="1"/>
        <v>0</v>
      </c>
      <c r="K33" s="1670">
        <f t="shared" si="1"/>
        <v>1206567</v>
      </c>
      <c r="L33" s="1670">
        <f t="shared" si="1"/>
        <v>1213965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53285</v>
      </c>
      <c r="D37" s="466">
        <v>2327</v>
      </c>
      <c r="E37" s="466"/>
      <c r="F37" s="466">
        <v>46</v>
      </c>
      <c r="G37" s="466">
        <v>595</v>
      </c>
      <c r="H37" s="466"/>
      <c r="I37" s="467"/>
      <c r="J37" s="467"/>
      <c r="K37" s="1671">
        <f t="shared" si="2"/>
        <v>56253</v>
      </c>
      <c r="L37" s="466">
        <v>54425</v>
      </c>
    </row>
    <row r="38" spans="1:14" x14ac:dyDescent="0.2">
      <c r="A38" s="1504" t="s">
        <v>198</v>
      </c>
      <c r="B38" s="614">
        <v>2130</v>
      </c>
      <c r="C38" s="466">
        <v>708</v>
      </c>
      <c r="D38" s="466">
        <v>3</v>
      </c>
      <c r="E38" s="466">
        <v>1200</v>
      </c>
      <c r="F38" s="466">
        <v>1257</v>
      </c>
      <c r="G38" s="466"/>
      <c r="H38" s="466"/>
      <c r="I38" s="467"/>
      <c r="J38" s="467"/>
      <c r="K38" s="1671">
        <f t="shared" si="2"/>
        <v>3168</v>
      </c>
      <c r="L38" s="466">
        <v>26660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v>4326</v>
      </c>
      <c r="D41" s="466">
        <v>22</v>
      </c>
      <c r="E41" s="466"/>
      <c r="F41" s="466"/>
      <c r="G41" s="466"/>
      <c r="H41" s="466"/>
      <c r="I41" s="467"/>
      <c r="J41" s="467"/>
      <c r="K41" s="1671">
        <f t="shared" si="2"/>
        <v>4348</v>
      </c>
      <c r="L41" s="466">
        <v>875</v>
      </c>
    </row>
    <row r="42" spans="1:14" ht="12.75" customHeight="1" thickBot="1" x14ac:dyDescent="0.25">
      <c r="A42" s="1668" t="s">
        <v>560</v>
      </c>
      <c r="B42" s="1669" t="s">
        <v>716</v>
      </c>
      <c r="C42" s="1670">
        <f>SUM(C36:C41)</f>
        <v>58319</v>
      </c>
      <c r="D42" s="1670">
        <f t="shared" ref="D42:L42" si="3">SUM(D36:D41)</f>
        <v>2352</v>
      </c>
      <c r="E42" s="1670">
        <f t="shared" si="3"/>
        <v>1200</v>
      </c>
      <c r="F42" s="1670">
        <f t="shared" si="3"/>
        <v>1303</v>
      </c>
      <c r="G42" s="1670">
        <f t="shared" si="3"/>
        <v>595</v>
      </c>
      <c r="H42" s="1670">
        <f t="shared" si="3"/>
        <v>0</v>
      </c>
      <c r="I42" s="1670">
        <f t="shared" si="3"/>
        <v>0</v>
      </c>
      <c r="J42" s="1670">
        <f t="shared" si="3"/>
        <v>0</v>
      </c>
      <c r="K42" s="1670">
        <f t="shared" si="3"/>
        <v>63769</v>
      </c>
      <c r="L42" s="1670">
        <f t="shared" si="3"/>
        <v>81960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7551</v>
      </c>
      <c r="F44" s="481">
        <v>5235</v>
      </c>
      <c r="G44" s="481">
        <v>11153</v>
      </c>
      <c r="H44" s="481">
        <v>6475</v>
      </c>
      <c r="I44" s="467"/>
      <c r="J44" s="467"/>
      <c r="K44" s="1672">
        <f>SUM(C44:J44)</f>
        <v>30414</v>
      </c>
      <c r="L44" s="481">
        <v>36570</v>
      </c>
    </row>
    <row r="45" spans="1:14" x14ac:dyDescent="0.2">
      <c r="A45" s="1504" t="s">
        <v>815</v>
      </c>
      <c r="B45" s="614">
        <v>2220</v>
      </c>
      <c r="C45" s="466">
        <v>41085</v>
      </c>
      <c r="D45" s="466">
        <v>1856</v>
      </c>
      <c r="E45" s="466">
        <v>308</v>
      </c>
      <c r="F45" s="466">
        <v>5281</v>
      </c>
      <c r="G45" s="466"/>
      <c r="H45" s="466">
        <v>1240</v>
      </c>
      <c r="I45" s="467"/>
      <c r="J45" s="467"/>
      <c r="K45" s="1672">
        <f>SUM(C45:J45)</f>
        <v>49770</v>
      </c>
      <c r="L45" s="466">
        <v>50400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41085</v>
      </c>
      <c r="D47" s="1670">
        <f t="shared" ref="D47:K47" si="4">SUM(D44:D46)</f>
        <v>1856</v>
      </c>
      <c r="E47" s="1670">
        <f t="shared" si="4"/>
        <v>7859</v>
      </c>
      <c r="F47" s="1670">
        <f t="shared" si="4"/>
        <v>10516</v>
      </c>
      <c r="G47" s="1670">
        <f t="shared" si="4"/>
        <v>11153</v>
      </c>
      <c r="H47" s="1670">
        <f t="shared" si="4"/>
        <v>7715</v>
      </c>
      <c r="I47" s="1670">
        <f t="shared" si="4"/>
        <v>0</v>
      </c>
      <c r="J47" s="1670">
        <f t="shared" si="4"/>
        <v>0</v>
      </c>
      <c r="K47" s="1670">
        <f t="shared" si="4"/>
        <v>80184</v>
      </c>
      <c r="L47" s="1670">
        <f>SUM(L44:L46)</f>
        <v>86970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766</v>
      </c>
      <c r="D49" s="481"/>
      <c r="E49" s="481">
        <v>13160</v>
      </c>
      <c r="F49" s="481">
        <v>2274</v>
      </c>
      <c r="G49" s="481"/>
      <c r="H49" s="481">
        <v>2524</v>
      </c>
      <c r="I49" s="467"/>
      <c r="J49" s="467"/>
      <c r="K49" s="1672">
        <f>SUM(C49:J49)</f>
        <v>18724</v>
      </c>
      <c r="L49" s="481">
        <v>19010</v>
      </c>
    </row>
    <row r="50" spans="1:14" x14ac:dyDescent="0.2">
      <c r="A50" s="1504" t="s">
        <v>818</v>
      </c>
      <c r="B50" s="614">
        <v>2320</v>
      </c>
      <c r="C50" s="466">
        <v>59386</v>
      </c>
      <c r="D50" s="466">
        <v>1713</v>
      </c>
      <c r="E50" s="466">
        <v>1369</v>
      </c>
      <c r="F50" s="466"/>
      <c r="G50" s="466"/>
      <c r="H50" s="466">
        <v>880</v>
      </c>
      <c r="I50" s="467"/>
      <c r="J50" s="467"/>
      <c r="K50" s="1672">
        <f>SUM(C50:J50)</f>
        <v>63348</v>
      </c>
      <c r="L50" s="466">
        <v>69895</v>
      </c>
    </row>
    <row r="51" spans="1:14" x14ac:dyDescent="0.2">
      <c r="A51" s="1504" t="s">
        <v>42</v>
      </c>
      <c r="B51" s="614">
        <v>2330</v>
      </c>
      <c r="C51" s="466">
        <v>69657</v>
      </c>
      <c r="D51" s="466">
        <v>1921</v>
      </c>
      <c r="E51" s="466"/>
      <c r="F51" s="466"/>
      <c r="G51" s="466"/>
      <c r="H51" s="466"/>
      <c r="I51" s="467"/>
      <c r="J51" s="467"/>
      <c r="K51" s="1672">
        <f>SUM(C51:J51)</f>
        <v>71578</v>
      </c>
      <c r="L51" s="466">
        <v>77550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129809</v>
      </c>
      <c r="D53" s="1670">
        <f t="shared" ref="D53:L53" si="5">SUM(D49:D52)</f>
        <v>3634</v>
      </c>
      <c r="E53" s="1670">
        <f t="shared" si="5"/>
        <v>14529</v>
      </c>
      <c r="F53" s="1670">
        <f t="shared" si="5"/>
        <v>2274</v>
      </c>
      <c r="G53" s="1670">
        <f t="shared" si="5"/>
        <v>0</v>
      </c>
      <c r="H53" s="1670">
        <f t="shared" si="5"/>
        <v>3404</v>
      </c>
      <c r="I53" s="1670">
        <f t="shared" si="5"/>
        <v>0</v>
      </c>
      <c r="J53" s="1670">
        <f t="shared" si="5"/>
        <v>0</v>
      </c>
      <c r="K53" s="1670">
        <f t="shared" si="5"/>
        <v>153650</v>
      </c>
      <c r="L53" s="1670">
        <f t="shared" si="5"/>
        <v>166455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130556</v>
      </c>
      <c r="D55" s="481">
        <v>4580</v>
      </c>
      <c r="E55" s="481">
        <v>253</v>
      </c>
      <c r="F55" s="481">
        <v>55</v>
      </c>
      <c r="G55" s="481"/>
      <c r="H55" s="481">
        <v>395</v>
      </c>
      <c r="I55" s="467"/>
      <c r="J55" s="467"/>
      <c r="K55" s="1672">
        <f>SUM(C55:J55)</f>
        <v>135839</v>
      </c>
      <c r="L55" s="481">
        <v>145665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130556</v>
      </c>
      <c r="D57" s="1674">
        <f t="shared" ref="D57:K57" si="6">SUM(D55:D56)</f>
        <v>4580</v>
      </c>
      <c r="E57" s="1674">
        <f t="shared" si="6"/>
        <v>253</v>
      </c>
      <c r="F57" s="1674">
        <f t="shared" si="6"/>
        <v>55</v>
      </c>
      <c r="G57" s="1674">
        <f t="shared" si="6"/>
        <v>0</v>
      </c>
      <c r="H57" s="1674">
        <f t="shared" si="6"/>
        <v>395</v>
      </c>
      <c r="I57" s="1674">
        <f t="shared" si="6"/>
        <v>0</v>
      </c>
      <c r="J57" s="1674">
        <f t="shared" si="6"/>
        <v>0</v>
      </c>
      <c r="K57" s="1674">
        <f t="shared" si="6"/>
        <v>135839</v>
      </c>
      <c r="L57" s="1670">
        <f>SUM(L55:L56)</f>
        <v>145665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39036</v>
      </c>
      <c r="D60" s="466">
        <v>256</v>
      </c>
      <c r="E60" s="466">
        <v>1482</v>
      </c>
      <c r="F60" s="466">
        <v>1692</v>
      </c>
      <c r="G60" s="466"/>
      <c r="H60" s="466">
        <v>6620</v>
      </c>
      <c r="I60" s="467"/>
      <c r="J60" s="467"/>
      <c r="K60" s="1672">
        <f t="shared" si="7"/>
        <v>49086</v>
      </c>
      <c r="L60" s="466">
        <v>53400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v>142517</v>
      </c>
      <c r="F63" s="466">
        <v>1531</v>
      </c>
      <c r="G63" s="466"/>
      <c r="H63" s="466"/>
      <c r="I63" s="467"/>
      <c r="J63" s="467"/>
      <c r="K63" s="1672">
        <f t="shared" si="7"/>
        <v>144048</v>
      </c>
      <c r="L63" s="466">
        <v>141400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39036</v>
      </c>
      <c r="D65" s="1670">
        <f t="shared" ref="D65:L65" si="8">SUM(D59:D64)</f>
        <v>256</v>
      </c>
      <c r="E65" s="1670">
        <f t="shared" si="8"/>
        <v>143999</v>
      </c>
      <c r="F65" s="1670">
        <f t="shared" si="8"/>
        <v>3223</v>
      </c>
      <c r="G65" s="1670">
        <f t="shared" si="8"/>
        <v>0</v>
      </c>
      <c r="H65" s="1670">
        <f t="shared" si="8"/>
        <v>6620</v>
      </c>
      <c r="I65" s="1670">
        <f t="shared" si="8"/>
        <v>0</v>
      </c>
      <c r="J65" s="1670">
        <f t="shared" si="8"/>
        <v>0</v>
      </c>
      <c r="K65" s="1670">
        <f t="shared" si="8"/>
        <v>193134</v>
      </c>
      <c r="L65" s="1670">
        <f t="shared" si="8"/>
        <v>194800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v>30295</v>
      </c>
      <c r="F73" s="573"/>
      <c r="G73" s="573"/>
      <c r="H73" s="573"/>
      <c r="I73" s="531"/>
      <c r="J73" s="531"/>
      <c r="K73" s="1670">
        <f>SUM(C73:J73)</f>
        <v>30295</v>
      </c>
      <c r="L73" s="576">
        <v>30500</v>
      </c>
      <c r="M73" s="609"/>
      <c r="N73" s="609"/>
    </row>
    <row r="74" spans="1:14" ht="12.75" customHeight="1" thickTop="1" thickBot="1" x14ac:dyDescent="0.25">
      <c r="A74" s="1668" t="s">
        <v>811</v>
      </c>
      <c r="B74" s="1676">
        <v>2000</v>
      </c>
      <c r="C74" s="1677">
        <f>SUM(C42,C47,C53,C57,C65,C72,C73)</f>
        <v>398805</v>
      </c>
      <c r="D74" s="1677">
        <f t="shared" ref="D74:K74" si="10">SUM(D42,D47,D53,D57,D65,D72,D73)</f>
        <v>12678</v>
      </c>
      <c r="E74" s="1677">
        <f t="shared" si="10"/>
        <v>198135</v>
      </c>
      <c r="F74" s="1677">
        <f t="shared" si="10"/>
        <v>17371</v>
      </c>
      <c r="G74" s="1677">
        <f t="shared" si="10"/>
        <v>11748</v>
      </c>
      <c r="H74" s="1677">
        <f t="shared" si="10"/>
        <v>18134</v>
      </c>
      <c r="I74" s="1677">
        <f t="shared" si="10"/>
        <v>0</v>
      </c>
      <c r="J74" s="1677">
        <f t="shared" si="10"/>
        <v>0</v>
      </c>
      <c r="K74" s="1677">
        <f t="shared" si="10"/>
        <v>656871</v>
      </c>
      <c r="L74" s="1677">
        <f>SUM(L42,L47,L53,L57,L65,L72,L73)</f>
        <v>706350</v>
      </c>
    </row>
    <row r="75" spans="1:14" s="259" customFormat="1" ht="15.75" customHeight="1" thickTop="1" thickBot="1" x14ac:dyDescent="0.25">
      <c r="A75" s="1610" t="s">
        <v>47</v>
      </c>
      <c r="B75" s="1611" t="s">
        <v>575</v>
      </c>
      <c r="C75" s="573">
        <v>7975</v>
      </c>
      <c r="D75" s="573">
        <v>76</v>
      </c>
      <c r="E75" s="573">
        <v>560</v>
      </c>
      <c r="F75" s="573">
        <v>594</v>
      </c>
      <c r="G75" s="573"/>
      <c r="H75" s="573"/>
      <c r="I75" s="531"/>
      <c r="J75" s="531"/>
      <c r="K75" s="1670">
        <f>SUM(C75:J75)</f>
        <v>9205</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1500</v>
      </c>
      <c r="F78" s="616"/>
      <c r="G78" s="616"/>
      <c r="H78" s="634"/>
      <c r="I78" s="477"/>
      <c r="J78" s="477"/>
      <c r="K78" s="1671">
        <f t="shared" ref="K78:K83" si="11">SUM(C78:J78)</f>
        <v>1500</v>
      </c>
      <c r="L78" s="481">
        <v>200</v>
      </c>
    </row>
    <row r="79" spans="1:14" x14ac:dyDescent="0.2">
      <c r="A79" s="1504" t="s">
        <v>304</v>
      </c>
      <c r="B79" s="614">
        <v>4120</v>
      </c>
      <c r="C79" s="616"/>
      <c r="D79" s="616"/>
      <c r="E79" s="466"/>
      <c r="F79" s="616"/>
      <c r="G79" s="616"/>
      <c r="H79" s="466">
        <v>74784</v>
      </c>
      <c r="I79" s="477"/>
      <c r="J79" s="477"/>
      <c r="K79" s="1671">
        <f t="shared" si="11"/>
        <v>74784</v>
      </c>
      <c r="L79" s="466">
        <v>74780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1500</v>
      </c>
      <c r="F84" s="616"/>
      <c r="G84" s="616"/>
      <c r="H84" s="1670">
        <f>SUM(H78:H83)</f>
        <v>74784</v>
      </c>
      <c r="I84" s="477"/>
      <c r="J84" s="477"/>
      <c r="K84" s="1670">
        <f>SUM(K78:K83)</f>
        <v>76284</v>
      </c>
      <c r="L84" s="1670">
        <f>SUM(L78:L83)</f>
        <v>74980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1500</v>
      </c>
      <c r="F102" s="616"/>
      <c r="G102" s="616"/>
      <c r="H102" s="1677">
        <f>SUM(H84,H92,H100,H101)</f>
        <v>74784</v>
      </c>
      <c r="I102" s="477"/>
      <c r="J102" s="477"/>
      <c r="K102" s="1677">
        <f>SUM(K84,K92,K100,K101)</f>
        <v>76284</v>
      </c>
      <c r="L102" s="1677">
        <f>SUM(L84,L92,L100,L101)</f>
        <v>74980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1427578</v>
      </c>
      <c r="D114" s="1670">
        <f t="shared" ref="D114:K114" si="13">SUM(D33,D74,D75,D102,D112,D113)</f>
        <v>44191</v>
      </c>
      <c r="E114" s="1670">
        <f t="shared" si="13"/>
        <v>280958</v>
      </c>
      <c r="F114" s="1670">
        <f t="shared" si="13"/>
        <v>70045</v>
      </c>
      <c r="G114" s="1670">
        <f t="shared" si="13"/>
        <v>18008</v>
      </c>
      <c r="H114" s="1670">
        <f>SUM(H33,H74,H75,H102,H112,H113)</f>
        <v>108147</v>
      </c>
      <c r="I114" s="1670">
        <f t="shared" si="13"/>
        <v>0</v>
      </c>
      <c r="J114" s="1670">
        <f t="shared" si="13"/>
        <v>0</v>
      </c>
      <c r="K114" s="1670">
        <f t="shared" si="13"/>
        <v>1948927</v>
      </c>
      <c r="L114" s="1670">
        <f>SUM(L33,L74,L75,L102,L112,L113)</f>
        <v>1995295</v>
      </c>
    </row>
    <row r="115" spans="1:14" ht="13.5" thickTop="1" x14ac:dyDescent="0.2">
      <c r="A115" s="2184" t="s">
        <v>996</v>
      </c>
      <c r="B115" s="2185"/>
      <c r="C115" s="618"/>
      <c r="D115" s="618"/>
      <c r="E115" s="618"/>
      <c r="F115" s="618"/>
      <c r="G115" s="618"/>
      <c r="H115" s="618"/>
      <c r="I115" s="618"/>
      <c r="J115" s="618"/>
      <c r="K115" s="1684">
        <f>'Revenues 9-14'!C268-'Expenditures 15-22'!K114</f>
        <v>315724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60701</v>
      </c>
      <c r="D124" s="466"/>
      <c r="E124" s="466"/>
      <c r="F124" s="466">
        <v>79544</v>
      </c>
      <c r="G124" s="466">
        <v>104630</v>
      </c>
      <c r="H124" s="466">
        <v>2002</v>
      </c>
      <c r="I124" s="467"/>
      <c r="J124" s="467"/>
      <c r="K124" s="1670">
        <f>SUM(C124:J124)</f>
        <v>246877</v>
      </c>
      <c r="L124" s="466">
        <v>269550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60701</v>
      </c>
      <c r="D127" s="1670">
        <f t="shared" ref="D127:L127" si="14">SUM(D122:D126)</f>
        <v>0</v>
      </c>
      <c r="E127" s="1670">
        <f t="shared" si="14"/>
        <v>0</v>
      </c>
      <c r="F127" s="1670">
        <f t="shared" si="14"/>
        <v>79544</v>
      </c>
      <c r="G127" s="1670">
        <f t="shared" si="14"/>
        <v>104630</v>
      </c>
      <c r="H127" s="1670">
        <f t="shared" si="14"/>
        <v>2002</v>
      </c>
      <c r="I127" s="1670">
        <f t="shared" si="14"/>
        <v>0</v>
      </c>
      <c r="J127" s="1670">
        <f t="shared" si="14"/>
        <v>0</v>
      </c>
      <c r="K127" s="1670">
        <f t="shared" si="14"/>
        <v>246877</v>
      </c>
      <c r="L127" s="1670">
        <f t="shared" si="14"/>
        <v>269550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60701</v>
      </c>
      <c r="D129" s="1677">
        <f t="shared" ref="D129:L129" si="15">SUM(D120,D127,D128)</f>
        <v>0</v>
      </c>
      <c r="E129" s="1677">
        <f t="shared" si="15"/>
        <v>0</v>
      </c>
      <c r="F129" s="1677">
        <f t="shared" si="15"/>
        <v>79544</v>
      </c>
      <c r="G129" s="1677">
        <f t="shared" si="15"/>
        <v>104630</v>
      </c>
      <c r="H129" s="1677">
        <f t="shared" si="15"/>
        <v>2002</v>
      </c>
      <c r="I129" s="1677">
        <f t="shared" si="15"/>
        <v>0</v>
      </c>
      <c r="J129" s="1677">
        <f t="shared" si="15"/>
        <v>0</v>
      </c>
      <c r="K129" s="1677">
        <f t="shared" si="15"/>
        <v>246877</v>
      </c>
      <c r="L129" s="1677">
        <f t="shared" si="15"/>
        <v>269550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6"/>
      <c r="C151" s="1670">
        <f>SUM(C129,C130,C139,C149,C150)</f>
        <v>60701</v>
      </c>
      <c r="D151" s="1670">
        <f t="shared" ref="D151:K151" si="16">SUM(D129,D130,D139,D149,D150)</f>
        <v>0</v>
      </c>
      <c r="E151" s="1670">
        <f t="shared" si="16"/>
        <v>0</v>
      </c>
      <c r="F151" s="1670">
        <f t="shared" si="16"/>
        <v>79544</v>
      </c>
      <c r="G151" s="1670">
        <f t="shared" si="16"/>
        <v>104630</v>
      </c>
      <c r="H151" s="1670">
        <f t="shared" si="16"/>
        <v>2002</v>
      </c>
      <c r="I151" s="1670">
        <f t="shared" si="16"/>
        <v>0</v>
      </c>
      <c r="J151" s="1670">
        <f t="shared" si="16"/>
        <v>0</v>
      </c>
      <c r="K151" s="1670">
        <f t="shared" si="16"/>
        <v>246877</v>
      </c>
      <c r="L151" s="1670">
        <f>SUM(L129,L130,L139,L149,L150)</f>
        <v>269550</v>
      </c>
    </row>
    <row r="152" spans="1:14" ht="12.75" customHeight="1" thickTop="1" x14ac:dyDescent="0.2">
      <c r="A152" s="2177" t="s">
        <v>1178</v>
      </c>
      <c r="B152" s="2178"/>
      <c r="C152" s="618"/>
      <c r="D152" s="618"/>
      <c r="E152" s="618"/>
      <c r="F152" s="618"/>
      <c r="G152" s="618"/>
      <c r="H152" s="618"/>
      <c r="I152" s="618"/>
      <c r="J152" s="616"/>
      <c r="K152" s="1684">
        <f>'Revenues 9-14'!D268-'Expenditures 15-22'!K151</f>
        <v>-57072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29613</v>
      </c>
      <c r="I169" s="616"/>
      <c r="J169" s="616"/>
      <c r="K169" s="1671">
        <f>SUM(C169:H169)</f>
        <v>29613</v>
      </c>
      <c r="L169" s="656">
        <v>29613</v>
      </c>
    </row>
    <row r="170" spans="1:14" ht="33.75" customHeight="1" x14ac:dyDescent="0.2">
      <c r="A170" s="669" t="s">
        <v>1670</v>
      </c>
      <c r="B170" s="671" t="s">
        <v>31</v>
      </c>
      <c r="C170" s="616"/>
      <c r="D170" s="616"/>
      <c r="E170" s="616"/>
      <c r="F170" s="616"/>
      <c r="G170" s="616"/>
      <c r="H170" s="569">
        <v>259600</v>
      </c>
      <c r="I170" s="616"/>
      <c r="J170" s="616"/>
      <c r="K170" s="1671">
        <f>SUM(C170:J170)</f>
        <v>259600</v>
      </c>
      <c r="L170" s="569">
        <v>259600</v>
      </c>
    </row>
    <row r="171" spans="1:14" ht="15.75" customHeight="1" x14ac:dyDescent="0.2">
      <c r="A171" s="621" t="s">
        <v>766</v>
      </c>
      <c r="B171" s="672" t="s">
        <v>84</v>
      </c>
      <c r="C171" s="616"/>
      <c r="D171" s="616"/>
      <c r="E171" s="466"/>
      <c r="F171" s="616"/>
      <c r="G171" s="616"/>
      <c r="H171" s="569">
        <v>700</v>
      </c>
      <c r="I171" s="477"/>
      <c r="J171" s="616"/>
      <c r="K171" s="1671">
        <f>SUM(C171:J171)</f>
        <v>700</v>
      </c>
      <c r="L171" s="569">
        <v>700</v>
      </c>
    </row>
    <row r="172" spans="1:14" ht="12.75" customHeight="1" thickBot="1" x14ac:dyDescent="0.25">
      <c r="A172" s="1668" t="s">
        <v>638</v>
      </c>
      <c r="B172" s="1669" t="s">
        <v>492</v>
      </c>
      <c r="C172" s="616"/>
      <c r="D172" s="616"/>
      <c r="E172" s="1677">
        <f>SUM(E168,E169,E170,E171)</f>
        <v>0</v>
      </c>
      <c r="F172" s="616"/>
      <c r="G172" s="616"/>
      <c r="H172" s="1677">
        <f>SUM(H168,H169,H170,H171)</f>
        <v>289913</v>
      </c>
      <c r="I172" s="638"/>
      <c r="J172" s="616"/>
      <c r="K172" s="1677">
        <f>SUM(K168,K169,K170,K171)</f>
        <v>289913</v>
      </c>
      <c r="L172" s="1677">
        <f>SUM(L168,L169,L170,L171)</f>
        <v>289913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289913</v>
      </c>
      <c r="I174" s="638"/>
      <c r="J174" s="616"/>
      <c r="K174" s="1677">
        <f>SUM(K160,K172,K173)</f>
        <v>289913</v>
      </c>
      <c r="L174" s="1677">
        <f>SUM(L160,L172,L173)</f>
        <v>289913</v>
      </c>
    </row>
    <row r="175" spans="1:14" ht="13.5" thickTop="1" x14ac:dyDescent="0.2">
      <c r="A175" s="2184" t="s">
        <v>996</v>
      </c>
      <c r="B175" s="2185"/>
      <c r="C175" s="616"/>
      <c r="D175" s="616"/>
      <c r="E175" s="616"/>
      <c r="F175" s="616"/>
      <c r="G175" s="616"/>
      <c r="H175" s="618"/>
      <c r="I175" s="616"/>
      <c r="J175" s="616"/>
      <c r="K175" s="1684">
        <f>'Revenues 9-14'!E268-'Expenditures 15-22'!K174</f>
        <v>3951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60303</v>
      </c>
      <c r="D182" s="466">
        <v>1879</v>
      </c>
      <c r="E182" s="466">
        <v>6331</v>
      </c>
      <c r="F182" s="466">
        <v>21525</v>
      </c>
      <c r="G182" s="466">
        <v>362675</v>
      </c>
      <c r="H182" s="466"/>
      <c r="I182" s="467"/>
      <c r="J182" s="467"/>
      <c r="K182" s="1671">
        <f>SUM(C182:J182)</f>
        <v>452713</v>
      </c>
      <c r="L182" s="466">
        <v>479500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60303</v>
      </c>
      <c r="D184" s="1677">
        <f t="shared" ref="D184:J184" si="17">SUM(D180,D182,D183)</f>
        <v>1879</v>
      </c>
      <c r="E184" s="1677">
        <f t="shared" si="17"/>
        <v>6331</v>
      </c>
      <c r="F184" s="1677">
        <f t="shared" si="17"/>
        <v>21525</v>
      </c>
      <c r="G184" s="1677">
        <f t="shared" si="17"/>
        <v>362675</v>
      </c>
      <c r="H184" s="1677">
        <f t="shared" si="17"/>
        <v>0</v>
      </c>
      <c r="I184" s="1677">
        <f t="shared" si="17"/>
        <v>0</v>
      </c>
      <c r="J184" s="1677">
        <f t="shared" si="17"/>
        <v>0</v>
      </c>
      <c r="K184" s="1677">
        <f>SUM(K180,K182,K183)</f>
        <v>452713</v>
      </c>
      <c r="L184" s="1677">
        <f>SUM(L180, L182:L183)</f>
        <v>479500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v>4476</v>
      </c>
      <c r="I193" s="477"/>
      <c r="J193" s="616"/>
      <c r="K193" s="1671">
        <f t="shared" si="18"/>
        <v>4476</v>
      </c>
      <c r="L193" s="466"/>
    </row>
    <row r="194" spans="1:14" ht="12.75" customHeight="1" thickBot="1" x14ac:dyDescent="0.25">
      <c r="A194" s="1668" t="s">
        <v>1140</v>
      </c>
      <c r="B194" s="1669" t="s">
        <v>559</v>
      </c>
      <c r="C194" s="616"/>
      <c r="D194" s="616"/>
      <c r="E194" s="1670">
        <f>SUM(E188:E193)</f>
        <v>0</v>
      </c>
      <c r="F194" s="616"/>
      <c r="G194" s="616"/>
      <c r="H194" s="1670">
        <f>SUM(H188:H193)</f>
        <v>4476</v>
      </c>
      <c r="I194" s="477"/>
      <c r="J194" s="616"/>
      <c r="K194" s="1670">
        <f>SUM(K188:K193)</f>
        <v>4476</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4476</v>
      </c>
      <c r="I196" s="477"/>
      <c r="J196" s="616"/>
      <c r="K196" s="1677">
        <f>SUM(K194,K195)</f>
        <v>4476</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60303</v>
      </c>
      <c r="D210" s="1670">
        <f>SUM(D184,D185)</f>
        <v>1879</v>
      </c>
      <c r="E210" s="1670">
        <f>SUM(E184,E185,E196)</f>
        <v>6331</v>
      </c>
      <c r="F210" s="1670">
        <f>SUM(F184,F185)</f>
        <v>21525</v>
      </c>
      <c r="G210" s="1670">
        <f>SUM(G184,G185)</f>
        <v>362675</v>
      </c>
      <c r="H210" s="1670">
        <f>SUM(H184,H185,H196,H208,H209)</f>
        <v>4476</v>
      </c>
      <c r="I210" s="1670">
        <f>SUM(I184,I185)</f>
        <v>0</v>
      </c>
      <c r="J210" s="1670">
        <f>SUM(J184,J185)</f>
        <v>0</v>
      </c>
      <c r="K210" s="1671">
        <f>SUM(K184,K185,K196,K208,K209)</f>
        <v>457189</v>
      </c>
      <c r="L210" s="1670">
        <f>SUM(L184,L185,L196,L208,L209)</f>
        <v>479500</v>
      </c>
    </row>
    <row r="211" spans="1:14" ht="13.5" thickTop="1" x14ac:dyDescent="0.2">
      <c r="A211" s="2184" t="s">
        <v>996</v>
      </c>
      <c r="B211" s="2185"/>
      <c r="C211" s="618"/>
      <c r="D211" s="618"/>
      <c r="E211" s="618"/>
      <c r="F211" s="618"/>
      <c r="G211" s="618"/>
      <c r="H211" s="618"/>
      <c r="I211" s="616"/>
      <c r="J211" s="616"/>
      <c r="K211" s="1684">
        <f>'Revenues 9-14'!F268-'Expenditures 15-22'!K210</f>
        <v>-223093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11260</v>
      </c>
      <c r="E215" s="616"/>
      <c r="F215" s="616"/>
      <c r="G215" s="616"/>
      <c r="H215" s="616"/>
      <c r="I215" s="616"/>
      <c r="J215" s="616"/>
      <c r="K215" s="1671">
        <f>D215</f>
        <v>11260</v>
      </c>
      <c r="L215" s="466">
        <v>11350</v>
      </c>
    </row>
    <row r="216" spans="1:14" x14ac:dyDescent="0.2">
      <c r="A216" s="1504" t="s">
        <v>163</v>
      </c>
      <c r="B216" s="614" t="s">
        <v>967</v>
      </c>
      <c r="C216" s="616"/>
      <c r="D216" s="467">
        <v>2536</v>
      </c>
      <c r="E216" s="616"/>
      <c r="F216" s="616"/>
      <c r="G216" s="616"/>
      <c r="H216" s="616"/>
      <c r="I216" s="616"/>
      <c r="J216" s="616"/>
      <c r="K216" s="1671">
        <f t="shared" ref="K216:K228" si="19">D216</f>
        <v>2536</v>
      </c>
      <c r="L216" s="466">
        <v>2800</v>
      </c>
    </row>
    <row r="217" spans="1:14" x14ac:dyDescent="0.2">
      <c r="A217" s="1504" t="s">
        <v>164</v>
      </c>
      <c r="B217" s="614">
        <v>1200</v>
      </c>
      <c r="C217" s="616"/>
      <c r="D217" s="466">
        <v>7515</v>
      </c>
      <c r="E217" s="616"/>
      <c r="F217" s="616"/>
      <c r="G217" s="616"/>
      <c r="H217" s="616"/>
      <c r="I217" s="616"/>
      <c r="J217" s="616"/>
      <c r="K217" s="1671">
        <f t="shared" si="19"/>
        <v>7515</v>
      </c>
      <c r="L217" s="466">
        <v>7800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3486</v>
      </c>
      <c r="E219" s="616"/>
      <c r="F219" s="616"/>
      <c r="G219" s="616"/>
      <c r="H219" s="616"/>
      <c r="I219" s="616"/>
      <c r="J219" s="616"/>
      <c r="K219" s="1671">
        <f t="shared" si="19"/>
        <v>3486</v>
      </c>
      <c r="L219" s="466">
        <v>3700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575</v>
      </c>
      <c r="E222" s="616"/>
      <c r="F222" s="616"/>
      <c r="G222" s="616"/>
      <c r="H222" s="616"/>
      <c r="I222" s="616"/>
      <c r="J222" s="616"/>
      <c r="K222" s="1671">
        <f t="shared" si="19"/>
        <v>575</v>
      </c>
      <c r="L222" s="466">
        <v>530</v>
      </c>
    </row>
    <row r="223" spans="1:14" x14ac:dyDescent="0.2">
      <c r="A223" s="1504" t="s">
        <v>963</v>
      </c>
      <c r="B223" s="614">
        <v>1500</v>
      </c>
      <c r="C223" s="616"/>
      <c r="D223" s="466">
        <v>2747</v>
      </c>
      <c r="E223" s="616"/>
      <c r="F223" s="616"/>
      <c r="G223" s="616"/>
      <c r="H223" s="616"/>
      <c r="I223" s="616"/>
      <c r="J223" s="616"/>
      <c r="K223" s="1671">
        <f t="shared" si="19"/>
        <v>2747</v>
      </c>
      <c r="L223" s="466">
        <v>2900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62</v>
      </c>
      <c r="E226" s="616"/>
      <c r="F226" s="616"/>
      <c r="G226" s="616"/>
      <c r="H226" s="616"/>
      <c r="I226" s="616"/>
      <c r="J226" s="616"/>
      <c r="K226" s="1671">
        <f t="shared" si="19"/>
        <v>62</v>
      </c>
      <c r="L226" s="466">
        <v>60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28181</v>
      </c>
      <c r="E229" s="616"/>
      <c r="F229" s="616"/>
      <c r="G229" s="616"/>
      <c r="H229" s="616"/>
      <c r="I229" s="616"/>
      <c r="J229" s="616"/>
      <c r="K229" s="1670">
        <f>SUM(K215:K228)</f>
        <v>28181</v>
      </c>
      <c r="L229" s="1670">
        <f>SUM(L215:L228)</f>
        <v>29140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812</v>
      </c>
      <c r="E233" s="616"/>
      <c r="F233" s="616"/>
      <c r="G233" s="616"/>
      <c r="H233" s="616"/>
      <c r="I233" s="616"/>
      <c r="J233" s="616"/>
      <c r="K233" s="1671">
        <f t="shared" si="20"/>
        <v>812</v>
      </c>
      <c r="L233" s="466">
        <v>800</v>
      </c>
    </row>
    <row r="234" spans="1:12" x14ac:dyDescent="0.2">
      <c r="A234" s="1504" t="s">
        <v>198</v>
      </c>
      <c r="B234" s="614">
        <v>2130</v>
      </c>
      <c r="C234" s="616"/>
      <c r="D234" s="466">
        <v>2754</v>
      </c>
      <c r="E234" s="616"/>
      <c r="F234" s="616"/>
      <c r="G234" s="616"/>
      <c r="H234" s="616"/>
      <c r="I234" s="616"/>
      <c r="J234" s="616"/>
      <c r="K234" s="1671">
        <f t="shared" si="20"/>
        <v>2754</v>
      </c>
      <c r="L234" s="466">
        <v>3000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238</v>
      </c>
      <c r="E237" s="616"/>
      <c r="F237" s="616"/>
      <c r="G237" s="616"/>
      <c r="H237" s="616"/>
      <c r="I237" s="616"/>
      <c r="J237" s="616"/>
      <c r="K237" s="1671">
        <f t="shared" si="20"/>
        <v>238</v>
      </c>
      <c r="L237" s="466">
        <v>200</v>
      </c>
    </row>
    <row r="238" spans="1:12" ht="12.75" customHeight="1" thickBot="1" x14ac:dyDescent="0.25">
      <c r="A238" s="1668" t="s">
        <v>560</v>
      </c>
      <c r="B238" s="1675" t="s">
        <v>716</v>
      </c>
      <c r="C238" s="616"/>
      <c r="D238" s="1670">
        <f>SUM(D232:D237)</f>
        <v>3804</v>
      </c>
      <c r="E238" s="616"/>
      <c r="F238" s="616"/>
      <c r="G238" s="616"/>
      <c r="H238" s="616"/>
      <c r="I238" s="616"/>
      <c r="J238" s="616"/>
      <c r="K238" s="1670">
        <f>SUM(K232:K237)</f>
        <v>3804</v>
      </c>
      <c r="L238" s="1670">
        <f>SUM(L232:L237)</f>
        <v>4000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596</v>
      </c>
      <c r="E241" s="616"/>
      <c r="F241" s="616"/>
      <c r="G241" s="616"/>
      <c r="H241" s="616"/>
      <c r="I241" s="616"/>
      <c r="J241" s="616"/>
      <c r="K241" s="1672">
        <f>D241</f>
        <v>596</v>
      </c>
      <c r="L241" s="466">
        <v>585</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596</v>
      </c>
      <c r="E243" s="616"/>
      <c r="F243" s="616"/>
      <c r="G243" s="616"/>
      <c r="H243" s="616"/>
      <c r="I243" s="616"/>
      <c r="J243" s="616"/>
      <c r="K243" s="1670">
        <f>SUM(K240:K242)</f>
        <v>596</v>
      </c>
      <c r="L243" s="1670">
        <f>SUM(L240:L242)</f>
        <v>585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97</v>
      </c>
      <c r="E245" s="616"/>
      <c r="F245" s="616"/>
      <c r="G245" s="616"/>
      <c r="H245" s="616"/>
      <c r="I245" s="616"/>
      <c r="J245" s="616"/>
      <c r="K245" s="1672">
        <f>D245</f>
        <v>97</v>
      </c>
      <c r="L245" s="481">
        <v>102</v>
      </c>
    </row>
    <row r="246" spans="1:12" x14ac:dyDescent="0.2">
      <c r="A246" s="1504" t="s">
        <v>818</v>
      </c>
      <c r="B246" s="614">
        <v>2320</v>
      </c>
      <c r="C246" s="616"/>
      <c r="D246" s="466">
        <v>1700</v>
      </c>
      <c r="E246" s="616"/>
      <c r="F246" s="616"/>
      <c r="G246" s="616"/>
      <c r="H246" s="616"/>
      <c r="I246" s="616"/>
      <c r="J246" s="616"/>
      <c r="K246" s="1672">
        <f t="shared" ref="K246:K256" si="21">D246</f>
        <v>1700</v>
      </c>
      <c r="L246" s="466">
        <v>1750</v>
      </c>
    </row>
    <row r="247" spans="1:12" x14ac:dyDescent="0.2">
      <c r="A247" s="1504" t="s">
        <v>819</v>
      </c>
      <c r="B247" s="614">
        <v>2330</v>
      </c>
      <c r="C247" s="616"/>
      <c r="D247" s="466">
        <v>2972</v>
      </c>
      <c r="E247" s="616"/>
      <c r="F247" s="616"/>
      <c r="G247" s="616"/>
      <c r="H247" s="616"/>
      <c r="I247" s="616"/>
      <c r="J247" s="616"/>
      <c r="K247" s="1672">
        <f t="shared" si="21"/>
        <v>2972</v>
      </c>
      <c r="L247" s="466">
        <v>3100</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4769</v>
      </c>
      <c r="E257" s="616"/>
      <c r="F257" s="616"/>
      <c r="G257" s="616"/>
      <c r="H257" s="616"/>
      <c r="I257" s="616"/>
      <c r="J257" s="616"/>
      <c r="K257" s="1670">
        <f>SUM(K245:K256)</f>
        <v>4769</v>
      </c>
      <c r="L257" s="1670">
        <f>SUM(L245:L256)</f>
        <v>4952</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6670</v>
      </c>
      <c r="E259" s="616"/>
      <c r="F259" s="616"/>
      <c r="G259" s="616"/>
      <c r="H259" s="616"/>
      <c r="I259" s="616"/>
      <c r="J259" s="616"/>
      <c r="K259" s="1672">
        <f>D259</f>
        <v>6670</v>
      </c>
      <c r="L259" s="481">
        <v>6900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6670</v>
      </c>
      <c r="E261" s="616"/>
      <c r="F261" s="616"/>
      <c r="G261" s="616"/>
      <c r="H261" s="616"/>
      <c r="I261" s="616"/>
      <c r="J261" s="616"/>
      <c r="K261" s="1670">
        <f>SUM(K259:K260)</f>
        <v>6670</v>
      </c>
      <c r="L261" s="1670">
        <f>SUM(L259:L260)</f>
        <v>6900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5069</v>
      </c>
      <c r="E264" s="616"/>
      <c r="F264" s="616"/>
      <c r="G264" s="616"/>
      <c r="H264" s="616"/>
      <c r="I264" s="616"/>
      <c r="J264" s="616"/>
      <c r="K264" s="1672">
        <f t="shared" ref="K264:K269" si="22">D264</f>
        <v>5069</v>
      </c>
      <c r="L264" s="466">
        <v>5250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9171</v>
      </c>
      <c r="E266" s="616"/>
      <c r="F266" s="616"/>
      <c r="G266" s="616"/>
      <c r="H266" s="616"/>
      <c r="I266" s="616"/>
      <c r="J266" s="616"/>
      <c r="K266" s="1672">
        <f t="shared" si="22"/>
        <v>9171</v>
      </c>
      <c r="L266" s="466">
        <v>9300</v>
      </c>
    </row>
    <row r="267" spans="1:14" x14ac:dyDescent="0.2">
      <c r="A267" s="1504" t="s">
        <v>953</v>
      </c>
      <c r="B267" s="614">
        <v>2550</v>
      </c>
      <c r="C267" s="616"/>
      <c r="D267" s="466">
        <v>8975</v>
      </c>
      <c r="E267" s="616"/>
      <c r="F267" s="616"/>
      <c r="G267" s="616"/>
      <c r="H267" s="616"/>
      <c r="I267" s="616"/>
      <c r="J267" s="616"/>
      <c r="K267" s="1672">
        <f t="shared" si="22"/>
        <v>8975</v>
      </c>
      <c r="L267" s="466">
        <v>9500</v>
      </c>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23215</v>
      </c>
      <c r="E270" s="616"/>
      <c r="F270" s="616"/>
      <c r="G270" s="616"/>
      <c r="H270" s="616"/>
      <c r="I270" s="616"/>
      <c r="J270" s="616"/>
      <c r="K270" s="1670">
        <f>SUM(K263:K269)</f>
        <v>23215</v>
      </c>
      <c r="L270" s="1670">
        <f>SUM(L263:L269)</f>
        <v>24050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39054</v>
      </c>
      <c r="E279" s="616"/>
      <c r="F279" s="616"/>
      <c r="G279" s="616"/>
      <c r="H279" s="616"/>
      <c r="I279" s="616"/>
      <c r="J279" s="616"/>
      <c r="K279" s="1677">
        <f>SUM(K238,K243,K257,K261,K270,K277,K278)</f>
        <v>39054</v>
      </c>
      <c r="L279" s="1677">
        <f>SUM(L238,L243,L257,L261,L270,L277,L278)</f>
        <v>40487</v>
      </c>
    </row>
    <row r="280" spans="1:12" ht="15.75" customHeight="1" thickTop="1" thickBot="1" x14ac:dyDescent="0.25">
      <c r="A280" s="1624" t="s">
        <v>875</v>
      </c>
      <c r="B280" s="1613">
        <v>3000</v>
      </c>
      <c r="C280" s="616"/>
      <c r="D280" s="576">
        <v>509</v>
      </c>
      <c r="E280" s="616"/>
      <c r="F280" s="616"/>
      <c r="G280" s="616"/>
      <c r="H280" s="616"/>
      <c r="I280" s="616"/>
      <c r="J280" s="616"/>
      <c r="K280" s="1679">
        <f>D280</f>
        <v>509</v>
      </c>
      <c r="L280" s="576">
        <v>600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70">
        <f>SUM(D229,D279,D280,D285)</f>
        <v>67744</v>
      </c>
      <c r="E295" s="616"/>
      <c r="F295" s="616"/>
      <c r="G295" s="616"/>
      <c r="H295" s="1670">
        <f>H293</f>
        <v>0</v>
      </c>
      <c r="I295" s="616"/>
      <c r="J295" s="616"/>
      <c r="K295" s="1670">
        <f>SUM(K229,K279,K280,K285,K293,K294)</f>
        <v>67744</v>
      </c>
      <c r="L295" s="1670">
        <f>SUM(L229,L279,L280,L285,L293,L294)</f>
        <v>70227</v>
      </c>
    </row>
    <row r="296" spans="1:14" ht="13.5" thickTop="1" x14ac:dyDescent="0.2">
      <c r="A296" s="2184" t="s">
        <v>996</v>
      </c>
      <c r="B296" s="2185"/>
      <c r="C296" s="616"/>
      <c r="D296" s="618"/>
      <c r="E296" s="616"/>
      <c r="F296" s="616"/>
      <c r="G296" s="616"/>
      <c r="H296" s="687"/>
      <c r="I296" s="616"/>
      <c r="J296" s="616"/>
      <c r="K296" s="1684">
        <f>'Revenues 9-14'!G268-'Expenditures 15-22'!K295</f>
        <v>-2640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12614</v>
      </c>
      <c r="F320" s="467"/>
      <c r="G320" s="467"/>
      <c r="H320" s="467"/>
      <c r="I320" s="467"/>
      <c r="J320" s="467"/>
      <c r="K320" s="1671">
        <f t="shared" ref="K320:K327" si="24">SUM(C320:J320)</f>
        <v>12614</v>
      </c>
      <c r="L320" s="467">
        <v>13000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4500</v>
      </c>
      <c r="M321" s="665"/>
      <c r="N321" s="665"/>
    </row>
    <row r="322" spans="1:14" s="674" customFormat="1" x14ac:dyDescent="0.2">
      <c r="A322" s="1519" t="s">
        <v>238</v>
      </c>
      <c r="B322" s="697" t="s">
        <v>284</v>
      </c>
      <c r="C322" s="467"/>
      <c r="D322" s="467"/>
      <c r="E322" s="467">
        <v>2708</v>
      </c>
      <c r="F322" s="467"/>
      <c r="G322" s="467"/>
      <c r="H322" s="467"/>
      <c r="I322" s="467"/>
      <c r="J322" s="467"/>
      <c r="K322" s="1671">
        <f t="shared" si="24"/>
        <v>2708</v>
      </c>
      <c r="L322" s="467">
        <v>48000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112102</v>
      </c>
      <c r="D325" s="467"/>
      <c r="E325" s="467">
        <v>17253</v>
      </c>
      <c r="F325" s="467"/>
      <c r="G325" s="467"/>
      <c r="H325" s="467"/>
      <c r="I325" s="467"/>
      <c r="J325" s="467"/>
      <c r="K325" s="1671">
        <f t="shared" si="24"/>
        <v>129355</v>
      </c>
      <c r="L325" s="467">
        <v>75100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34066</v>
      </c>
      <c r="F327" s="467"/>
      <c r="G327" s="467"/>
      <c r="H327" s="467"/>
      <c r="I327" s="467"/>
      <c r="J327" s="467"/>
      <c r="K327" s="1671">
        <f t="shared" si="24"/>
        <v>34066</v>
      </c>
      <c r="L327" s="467">
        <v>37000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112102</v>
      </c>
      <c r="D330" s="1670">
        <f t="shared" ref="D330:J330" si="25">SUM(D319:D329)</f>
        <v>0</v>
      </c>
      <c r="E330" s="1670">
        <f t="shared" si="25"/>
        <v>66641</v>
      </c>
      <c r="F330" s="1670">
        <f t="shared" si="25"/>
        <v>0</v>
      </c>
      <c r="G330" s="1670">
        <f t="shared" si="25"/>
        <v>0</v>
      </c>
      <c r="H330" s="1670">
        <f t="shared" si="25"/>
        <v>0</v>
      </c>
      <c r="I330" s="1670">
        <f t="shared" si="25"/>
        <v>0</v>
      </c>
      <c r="J330" s="1670">
        <f t="shared" si="25"/>
        <v>0</v>
      </c>
      <c r="K330" s="1670">
        <f>SUM(K319:K329)</f>
        <v>178743</v>
      </c>
      <c r="L330" s="1670">
        <f>SUM(L319:L329)</f>
        <v>177600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112102</v>
      </c>
      <c r="D342" s="1670">
        <f>SUM(D330)</f>
        <v>0</v>
      </c>
      <c r="E342" s="1670">
        <f>SUM(E330)</f>
        <v>66641</v>
      </c>
      <c r="F342" s="1670">
        <f>SUM(F330)</f>
        <v>0</v>
      </c>
      <c r="G342" s="1670">
        <f>SUM(G330)</f>
        <v>0</v>
      </c>
      <c r="H342" s="1670">
        <f>SUM(H330,H334,H340)</f>
        <v>0</v>
      </c>
      <c r="I342" s="1670">
        <f>SUM(I330)</f>
        <v>0</v>
      </c>
      <c r="J342" s="1670">
        <f>SUM(J330)</f>
        <v>0</v>
      </c>
      <c r="K342" s="1670">
        <f>SUM(K330,K334,K340)</f>
        <v>178743</v>
      </c>
      <c r="L342" s="1677">
        <f>SUM(L330,L340,L341)</f>
        <v>177600</v>
      </c>
    </row>
    <row r="343" spans="1:14" ht="12.75" customHeight="1" thickTop="1" x14ac:dyDescent="0.2">
      <c r="A343" s="2170" t="s">
        <v>996</v>
      </c>
      <c r="B343" s="2171"/>
      <c r="C343" s="616"/>
      <c r="D343" s="616"/>
      <c r="E343" s="616"/>
      <c r="F343" s="616"/>
      <c r="G343" s="616"/>
      <c r="H343" s="616"/>
      <c r="I343" s="616"/>
      <c r="J343" s="616"/>
      <c r="K343" s="1684">
        <f>'Revenues 9-14'!J268-'Expenditures 15-22'!K342</f>
        <v>9667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4" t="s">
        <v>996</v>
      </c>
      <c r="B368" s="2185"/>
      <c r="C368" s="654"/>
      <c r="D368" s="654"/>
      <c r="E368" s="626"/>
      <c r="F368" s="626"/>
      <c r="G368" s="626"/>
      <c r="H368" s="626"/>
      <c r="I368" s="626"/>
      <c r="J368" s="623"/>
      <c r="K368" s="1671">
        <f>'Revenues 9-14'!K268-'Expenditures 15-22'!K367</f>
        <v>14182</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6"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to the Financial Statements are an intregal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7" sqref="E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1951</v>
      </c>
      <c r="C2" s="714" t="s">
        <v>1952</v>
      </c>
      <c r="D2" s="714" t="s">
        <v>1953</v>
      </c>
      <c r="E2" s="714" t="s">
        <v>1954</v>
      </c>
      <c r="F2" s="714" t="s">
        <v>1955</v>
      </c>
    </row>
    <row r="3" spans="1:6" ht="12" customHeight="1" x14ac:dyDescent="0.2">
      <c r="A3" s="2187"/>
      <c r="B3" s="1525"/>
      <c r="C3" s="1526"/>
      <c r="D3" s="1527" t="s">
        <v>256</v>
      </c>
      <c r="E3" s="1526"/>
      <c r="F3" s="1527" t="s">
        <v>257</v>
      </c>
    </row>
    <row r="4" spans="1:6" ht="13.7" customHeight="1" x14ac:dyDescent="0.2">
      <c r="A4" s="715" t="s">
        <v>1155</v>
      </c>
      <c r="B4" s="1749">
        <f>'Revenues 9-14'!C5</f>
        <v>571999</v>
      </c>
      <c r="C4" s="1524"/>
      <c r="D4" s="1752">
        <f>B4-C4</f>
        <v>571999</v>
      </c>
      <c r="E4" s="1524">
        <v>617322</v>
      </c>
      <c r="F4" s="1752">
        <f>E4-C4</f>
        <v>617322</v>
      </c>
    </row>
    <row r="5" spans="1:6" ht="13.7" customHeight="1" x14ac:dyDescent="0.2">
      <c r="A5" s="715" t="s">
        <v>870</v>
      </c>
      <c r="B5" s="1750">
        <f>'Revenues 9-14'!D5</f>
        <v>136454</v>
      </c>
      <c r="C5" s="585"/>
      <c r="D5" s="1753">
        <f t="shared" ref="D5:D18" si="0">B5-C5</f>
        <v>136454</v>
      </c>
      <c r="E5" s="585">
        <v>147877</v>
      </c>
      <c r="F5" s="1753">
        <f>E5-C5</f>
        <v>147877</v>
      </c>
    </row>
    <row r="6" spans="1:6" ht="13.7" customHeight="1" x14ac:dyDescent="0.2">
      <c r="A6" s="715" t="s">
        <v>411</v>
      </c>
      <c r="B6" s="1750">
        <f>'Revenues 9-14'!E5</f>
        <v>289798</v>
      </c>
      <c r="C6" s="585"/>
      <c r="D6" s="1753">
        <f t="shared" si="0"/>
        <v>289798</v>
      </c>
      <c r="E6" s="585">
        <v>293709</v>
      </c>
      <c r="F6" s="1753">
        <f t="shared" ref="F6:F18" si="1">E6-C6</f>
        <v>293709</v>
      </c>
    </row>
    <row r="7" spans="1:6" ht="13.7" customHeight="1" x14ac:dyDescent="0.2">
      <c r="A7" s="715" t="s">
        <v>155</v>
      </c>
      <c r="B7" s="1750">
        <f>'Revenues 9-14'!F5</f>
        <v>54582</v>
      </c>
      <c r="C7" s="585"/>
      <c r="D7" s="1753">
        <f t="shared" si="0"/>
        <v>54582</v>
      </c>
      <c r="E7" s="585">
        <v>59151</v>
      </c>
      <c r="F7" s="1753">
        <f t="shared" si="1"/>
        <v>59151</v>
      </c>
    </row>
    <row r="8" spans="1:6" ht="13.7" customHeight="1" x14ac:dyDescent="0.2">
      <c r="A8" s="715" t="s">
        <v>1179</v>
      </c>
      <c r="B8" s="1750">
        <f>'Revenues 9-14'!G5</f>
        <v>20039</v>
      </c>
      <c r="C8" s="585"/>
      <c r="D8" s="1753">
        <f t="shared" si="0"/>
        <v>20039</v>
      </c>
      <c r="E8" s="585">
        <v>10119</v>
      </c>
      <c r="F8" s="1753">
        <f t="shared" si="1"/>
        <v>10119</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13645</v>
      </c>
      <c r="C10" s="585"/>
      <c r="D10" s="1753">
        <f t="shared" si="0"/>
        <v>13645</v>
      </c>
      <c r="E10" s="585">
        <v>14801</v>
      </c>
      <c r="F10" s="1753">
        <f t="shared" si="1"/>
        <v>14801</v>
      </c>
    </row>
    <row r="11" spans="1:6" x14ac:dyDescent="0.2">
      <c r="A11" s="715" t="s">
        <v>409</v>
      </c>
      <c r="B11" s="1750">
        <f>'Revenues 9-14'!J5</f>
        <v>185374</v>
      </c>
      <c r="C11" s="585"/>
      <c r="D11" s="1753">
        <f t="shared" si="0"/>
        <v>185374</v>
      </c>
      <c r="E11" s="585">
        <v>212365</v>
      </c>
      <c r="F11" s="1753">
        <f t="shared" si="1"/>
        <v>212365</v>
      </c>
    </row>
    <row r="12" spans="1:6" ht="13.7" customHeight="1" x14ac:dyDescent="0.2">
      <c r="A12" s="715" t="s">
        <v>157</v>
      </c>
      <c r="B12" s="1750">
        <f>'Revenues 9-14'!K5</f>
        <v>13645</v>
      </c>
      <c r="C12" s="585"/>
      <c r="D12" s="1753">
        <f t="shared" si="0"/>
        <v>13645</v>
      </c>
      <c r="E12" s="585">
        <v>14801</v>
      </c>
      <c r="F12" s="1753">
        <f t="shared" si="1"/>
        <v>14801</v>
      </c>
    </row>
    <row r="13" spans="1:6" ht="13.7" customHeight="1" x14ac:dyDescent="0.2">
      <c r="A13" s="715" t="s">
        <v>936</v>
      </c>
      <c r="B13" s="1750">
        <f>SUM('Revenues 9-14'!C6:D6)</f>
        <v>13645</v>
      </c>
      <c r="C13" s="585"/>
      <c r="D13" s="1753">
        <f t="shared" si="0"/>
        <v>13645</v>
      </c>
      <c r="E13" s="585">
        <v>14805</v>
      </c>
      <c r="F13" s="1753">
        <f t="shared" si="1"/>
        <v>14805</v>
      </c>
    </row>
    <row r="14" spans="1:6" ht="13.7" customHeight="1" x14ac:dyDescent="0.2">
      <c r="A14" s="715" t="s">
        <v>410</v>
      </c>
      <c r="B14" s="1750">
        <f>SUM('Revenues 9-14'!C7:D7,'Revenues 9-14'!F7:H7)</f>
        <v>10916</v>
      </c>
      <c r="C14" s="585"/>
      <c r="D14" s="1753">
        <f t="shared" si="0"/>
        <v>10916</v>
      </c>
      <c r="E14" s="585">
        <v>11820</v>
      </c>
      <c r="F14" s="1753">
        <f t="shared" si="1"/>
        <v>11820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25056</v>
      </c>
      <c r="C16" s="585"/>
      <c r="D16" s="1753">
        <f t="shared" si="0"/>
        <v>25056</v>
      </c>
      <c r="E16" s="585">
        <v>10119</v>
      </c>
      <c r="F16" s="1753">
        <f t="shared" si="1"/>
        <v>10119</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1335153</v>
      </c>
      <c r="C19" s="1751">
        <f>SUM(C4:C18)</f>
        <v>0</v>
      </c>
      <c r="D19" s="1751">
        <f>SUM(D4:D18)</f>
        <v>1335153</v>
      </c>
      <c r="E19" s="1751">
        <f>SUM(E4:E18)</f>
        <v>1406889</v>
      </c>
      <c r="F19" s="1751">
        <f>SUM(F4:F18)</f>
        <v>1406889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61"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4" colorId="8" zoomScale="110" zoomScaleNormal="110" workbookViewId="0">
      <selection activeCell="A33" sqref="A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1802</v>
      </c>
      <c r="B2" s="2202"/>
      <c r="C2" s="1884" t="s">
        <v>1956</v>
      </c>
      <c r="D2" s="723" t="s">
        <v>1957</v>
      </c>
      <c r="E2" s="723" t="s">
        <v>1958</v>
      </c>
      <c r="F2" s="1884" t="s">
        <v>1959</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2077</v>
      </c>
      <c r="B31" s="733">
        <v>41214</v>
      </c>
      <c r="C31" s="734">
        <v>500000</v>
      </c>
      <c r="D31" s="735">
        <v>4</v>
      </c>
      <c r="E31" s="734">
        <v>486900</v>
      </c>
      <c r="F31" s="734"/>
      <c r="G31" s="734"/>
      <c r="H31" s="734">
        <v>4600</v>
      </c>
      <c r="I31" s="1756">
        <f>((E31+F31)-H31)+G31</f>
        <v>482300</v>
      </c>
      <c r="J31" s="734">
        <v>430212</v>
      </c>
      <c r="K31" s="736"/>
    </row>
    <row r="32" spans="1:11" ht="12" customHeight="1" x14ac:dyDescent="0.2">
      <c r="A32" s="732" t="s">
        <v>2078</v>
      </c>
      <c r="B32" s="733" t="s">
        <v>2079</v>
      </c>
      <c r="C32" s="734">
        <v>1444100</v>
      </c>
      <c r="D32" s="735" t="s">
        <v>2080</v>
      </c>
      <c r="E32" s="734">
        <v>703900</v>
      </c>
      <c r="F32" s="734"/>
      <c r="G32" s="734"/>
      <c r="H32" s="734">
        <v>255000</v>
      </c>
      <c r="I32" s="1756">
        <f>((E32+F32)-H32)+G32</f>
        <v>448900</v>
      </c>
      <c r="J32" s="734">
        <v>400418</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1944100</v>
      </c>
      <c r="D49" s="745"/>
      <c r="E49" s="1756">
        <f t="shared" ref="E49:J49" si="2">SUM(E31:E48)</f>
        <v>1190800</v>
      </c>
      <c r="F49" s="1756">
        <f t="shared" si="2"/>
        <v>0</v>
      </c>
      <c r="G49" s="1756">
        <f t="shared" si="2"/>
        <v>0</v>
      </c>
      <c r="H49" s="1756">
        <f t="shared" si="2"/>
        <v>259600</v>
      </c>
      <c r="I49" s="1756">
        <f t="shared" si="2"/>
        <v>931200</v>
      </c>
      <c r="J49" s="1756">
        <f t="shared" si="2"/>
        <v>830630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62"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110" zoomScaleNormal="110" workbookViewId="0">
      <selection activeCell="G31" sqref="G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1812</v>
      </c>
      <c r="K2" s="762" t="s">
        <v>138</v>
      </c>
    </row>
    <row r="3" spans="1:11" x14ac:dyDescent="0.2">
      <c r="A3" s="2223" t="s">
        <v>1964</v>
      </c>
      <c r="B3" s="2224"/>
      <c r="C3" s="2224"/>
      <c r="D3" s="2224"/>
      <c r="E3" s="2225"/>
      <c r="F3" s="763"/>
      <c r="G3" s="764"/>
      <c r="H3" s="764"/>
      <c r="I3" s="764"/>
      <c r="J3" s="765"/>
      <c r="K3" s="765"/>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v>10916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1100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1523</v>
      </c>
    </row>
    <row r="10" spans="1:11" x14ac:dyDescent="0.2">
      <c r="A10" s="2244" t="s">
        <v>1813</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10916</v>
      </c>
      <c r="I12" s="1758">
        <f>SUM(I5:I11)</f>
        <v>0</v>
      </c>
      <c r="J12" s="1758">
        <f>SUM(J5:J11)</f>
        <v>0</v>
      </c>
      <c r="K12" s="1758">
        <f>SUM(K5:K11)</f>
        <v>2623</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v>10916</v>
      </c>
      <c r="I14" s="771"/>
      <c r="J14" s="773"/>
      <c r="K14" s="765">
        <v>2623</v>
      </c>
    </row>
    <row r="15" spans="1:11" x14ac:dyDescent="0.2">
      <c r="A15" s="2217" t="s">
        <v>4</v>
      </c>
      <c r="B15" s="2217"/>
      <c r="C15" s="2217"/>
      <c r="D15" s="2217"/>
      <c r="E15" s="2245"/>
      <c r="F15" s="789" t="s">
        <v>855</v>
      </c>
      <c r="G15" s="771"/>
      <c r="H15" s="764"/>
      <c r="I15" s="764"/>
      <c r="J15" s="765"/>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52" t="s">
        <v>1809</v>
      </c>
      <c r="B19" s="2252"/>
      <c r="C19" s="2252"/>
      <c r="D19" s="2252"/>
      <c r="E19" s="2253"/>
      <c r="F19" s="789" t="s">
        <v>933</v>
      </c>
      <c r="G19" s="782"/>
      <c r="H19" s="782"/>
      <c r="I19" s="782"/>
      <c r="J19" s="765"/>
      <c r="K19" s="795"/>
    </row>
    <row r="20" spans="1:11" x14ac:dyDescent="0.2">
      <c r="A20" s="2231" t="s">
        <v>1814</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0</v>
      </c>
      <c r="K21" s="793"/>
    </row>
    <row r="22" spans="1:11" ht="13.5" thickTop="1" x14ac:dyDescent="0.2">
      <c r="A22" s="2217" t="s">
        <v>1815</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10916</v>
      </c>
      <c r="I23" s="1758">
        <f>SUM(I14:I16,I21,I22)</f>
        <v>0</v>
      </c>
      <c r="J23" s="1758">
        <f>SUM(J14:J16,J21,J22)</f>
        <v>0</v>
      </c>
      <c r="K23" s="1758">
        <f>SUM(K14:K16,K21,K22)</f>
        <v>2623</v>
      </c>
    </row>
    <row r="24" spans="1:11" ht="14.25" thickTop="1" thickBot="1" x14ac:dyDescent="0.25">
      <c r="A24" s="2238" t="s">
        <v>1965</v>
      </c>
      <c r="B24" s="2237"/>
      <c r="C24" s="2237"/>
      <c r="D24" s="2237"/>
      <c r="E24" s="223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63"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14" sqref="C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1909</v>
      </c>
      <c r="B1" s="2257"/>
      <c r="C1" s="2258"/>
      <c r="D1" s="826"/>
      <c r="E1" s="827"/>
      <c r="F1" s="827"/>
      <c r="G1" s="828"/>
      <c r="H1" s="829"/>
      <c r="I1" s="830"/>
      <c r="J1" s="2254"/>
      <c r="K1" s="2255"/>
      <c r="L1" s="2255"/>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33070</v>
      </c>
      <c r="D5" s="841"/>
      <c r="E5" s="841"/>
      <c r="F5" s="1760">
        <f>(C5+D5)-E5</f>
        <v>33070</v>
      </c>
      <c r="G5" s="837"/>
      <c r="H5" s="842"/>
      <c r="I5" s="842"/>
      <c r="J5" s="842"/>
      <c r="K5" s="793"/>
      <c r="L5" s="1769">
        <f>F5-K5</f>
        <v>33070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8870517</v>
      </c>
      <c r="D8" s="844"/>
      <c r="E8" s="844"/>
      <c r="F8" s="1760">
        <f>(C8+D8)-E8</f>
        <v>8870517</v>
      </c>
      <c r="G8" s="843">
        <v>50</v>
      </c>
      <c r="H8" s="765">
        <v>3775566</v>
      </c>
      <c r="I8" s="765">
        <v>177991</v>
      </c>
      <c r="J8" s="765"/>
      <c r="K8" s="1769">
        <f>(H8+I8)-J8</f>
        <v>3953557</v>
      </c>
      <c r="L8" s="1769">
        <f>F8-K8</f>
        <v>4916960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1016749</v>
      </c>
      <c r="D10" s="846"/>
      <c r="E10" s="846"/>
      <c r="F10" s="1764">
        <f>(C10+D10)-E10</f>
        <v>1016749</v>
      </c>
      <c r="G10" s="843">
        <v>20</v>
      </c>
      <c r="H10" s="847">
        <v>1016479</v>
      </c>
      <c r="I10" s="847"/>
      <c r="J10" s="847"/>
      <c r="K10" s="1769">
        <f>(H10+I10)-J10</f>
        <v>1016479</v>
      </c>
      <c r="L10" s="1769">
        <f>F10-K10</f>
        <v>270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1202725</v>
      </c>
      <c r="D12" s="844">
        <v>20010</v>
      </c>
      <c r="E12" s="844"/>
      <c r="F12" s="1760">
        <f>(C12+D12)-E12</f>
        <v>1222735</v>
      </c>
      <c r="G12" s="843">
        <v>10</v>
      </c>
      <c r="H12" s="765">
        <v>1120945</v>
      </c>
      <c r="I12" s="765">
        <v>34102</v>
      </c>
      <c r="J12" s="765"/>
      <c r="K12" s="1769">
        <f>(H12+I12)-J12</f>
        <v>1155047</v>
      </c>
      <c r="L12" s="1769">
        <f>F12-K12</f>
        <v>67688</v>
      </c>
    </row>
    <row r="13" spans="1:14" ht="14.25" thickTop="1" thickBot="1" x14ac:dyDescent="0.25">
      <c r="A13" s="848" t="s">
        <v>1122</v>
      </c>
      <c r="B13" s="840">
        <v>252</v>
      </c>
      <c r="C13" s="844">
        <v>487351</v>
      </c>
      <c r="D13" s="844">
        <v>362675</v>
      </c>
      <c r="E13" s="844">
        <v>442535</v>
      </c>
      <c r="F13" s="1760">
        <f>(C13+D13)-E13</f>
        <v>407491</v>
      </c>
      <c r="G13" s="843">
        <v>5</v>
      </c>
      <c r="H13" s="765">
        <v>476227</v>
      </c>
      <c r="I13" s="765">
        <v>76129</v>
      </c>
      <c r="J13" s="765">
        <v>442535</v>
      </c>
      <c r="K13" s="1769">
        <f>(H13+I13)-J13</f>
        <v>109821</v>
      </c>
      <c r="L13" s="1769">
        <f>F13-K13</f>
        <v>297670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11610412</v>
      </c>
      <c r="D16" s="1760">
        <f>SUM(D3,D5:D6,D8:D10,D12:D15)</f>
        <v>382685</v>
      </c>
      <c r="E16" s="1760">
        <f>SUM(E3,E5:E6,E8:E10,E12:E15)</f>
        <v>442535</v>
      </c>
      <c r="F16" s="1760">
        <f>SUM(F3,F5:F6,F8:F10,F12:F15)</f>
        <v>11550562</v>
      </c>
      <c r="G16" s="843"/>
      <c r="H16" s="1760">
        <f>SUM(H3,H6,H8:H10,H12:H14,)</f>
        <v>6389217</v>
      </c>
      <c r="I16" s="1760">
        <f>SUM(I3,I6,I8:I10,I12:I14,)</f>
        <v>288222</v>
      </c>
      <c r="J16" s="1760">
        <f>SUM(J3,J6,J8:J10,J12:J14,)</f>
        <v>442535</v>
      </c>
      <c r="K16" s="1760">
        <f>(H16+I16)-J16</f>
        <v>6234904</v>
      </c>
      <c r="L16" s="1760">
        <f>F16-K16</f>
        <v>5315658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288222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64"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7"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1975</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1948927</v>
      </c>
      <c r="G8" s="865"/>
    </row>
    <row r="9" spans="1:7" x14ac:dyDescent="0.2">
      <c r="A9" s="869" t="s">
        <v>460</v>
      </c>
      <c r="B9" s="870" t="s">
        <v>1877</v>
      </c>
      <c r="C9" s="871"/>
      <c r="D9" s="869" t="s">
        <v>501</v>
      </c>
      <c r="E9" s="868"/>
      <c r="F9" s="1909">
        <f>'Expenditures 15-22'!K151</f>
        <v>246877</v>
      </c>
      <c r="G9" s="872"/>
    </row>
    <row r="10" spans="1:7" x14ac:dyDescent="0.2">
      <c r="A10" s="869" t="s">
        <v>499</v>
      </c>
      <c r="B10" s="870" t="s">
        <v>1878</v>
      </c>
      <c r="C10" s="871"/>
      <c r="D10" s="869" t="s">
        <v>501</v>
      </c>
      <c r="E10" s="868"/>
      <c r="F10" s="1909">
        <f>'Expenditures 15-22'!K174</f>
        <v>289913</v>
      </c>
      <c r="G10" s="872"/>
    </row>
    <row r="11" spans="1:7" x14ac:dyDescent="0.2">
      <c r="A11" s="869" t="s">
        <v>461</v>
      </c>
      <c r="B11" s="870" t="s">
        <v>1879</v>
      </c>
      <c r="C11" s="871"/>
      <c r="D11" s="869" t="s">
        <v>501</v>
      </c>
      <c r="E11" s="868"/>
      <c r="F11" s="1909">
        <f>'Expenditures 15-22'!K210</f>
        <v>457189</v>
      </c>
      <c r="G11" s="872"/>
    </row>
    <row r="12" spans="1:7" x14ac:dyDescent="0.2">
      <c r="A12" s="869" t="s">
        <v>462</v>
      </c>
      <c r="B12" s="870" t="s">
        <v>1880</v>
      </c>
      <c r="C12" s="871"/>
      <c r="D12" s="869" t="s">
        <v>501</v>
      </c>
      <c r="E12" s="868"/>
      <c r="F12" s="1909">
        <f>'Expenditures 15-22'!K295</f>
        <v>67744</v>
      </c>
      <c r="G12" s="872"/>
    </row>
    <row r="13" spans="1:7" x14ac:dyDescent="0.2">
      <c r="A13" s="869" t="s">
        <v>106</v>
      </c>
      <c r="B13" s="870" t="s">
        <v>1881</v>
      </c>
      <c r="C13" s="871"/>
      <c r="D13" s="869" t="s">
        <v>501</v>
      </c>
      <c r="E13" s="868"/>
      <c r="F13" s="1909">
        <f>'Expenditures 15-22'!K342</f>
        <v>178743</v>
      </c>
      <c r="G13" s="873"/>
    </row>
    <row r="14" spans="1:7" ht="12" customHeight="1" thickBot="1" x14ac:dyDescent="0.25">
      <c r="A14" s="1770"/>
      <c r="B14" s="1771"/>
      <c r="C14" s="1772"/>
      <c r="D14" s="1773" t="s">
        <v>501</v>
      </c>
      <c r="E14" s="1774" t="s">
        <v>958</v>
      </c>
      <c r="F14" s="1775">
        <f>SUM(F8:F13)</f>
        <v>3189393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255</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79529</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9205</v>
      </c>
      <c r="G52" s="865"/>
    </row>
    <row r="53" spans="1:7" x14ac:dyDescent="0.2">
      <c r="A53" s="869" t="s">
        <v>459</v>
      </c>
      <c r="B53" s="869" t="s">
        <v>1475</v>
      </c>
      <c r="C53" s="889">
        <f>'Expenditures 15-22'!B102</f>
        <v>4000</v>
      </c>
      <c r="D53" s="888" t="str">
        <f>'Expenditures 15-22'!A102</f>
        <v>Total Payments to Other Govt Units</v>
      </c>
      <c r="E53" s="868"/>
      <c r="F53" s="1913">
        <f>'Expenditures 15-22'!K102</f>
        <v>76284</v>
      </c>
      <c r="G53" s="865"/>
    </row>
    <row r="54" spans="1:7" x14ac:dyDescent="0.2">
      <c r="A54" s="869" t="s">
        <v>459</v>
      </c>
      <c r="B54" s="869" t="s">
        <v>1476</v>
      </c>
      <c r="C54" s="889" t="s">
        <v>982</v>
      </c>
      <c r="D54" s="885" t="s">
        <v>1095</v>
      </c>
      <c r="E54" s="868"/>
      <c r="F54" s="1913">
        <f>'Expenditures 15-22'!G114</f>
        <v>18008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104630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259600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4476</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362675</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2536</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509</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917707</v>
      </c>
      <c r="G76" s="865"/>
    </row>
    <row r="77" spans="1:8" s="893" customFormat="1" ht="12" customHeight="1" thickTop="1" thickBot="1" x14ac:dyDescent="0.25">
      <c r="A77" s="1779"/>
      <c r="B77" s="1776"/>
      <c r="C77" s="1772"/>
      <c r="D77" s="1777" t="s">
        <v>1900</v>
      </c>
      <c r="E77" s="1774"/>
      <c r="F77" s="1780">
        <f>(F14-F76)</f>
        <v>2271686</v>
      </c>
      <c r="G77" s="869"/>
    </row>
    <row r="78" spans="1:8" s="893" customFormat="1" ht="12" customHeight="1" thickTop="1" x14ac:dyDescent="0.2">
      <c r="A78" s="1781"/>
      <c r="B78" s="1776"/>
      <c r="C78" s="1772"/>
      <c r="D78" s="1777" t="s">
        <v>2062</v>
      </c>
      <c r="E78" s="1774"/>
      <c r="F78" s="898">
        <v>277.60000000000002</v>
      </c>
      <c r="G78" s="899"/>
      <c r="H78" s="869"/>
    </row>
    <row r="79" spans="1:8" s="893" customFormat="1" ht="12" customHeight="1" thickBot="1" x14ac:dyDescent="0.25">
      <c r="A79" s="1782"/>
      <c r="B79" s="1776"/>
      <c r="C79" s="1772"/>
      <c r="D79" s="1777" t="s">
        <v>1901</v>
      </c>
      <c r="E79" s="1774" t="s">
        <v>958</v>
      </c>
      <c r="F79" s="1783">
        <f>IF(F78&gt;0,F77/F78," Complete Line 78")</f>
        <v>8183.3069164265125</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33814</v>
      </c>
      <c r="G94" s="912"/>
    </row>
    <row r="95" spans="1:7" x14ac:dyDescent="0.2">
      <c r="A95" s="908" t="s">
        <v>140</v>
      </c>
      <c r="B95" s="908" t="s">
        <v>175</v>
      </c>
      <c r="C95" s="910">
        <v>1700</v>
      </c>
      <c r="D95" s="918" t="str">
        <f>'Revenues 9-14'!A82</f>
        <v>Total District/School Activity Income</v>
      </c>
      <c r="E95" s="906"/>
      <c r="F95" s="1789">
        <f>SUM('Revenues 9-14'!C82,'Revenues 9-14'!D82)</f>
        <v>14043</v>
      </c>
      <c r="G95" s="912"/>
    </row>
    <row r="96" spans="1:7" x14ac:dyDescent="0.2">
      <c r="A96" s="908" t="s">
        <v>459</v>
      </c>
      <c r="B96" s="908" t="s">
        <v>176</v>
      </c>
      <c r="C96" s="910">
        <f>'Revenues 9-14'!B84</f>
        <v>1811</v>
      </c>
      <c r="D96" s="911" t="str">
        <f>'Revenues 9-14'!A84</f>
        <v>Rentals - Regular Textbooks</v>
      </c>
      <c r="E96" s="906"/>
      <c r="F96" s="1789">
        <f>'Revenues 9-14'!C84</f>
        <v>5870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1280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50000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5</v>
      </c>
      <c r="G104" s="912"/>
    </row>
    <row r="105" spans="1:7" x14ac:dyDescent="0.2">
      <c r="A105" s="908" t="s">
        <v>503</v>
      </c>
      <c r="B105" s="908" t="s">
        <v>2003</v>
      </c>
      <c r="C105" s="913">
        <v>3100</v>
      </c>
      <c r="D105" s="919" t="str">
        <f>'Revenues 9-14'!A132</f>
        <v>Total Special Education</v>
      </c>
      <c r="E105" s="906"/>
      <c r="F105" s="1789">
        <f>SUM('Revenues 9-14'!C132:D132,'Revenues 9-14'!F132)</f>
        <v>10912</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15891</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2357</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1523</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62995</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25930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121429</v>
      </c>
      <c r="G125" s="930"/>
    </row>
    <row r="126" spans="1:7" x14ac:dyDescent="0.2">
      <c r="A126" s="927" t="s">
        <v>668</v>
      </c>
      <c r="B126" s="927" t="s">
        <v>2024</v>
      </c>
      <c r="C126" s="932">
        <v>4300</v>
      </c>
      <c r="D126" s="933" t="str">
        <f>'Revenues 9-14'!A204</f>
        <v>Total Title I</v>
      </c>
      <c r="E126" s="906"/>
      <c r="F126" s="1789">
        <f>SUM('Revenues 9-14'!C204,'Revenues 9-14'!D204,'Revenues 9-14'!F204,'Revenues 9-14'!G204)</f>
        <v>51409</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4012</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2546</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1810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5009</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4999</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415834</v>
      </c>
    </row>
    <row r="175" spans="1:7" ht="12" customHeight="1" x14ac:dyDescent="0.2">
      <c r="A175" s="1770"/>
      <c r="B175" s="1784"/>
      <c r="C175" s="1785"/>
      <c r="D175" s="1786" t="s">
        <v>2057</v>
      </c>
      <c r="E175" s="1787"/>
      <c r="F175" s="1789">
        <f>'PCTC-OEPP 27-28'!F77-F174</f>
        <v>1855852</v>
      </c>
    </row>
    <row r="176" spans="1:7" ht="12" customHeight="1" x14ac:dyDescent="0.2">
      <c r="A176" s="1770"/>
      <c r="B176" s="1784"/>
      <c r="C176" s="1785"/>
      <c r="D176" s="1786" t="s">
        <v>1817</v>
      </c>
      <c r="E176" s="1787"/>
      <c r="F176" s="1789">
        <f>'Cap Outlay Deprec 26'!I18</f>
        <v>288222</v>
      </c>
    </row>
    <row r="177" spans="1:7" ht="12" customHeight="1" x14ac:dyDescent="0.2">
      <c r="A177" s="1770"/>
      <c r="B177" s="1784"/>
      <c r="C177" s="1785"/>
      <c r="D177" s="1786" t="s">
        <v>2058</v>
      </c>
      <c r="E177" s="1787"/>
      <c r="F177" s="1789">
        <f>F175+F176</f>
        <v>2144074</v>
      </c>
    </row>
    <row r="178" spans="1:7" ht="12" customHeight="1" x14ac:dyDescent="0.2">
      <c r="A178" s="1770"/>
      <c r="B178" s="1790"/>
      <c r="C178" s="1785"/>
      <c r="D178" s="1786" t="str">
        <f>D78</f>
        <v>9 Month ADA from District Average Daily Attendance/Prior General State Aid Inquiry 2018-2019</v>
      </c>
      <c r="E178" s="1787"/>
      <c r="F178" s="1791">
        <f>'PCTC-OEPP 27-28'!F78</f>
        <v>277.60000000000002</v>
      </c>
      <c r="G178" s="930"/>
    </row>
    <row r="179" spans="1:7" ht="12" customHeight="1" thickBot="1" x14ac:dyDescent="0.25">
      <c r="A179" s="1770"/>
      <c r="B179" s="1790"/>
      <c r="C179" s="1785"/>
      <c r="D179" s="1786" t="s">
        <v>2059</v>
      </c>
      <c r="E179" s="1787" t="s">
        <v>1545</v>
      </c>
      <c r="F179" s="1792">
        <f>F177/F178</f>
        <v>7723.609510086455</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65"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B18" sqref="B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534" t="s">
        <v>1819</v>
      </c>
      <c r="B6" s="1535"/>
      <c r="C6" s="1535"/>
      <c r="D6" s="1535"/>
      <c r="E6" s="1535"/>
      <c r="F6" s="1535"/>
      <c r="G6" s="1536"/>
    </row>
    <row r="7" spans="1:7" ht="30.75" customHeight="1" x14ac:dyDescent="0.25">
      <c r="A7" s="2279" t="s">
        <v>1932</v>
      </c>
      <c r="B7" s="2280"/>
      <c r="C7" s="2280"/>
      <c r="D7" s="2280"/>
      <c r="E7" s="2280"/>
      <c r="F7" s="2280"/>
      <c r="G7" s="2281"/>
    </row>
    <row r="8" spans="1:7" ht="15.75" customHeight="1" x14ac:dyDescent="0.25">
      <c r="A8" s="2282" t="s">
        <v>1907</v>
      </c>
      <c r="B8" s="2283"/>
      <c r="C8" s="2283"/>
      <c r="D8" s="2283"/>
      <c r="E8" s="2283"/>
      <c r="F8" s="2283"/>
      <c r="G8" s="2284"/>
    </row>
    <row r="9" spans="1:7" ht="35.25" customHeight="1" x14ac:dyDescent="0.25">
      <c r="A9" s="2279" t="s">
        <v>1935</v>
      </c>
      <c r="B9" s="2280"/>
      <c r="C9" s="2280"/>
      <c r="D9" s="2280"/>
      <c r="E9" s="2280"/>
      <c r="F9" s="2280"/>
      <c r="G9" s="2281"/>
    </row>
    <row r="10" spans="1:7" ht="15" customHeight="1" x14ac:dyDescent="0.25">
      <c r="A10" s="1537" t="s">
        <v>1820</v>
      </c>
      <c r="B10" s="1538"/>
      <c r="C10" s="1538"/>
      <c r="D10" s="1538"/>
      <c r="E10" s="1538"/>
      <c r="F10" s="1538"/>
      <c r="G10" s="1539"/>
    </row>
    <row r="11" spans="1:7" ht="17.25" customHeight="1" x14ac:dyDescent="0.25">
      <c r="A11" s="2279" t="s">
        <v>1934</v>
      </c>
      <c r="B11" s="2280"/>
      <c r="C11" s="2280"/>
      <c r="D11" s="2280"/>
      <c r="E11" s="2280"/>
      <c r="F11" s="2280"/>
      <c r="G11" s="2281"/>
    </row>
    <row r="12" spans="1:7" ht="15" customHeight="1" x14ac:dyDescent="0.25">
      <c r="A12" s="1537" t="s">
        <v>1825</v>
      </c>
      <c r="B12" s="1538"/>
      <c r="C12" s="1538"/>
      <c r="D12" s="1538"/>
      <c r="E12" s="1538"/>
      <c r="F12" s="1538"/>
      <c r="G12" s="1539"/>
    </row>
    <row r="13" spans="1:7" ht="32.25" customHeight="1" x14ac:dyDescent="0.25">
      <c r="A13" s="2270" t="s">
        <v>1976</v>
      </c>
      <c r="B13" s="2271"/>
      <c r="C13" s="2271"/>
      <c r="D13" s="2271"/>
      <c r="E13" s="2271"/>
      <c r="F13" s="2271"/>
      <c r="G13" s="2272"/>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2081</v>
      </c>
      <c r="B17" s="2490" t="s">
        <v>2107</v>
      </c>
      <c r="C17" s="1938" t="s">
        <v>2082</v>
      </c>
      <c r="D17" s="1844">
        <v>5100</v>
      </c>
      <c r="E17" s="1540">
        <f t="shared" ref="E17:E141" si="0">IF(D17&lt;=25000,D17,IF(D17&gt;25000,25000,0))</f>
        <v>5100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5100</v>
      </c>
      <c r="G17" s="1793">
        <f>IF(F17=0,0,D17-F17)</f>
        <v>0</v>
      </c>
      <c r="H17" s="1647"/>
    </row>
    <row r="18" spans="1:8" x14ac:dyDescent="0.25">
      <c r="A18" s="1937" t="s">
        <v>2083</v>
      </c>
      <c r="B18" s="2490" t="s">
        <v>2108</v>
      </c>
      <c r="C18" s="1938" t="s">
        <v>2084</v>
      </c>
      <c r="D18" s="1844">
        <v>33316</v>
      </c>
      <c r="E18" s="1540">
        <f t="shared" ref="E18:E140" si="2">IF(D18&lt;=25000,D18,IF(D18&gt;25000,25000,0))</f>
        <v>25000</v>
      </c>
      <c r="F18" s="1932">
        <f t="shared" si="1"/>
        <v>25000</v>
      </c>
      <c r="G18" s="1793">
        <f t="shared" ref="G18:G140" si="3">IF(F18=0,0,D18-F18)</f>
        <v>8316</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38416</v>
      </c>
      <c r="E141" s="1541">
        <f t="shared" si="0"/>
        <v>25000</v>
      </c>
      <c r="F141" s="1933">
        <f>SUM(F17:F140)</f>
        <v>30100</v>
      </c>
      <c r="G141" s="1795">
        <f>SUM(G17:G140)</f>
        <v>8316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73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144048</v>
      </c>
      <c r="F10" s="974"/>
      <c r="G10" s="975"/>
      <c r="H10" s="162"/>
      <c r="I10" s="162"/>
    </row>
    <row r="11" spans="1:9" s="668" customFormat="1" ht="22.5" customHeight="1" x14ac:dyDescent="0.2">
      <c r="A11" s="2290" t="s">
        <v>1977</v>
      </c>
      <c r="B11" s="2291"/>
      <c r="C11" s="2291"/>
      <c r="D11" s="2292"/>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1228488</v>
      </c>
      <c r="F19" s="1799"/>
      <c r="G19" s="1801">
        <f>'Expenditures 15-22'!K33-SUM('Expenditures 15-22'!G33,'Expenditures 15-22'!I33)+'Expenditures 15-22'!D229</f>
        <v>1228488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66978</v>
      </c>
      <c r="F21" s="1802"/>
      <c r="G21" s="1805">
        <f>'Expenditures 15-22'!K42-SUM('Expenditures 15-22'!G42,'Expenditures 15-22'!I42)+'Expenditures 15-22'!K120-SUM('Expenditures 15-22'!G120,'Expenditures 15-22'!I120)+'Expenditures 15-22'!K180-SUM('Expenditures 15-22'!G180,'Expenditures 15-22'!I180)+'Expenditures 15-22'!D238</f>
        <v>66978</v>
      </c>
      <c r="H21" s="987"/>
      <c r="I21" s="162"/>
    </row>
    <row r="22" spans="1:9" s="668" customFormat="1" ht="12" customHeight="1" x14ac:dyDescent="0.2">
      <c r="A22" s="994" t="s">
        <v>564</v>
      </c>
      <c r="B22" s="995"/>
      <c r="C22" s="993">
        <v>2200</v>
      </c>
      <c r="D22" s="1802"/>
      <c r="E22" s="1804">
        <f>'Expenditures 15-22'!K47-SUM('Expenditures 15-22'!G47,'Expenditures 15-22'!I47)+'Expenditures 15-22'!D243</f>
        <v>69627</v>
      </c>
      <c r="F22" s="1802"/>
      <c r="G22" s="1805">
        <f>'Expenditures 15-22'!K47-SUM('Expenditures 15-22'!G47,'Expenditures 15-22'!I47)+'Expenditures 15-22'!D243</f>
        <v>69627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337162</v>
      </c>
      <c r="F23" s="1802"/>
      <c r="G23" s="1804">
        <f>'Expenditures 15-22'!K53-SUM('Expenditures 15-22'!G53,'Expenditures 15-22'!I53)+'Expenditures 15-22'!D257+'Expenditures 15-22'!K330-SUM('Expenditures 15-22'!G330,'Expenditures 15-22'!I330)</f>
        <v>337162</v>
      </c>
      <c r="H23" s="987"/>
      <c r="I23" s="162"/>
    </row>
    <row r="24" spans="1:9" s="668" customFormat="1" ht="12" customHeight="1" x14ac:dyDescent="0.2">
      <c r="A24" s="994" t="s">
        <v>566</v>
      </c>
      <c r="B24" s="995"/>
      <c r="C24" s="993">
        <v>2400</v>
      </c>
      <c r="D24" s="1802"/>
      <c r="E24" s="1804">
        <f>'Expenditures 15-22'!K57-SUM('Expenditures 15-22'!G57,'Expenditures 15-22'!I57)+'Expenditures 15-22'!D261</f>
        <v>142509</v>
      </c>
      <c r="F24" s="1802"/>
      <c r="G24" s="1805">
        <f>'Expenditures 15-22'!K57-SUM('Expenditures 15-22'!G57,'Expenditures 15-22'!I57)+'Expenditures 15-22'!D261</f>
        <v>142509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54155</v>
      </c>
      <c r="E27" s="1804">
        <f>E8</f>
        <v>0</v>
      </c>
      <c r="F27" s="1804">
        <f>'Expenditures 15-22'!K60-SUM('Expenditures 15-22'!G60,'Expenditures 15-22'!I60)+'Expenditures 15-22'!D264-E8</f>
        <v>54155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151418</v>
      </c>
      <c r="F28" s="1806">
        <f>'Expenditures 15-22'!K61-SUM('Expenditures 15-22'!G61,'Expenditures 15-22'!I61)+'Expenditures 15-22'!K124-SUM('Expenditures 15-22'!G124,'Expenditures 15-22'!I124)+'Expenditures 15-22'!D266-E9</f>
        <v>151418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99013</v>
      </c>
      <c r="F29" s="1802"/>
      <c r="G29" s="1805">
        <f>'Expenditures 15-22'!K62-SUM('Expenditures 15-22'!G62,'Expenditures 15-22'!I62)+'Expenditures 15-22'!K125-SUM('Expenditures 15-22'!G125,'Expenditures 15-22'!I125)+'Expenditures 15-22'!K182-SUM('Expenditures 15-22'!G182,'Expenditures 15-22'!I182)+'Expenditures 15-22'!D267</f>
        <v>99013</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30295</v>
      </c>
      <c r="F38" s="1802"/>
      <c r="G38" s="1804">
        <f>'Expenditures 15-22'!K73-SUM('Expenditures 15-22'!G73,'Expenditures 15-22'!I73)+'Expenditures 15-22'!K128-SUM('Expenditures 15-22'!G128,'Expenditures 15-22'!I128)+'Expenditures 15-22'!K183-SUM('Expenditures 15-22'!G183,'Expenditures 15-22'!I183)+'Expenditures 15-22'!D278</f>
        <v>30295</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9714</v>
      </c>
      <c r="F39" s="1802"/>
      <c r="G39" s="1804">
        <f>'Expenditures 15-22'!K75-SUM('Expenditures 15-22'!G75,'Expenditures 15-22'!I75)+'Expenditures 15-22'!K130-SUM('Expenditures 15-22'!G130,'Expenditures 15-22'!I130)+'Expenditures 15-22'!K185-SUM('Expenditures 15-22'!G185,'Expenditures 15-22'!I185)+'Expenditures 15-22'!D280</f>
        <v>9714</v>
      </c>
    </row>
    <row r="40" spans="1:7" ht="12" customHeight="1" x14ac:dyDescent="0.2">
      <c r="A40" s="990" t="s">
        <v>1823</v>
      </c>
      <c r="B40" s="991"/>
      <c r="C40" s="993"/>
      <c r="D40" s="1802"/>
      <c r="E40" s="1806">
        <f>-'Contracts Paid in CY 29'!G141</f>
        <v>-8316</v>
      </c>
      <c r="F40" s="1802"/>
      <c r="G40" s="1806">
        <f>-'Contracts Paid in CY 29'!G141</f>
        <v>-8316</v>
      </c>
    </row>
    <row r="41" spans="1:7" ht="12" customHeight="1" x14ac:dyDescent="0.2">
      <c r="A41" s="998" t="s">
        <v>156</v>
      </c>
      <c r="B41" s="999"/>
      <c r="C41" s="1000"/>
      <c r="D41" s="1806">
        <f>SUM(D19:D39)</f>
        <v>54155</v>
      </c>
      <c r="E41" s="1806">
        <f>SUM(E19:E40)</f>
        <v>2126888</v>
      </c>
      <c r="F41" s="1806">
        <f>SUM(F19:F39)</f>
        <v>205573</v>
      </c>
      <c r="G41" s="1806">
        <f>SUM(G19:G40)</f>
        <v>1975470</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54155</v>
      </c>
      <c r="F43" s="1807" t="s">
        <v>473</v>
      </c>
      <c r="G43" s="1808">
        <f>F41</f>
        <v>205573</v>
      </c>
    </row>
    <row r="44" spans="1:7" ht="12" customHeight="1" x14ac:dyDescent="0.2">
      <c r="A44" s="987"/>
      <c r="B44" s="162"/>
      <c r="C44" s="1001"/>
      <c r="D44" s="1807" t="s">
        <v>474</v>
      </c>
      <c r="E44" s="1808">
        <f>E41</f>
        <v>2126888</v>
      </c>
      <c r="F44" s="1807" t="s">
        <v>474</v>
      </c>
      <c r="G44" s="1808">
        <f>G41</f>
        <v>1975470</v>
      </c>
    </row>
    <row r="45" spans="1:7" ht="12" customHeight="1" x14ac:dyDescent="0.2">
      <c r="A45" s="987"/>
      <c r="B45" s="162"/>
      <c r="C45" s="162"/>
      <c r="D45" s="1809" t="s">
        <v>1006</v>
      </c>
      <c r="E45" s="1810">
        <f>(E43/E44)</f>
        <v>2.5462083569985819E-2</v>
      </c>
      <c r="F45" s="1809" t="s">
        <v>1006</v>
      </c>
      <c r="G45" s="1810">
        <f>(G43/G44)</f>
        <v>0.10406283061752393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75"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27" sqref="C2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Clay City CUSD 10</v>
      </c>
      <c r="D6" s="2300"/>
      <c r="E6" s="2300"/>
      <c r="F6" s="1852"/>
    </row>
    <row r="7" spans="1:10" ht="11.25" customHeight="1" thickBot="1" x14ac:dyDescent="0.3">
      <c r="A7" s="1850"/>
      <c r="B7" s="1851"/>
      <c r="C7" s="2301">
        <f>COVER!A13</f>
        <v>12013010026</v>
      </c>
      <c r="D7" s="2301"/>
      <c r="E7" s="2301"/>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2085</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69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Clay City CUSD 10</v>
      </c>
      <c r="J6" s="2321"/>
      <c r="Q6" s="1664"/>
    </row>
    <row r="7" spans="1:17" x14ac:dyDescent="0.2">
      <c r="A7" s="2322" t="s">
        <v>869</v>
      </c>
      <c r="B7" s="2323"/>
      <c r="C7" s="2323"/>
      <c r="D7" s="2323"/>
      <c r="E7" s="2324"/>
      <c r="F7" s="1017"/>
      <c r="G7" s="1009"/>
      <c r="H7" s="1016" t="s">
        <v>372</v>
      </c>
      <c r="I7" s="2325">
        <f>COVER!A13</f>
        <v>12013010026</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63348</v>
      </c>
      <c r="F12" s="1039"/>
      <c r="G12" s="1811">
        <f t="shared" ref="G12:G18" si="0">SUM(E12:F12)</f>
        <v>63348</v>
      </c>
      <c r="H12" s="1040">
        <v>70015</v>
      </c>
      <c r="I12" s="1039"/>
      <c r="J12" s="1811">
        <f t="shared" ref="J12:J18" si="1">SUM(H12:I12)</f>
        <v>70015</v>
      </c>
    </row>
    <row r="13" spans="1:17" ht="15" customHeight="1" x14ac:dyDescent="0.2">
      <c r="A13" s="1035">
        <v>2</v>
      </c>
      <c r="B13" s="1036" t="s">
        <v>42</v>
      </c>
      <c r="C13" s="1037"/>
      <c r="D13" s="1038">
        <v>2330</v>
      </c>
      <c r="E13" s="1811">
        <f>'Expenditures 15-22'!K51</f>
        <v>71578</v>
      </c>
      <c r="F13" s="1039"/>
      <c r="G13" s="1811">
        <f t="shared" si="0"/>
        <v>71578</v>
      </c>
      <c r="H13" s="1040">
        <v>81110</v>
      </c>
      <c r="I13" s="1039"/>
      <c r="J13" s="1811">
        <f t="shared" si="1"/>
        <v>81110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134926</v>
      </c>
      <c r="F19" s="1813">
        <f t="shared" si="2"/>
        <v>0</v>
      </c>
      <c r="G19" s="1813">
        <f t="shared" si="2"/>
        <v>134926</v>
      </c>
      <c r="H19" s="1813">
        <f t="shared" si="2"/>
        <v>151125</v>
      </c>
      <c r="I19" s="1813">
        <f t="shared" si="2"/>
        <v>0</v>
      </c>
      <c r="J19" s="1813">
        <f t="shared" si="2"/>
        <v>151125</v>
      </c>
    </row>
    <row r="20" spans="1:10" ht="13.5" thickTop="1" x14ac:dyDescent="0.2">
      <c r="A20" s="1035">
        <v>9</v>
      </c>
      <c r="B20" s="2332" t="s">
        <v>1981</v>
      </c>
      <c r="C20" s="2332"/>
      <c r="D20" s="2333"/>
      <c r="E20" s="1046"/>
      <c r="F20" s="1046"/>
      <c r="G20" s="1046"/>
      <c r="H20" s="1046"/>
      <c r="I20" s="1046"/>
      <c r="J20" s="1814">
        <f>IF(AND(G19&gt;0,J19&gt;0),(((J19-G19)/G19)),"Enter Budget Data")</f>
        <v>0.12005840238352875</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1983</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76&amp;C &amp;R&amp;8Page 76</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H65"/>
  <sheetViews>
    <sheetView showGridLines="0" zoomScale="110" zoomScaleNormal="110" workbookViewId="0">
      <selection activeCell="B34" sqref="B34"/>
    </sheetView>
  </sheetViews>
  <sheetFormatPr defaultRowHeight="12.75" x14ac:dyDescent="0.2"/>
  <cols>
    <col min="1" max="1" width="5.28515625" style="329" customWidth="1"/>
    <col min="2" max="2" width="7" style="329" customWidth="1"/>
    <col min="3" max="3" width="3.140625" style="329" customWidth="1"/>
    <col min="4" max="7" width="9.140625" style="329"/>
    <col min="8" max="8" width="11" style="329" bestFit="1" customWidth="1"/>
    <col min="9" max="16384" width="9.140625" style="329"/>
  </cols>
  <sheetData>
    <row r="2" spans="1:8" x14ac:dyDescent="0.2">
      <c r="A2" s="389" t="s">
        <v>258</v>
      </c>
    </row>
    <row r="3" spans="1:8" x14ac:dyDescent="0.2">
      <c r="A3" s="329" t="s">
        <v>259</v>
      </c>
    </row>
    <row r="5" spans="1:8" x14ac:dyDescent="0.2">
      <c r="A5" s="1068">
        <v>1</v>
      </c>
      <c r="B5" s="329" t="s">
        <v>2086</v>
      </c>
    </row>
    <row r="6" spans="1:8" ht="13.5" thickBot="1" x14ac:dyDescent="0.25">
      <c r="A6" s="1068"/>
      <c r="C6" s="329" t="s">
        <v>2087</v>
      </c>
      <c r="H6" s="1940">
        <v>2225</v>
      </c>
    </row>
    <row r="7" spans="1:8" ht="13.5" thickTop="1" x14ac:dyDescent="0.2">
      <c r="A7" s="1068"/>
    </row>
    <row r="8" spans="1:8" x14ac:dyDescent="0.2">
      <c r="A8" s="1068">
        <v>2</v>
      </c>
      <c r="B8" s="329" t="s">
        <v>2088</v>
      </c>
    </row>
    <row r="9" spans="1:8" ht="13.5" thickBot="1" x14ac:dyDescent="0.25">
      <c r="A9" s="1069"/>
      <c r="C9" s="329" t="s">
        <v>2089</v>
      </c>
      <c r="H9" s="1940">
        <v>5</v>
      </c>
    </row>
    <row r="10" spans="1:8" ht="13.5" thickTop="1" x14ac:dyDescent="0.2">
      <c r="A10" s="1069"/>
    </row>
    <row r="11" spans="1:8" x14ac:dyDescent="0.2">
      <c r="A11" s="1069">
        <v>3</v>
      </c>
      <c r="B11" s="329" t="s">
        <v>2090</v>
      </c>
    </row>
    <row r="12" spans="1:8" x14ac:dyDescent="0.2">
      <c r="A12" s="1069"/>
      <c r="C12" s="329" t="s">
        <v>2091</v>
      </c>
      <c r="H12" s="1939">
        <v>2367</v>
      </c>
    </row>
    <row r="13" spans="1:8" x14ac:dyDescent="0.2">
      <c r="A13" s="1069"/>
      <c r="C13" s="329" t="s">
        <v>2092</v>
      </c>
      <c r="H13" s="1941">
        <v>2765</v>
      </c>
    </row>
    <row r="14" spans="1:8" x14ac:dyDescent="0.2">
      <c r="A14" s="1069"/>
      <c r="C14" s="329" t="s">
        <v>1063</v>
      </c>
      <c r="H14" s="1942">
        <v>3022</v>
      </c>
    </row>
    <row r="15" spans="1:8" ht="13.5" thickBot="1" x14ac:dyDescent="0.25">
      <c r="A15" s="1069"/>
      <c r="H15" s="1943">
        <f>SUM(H12:H14)</f>
        <v>8154</v>
      </c>
    </row>
    <row r="16" spans="1:8" ht="13.5" thickTop="1" x14ac:dyDescent="0.2">
      <c r="A16" s="1069"/>
    </row>
    <row r="17" spans="1:8" x14ac:dyDescent="0.2">
      <c r="A17" s="1069">
        <v>4</v>
      </c>
      <c r="B17" s="329" t="s">
        <v>2093</v>
      </c>
    </row>
    <row r="18" spans="1:8" x14ac:dyDescent="0.2">
      <c r="A18" s="1069"/>
      <c r="C18" s="329" t="s">
        <v>2094</v>
      </c>
      <c r="H18" s="1939">
        <v>671</v>
      </c>
    </row>
    <row r="19" spans="1:8" x14ac:dyDescent="0.2">
      <c r="A19" s="1069"/>
      <c r="C19" s="329" t="s">
        <v>1063</v>
      </c>
      <c r="H19" s="1942">
        <v>1218</v>
      </c>
    </row>
    <row r="20" spans="1:8" ht="13.5" thickBot="1" x14ac:dyDescent="0.25">
      <c r="A20" s="1069"/>
      <c r="H20" s="1943">
        <f>SUM(H18:H19)</f>
        <v>1889</v>
      </c>
    </row>
    <row r="21" spans="1:8" ht="13.5" thickTop="1" x14ac:dyDescent="0.2">
      <c r="A21" s="1069"/>
    </row>
    <row r="22" spans="1:8" x14ac:dyDescent="0.2">
      <c r="A22" s="1069">
        <v>5</v>
      </c>
      <c r="B22" s="329" t="s">
        <v>2095</v>
      </c>
    </row>
    <row r="23" spans="1:8" x14ac:dyDescent="0.2">
      <c r="A23" s="1069"/>
      <c r="C23" s="329" t="s">
        <v>2096</v>
      </c>
      <c r="H23" s="1939">
        <v>699</v>
      </c>
    </row>
    <row r="24" spans="1:8" x14ac:dyDescent="0.2">
      <c r="A24" s="1069"/>
      <c r="C24" s="329" t="s">
        <v>1063</v>
      </c>
      <c r="H24" s="1942">
        <v>680</v>
      </c>
    </row>
    <row r="25" spans="1:8" ht="13.5" thickBot="1" x14ac:dyDescent="0.25">
      <c r="A25" s="1069"/>
      <c r="H25" s="1943">
        <f>SUM(H23:H24)</f>
        <v>1379</v>
      </c>
    </row>
    <row r="26" spans="1:8" ht="13.5" thickTop="1" x14ac:dyDescent="0.2">
      <c r="A26" s="1069"/>
    </row>
    <row r="27" spans="1:8" x14ac:dyDescent="0.2">
      <c r="A27" s="1069"/>
    </row>
    <row r="28" spans="1:8" x14ac:dyDescent="0.2">
      <c r="A28" s="1069">
        <v>6</v>
      </c>
      <c r="B28" s="329" t="s">
        <v>2097</v>
      </c>
    </row>
    <row r="29" spans="1:8" x14ac:dyDescent="0.2">
      <c r="A29" s="1069"/>
      <c r="C29" s="329" t="s">
        <v>2098</v>
      </c>
      <c r="H29" s="1939">
        <v>25180</v>
      </c>
    </row>
    <row r="30" spans="1:8" x14ac:dyDescent="0.2">
      <c r="A30" s="1069"/>
      <c r="C30" s="329" t="s">
        <v>2099</v>
      </c>
      <c r="H30" s="1942">
        <v>750</v>
      </c>
    </row>
    <row r="31" spans="1:8" ht="13.5" thickBot="1" x14ac:dyDescent="0.25">
      <c r="A31" s="1069"/>
      <c r="H31" s="1940">
        <f>SUM(H29:H30)</f>
        <v>25930</v>
      </c>
    </row>
    <row r="32" spans="1:8" ht="13.5" thickTop="1" x14ac:dyDescent="0.2">
      <c r="A32" s="1069"/>
    </row>
    <row r="33" spans="1:8" x14ac:dyDescent="0.2">
      <c r="A33" s="1069">
        <v>7</v>
      </c>
      <c r="B33" s="329" t="s">
        <v>2105</v>
      </c>
    </row>
    <row r="34" spans="1:8" ht="13.5" thickBot="1" x14ac:dyDescent="0.25">
      <c r="A34" s="1069"/>
      <c r="C34" s="329" t="s">
        <v>2100</v>
      </c>
      <c r="H34" s="1940">
        <v>4999</v>
      </c>
    </row>
    <row r="35" spans="1:8" ht="13.5" thickTop="1" x14ac:dyDescent="0.2">
      <c r="A35" s="1069"/>
    </row>
    <row r="36" spans="1:8" x14ac:dyDescent="0.2">
      <c r="A36" s="1069">
        <v>8</v>
      </c>
      <c r="B36" s="329" t="s">
        <v>2101</v>
      </c>
    </row>
    <row r="37" spans="1:8" ht="13.5" thickBot="1" x14ac:dyDescent="0.25">
      <c r="A37" s="1069"/>
      <c r="C37" s="329" t="s">
        <v>2102</v>
      </c>
      <c r="H37" s="1940">
        <v>23661</v>
      </c>
    </row>
    <row r="38" spans="1:8" ht="13.5" thickTop="1" x14ac:dyDescent="0.2">
      <c r="A38" s="1069"/>
    </row>
    <row r="39" spans="1:8" x14ac:dyDescent="0.2">
      <c r="A39" s="1069">
        <v>9</v>
      </c>
      <c r="B39" s="329" t="s">
        <v>2103</v>
      </c>
    </row>
    <row r="40" spans="1:8" ht="13.5" thickBot="1" x14ac:dyDescent="0.25">
      <c r="A40" s="1069"/>
      <c r="C40" s="329" t="s">
        <v>2104</v>
      </c>
      <c r="H40" s="1940">
        <v>700</v>
      </c>
    </row>
    <row r="41" spans="1:8" ht="13.5" thickTop="1" x14ac:dyDescent="0.2">
      <c r="A41" s="1069"/>
    </row>
    <row r="42" spans="1:8" x14ac:dyDescent="0.2">
      <c r="A42" s="1069"/>
    </row>
    <row r="43" spans="1:8" x14ac:dyDescent="0.2">
      <c r="A43" s="1069"/>
    </row>
    <row r="44" spans="1:8" x14ac:dyDescent="0.2">
      <c r="A44" s="1069"/>
    </row>
    <row r="45" spans="1:8" x14ac:dyDescent="0.2">
      <c r="A45" s="1069"/>
    </row>
    <row r="46" spans="1:8" x14ac:dyDescent="0.2">
      <c r="A46" s="1069"/>
    </row>
    <row r="47" spans="1:8" x14ac:dyDescent="0.2">
      <c r="A47" s="1069"/>
    </row>
    <row r="48" spans="1:8"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Clay City CUSD 10</v>
      </c>
    </row>
    <row r="65" spans="2:2" x14ac:dyDescent="0.2">
      <c r="B65" s="1070">
        <f>COVER!A13</f>
        <v>12013010026</v>
      </c>
    </row>
  </sheetData>
  <phoneticPr fontId="15" type="noConversion"/>
  <pageMargins left="0.2" right="0.2" top="1.17" bottom="0.75" header="0.19" footer="0.16"/>
  <pageSetup scale="80" firstPageNumber="32" orientation="portrait" useFirstPageNumber="1" r:id="rId1"/>
  <headerFooter alignWithMargins="0">
    <oddHeader>&amp;L&amp;8Page 24&amp;C &amp;R&amp;8Page 24</oddHeader>
    <oddFooter>&amp;CThe Notes to the Fnancial Statements are intregal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1</xdr:col>
                <xdr:colOff>2466975</xdr:colOff>
                <xdr:row>5</xdr:row>
                <xdr:rowOff>19050</xdr:rowOff>
              </from>
              <to>
                <xdr:col>1</xdr:col>
                <xdr:colOff>3381375</xdr:colOff>
                <xdr:row>9</xdr:row>
                <xdr:rowOff>57150</xdr:rowOff>
              </to>
            </anchor>
          </objectPr>
        </oleObject>
      </mc:Choice>
      <mc:Fallback>
        <oleObject progId="Acrobat Document" dvAspect="DVASPECT_ICON" shapeId="29697" r:id="rId4"/>
      </mc:Fallback>
    </mc:AlternateContent>
    <mc:AlternateContent xmlns:mc="http://schemas.openxmlformats.org/markup-compatibility/2006">
      <mc:Choice Requires="x14">
        <oleObject progId="Acrobat Document" dvAspect="DVASPECT_ICON" shapeId="29698" r:id="rId6">
          <objectPr defaultSize="0" r:id="rId7">
            <anchor moveWithCells="1">
              <from>
                <xdr:col>1</xdr:col>
                <xdr:colOff>1266825</xdr:colOff>
                <xdr:row>5</xdr:row>
                <xdr:rowOff>0</xdr:rowOff>
              </from>
              <to>
                <xdr:col>1</xdr:col>
                <xdr:colOff>2181225</xdr:colOff>
                <xdr:row>9</xdr:row>
                <xdr:rowOff>38100</xdr:rowOff>
              </to>
            </anchor>
          </objectPr>
        </oleObject>
      </mc:Choice>
      <mc:Fallback>
        <oleObject progId="Acrobat Document" dvAspect="DVASPECT_ICON" shapeId="29698" r:id="rId6"/>
      </mc:Fallback>
    </mc:AlternateContent>
    <mc:AlternateContent xmlns:mc="http://schemas.openxmlformats.org/markup-compatibility/2006">
      <mc:Choice Requires="x14">
        <oleObject progId="Document" dvAspect="DVASPECT_ICON" shapeId="29699" r:id="rId8">
          <objectPr defaultSize="0" r:id="rId9">
            <anchor moveWithCells="1">
              <from>
                <xdr:col>1</xdr:col>
                <xdr:colOff>0</xdr:colOff>
                <xdr:row>5</xdr:row>
                <xdr:rowOff>0</xdr:rowOff>
              </from>
              <to>
                <xdr:col>1</xdr:col>
                <xdr:colOff>914400</xdr:colOff>
                <xdr:row>9</xdr:row>
                <xdr:rowOff>38100</xdr:rowOff>
              </to>
            </anchor>
          </objectPr>
        </oleObject>
      </mc:Choice>
      <mc:Fallback>
        <oleObject progId="Document" dvAspect="DVASPECT_ICON" shapeId="2969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1987</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1988</v>
      </c>
      <c r="B4" s="2360"/>
      <c r="C4" s="2360"/>
      <c r="D4" s="2360"/>
      <c r="E4" s="2360"/>
      <c r="F4" s="2361"/>
      <c r="G4" s="1074"/>
      <c r="H4" s="1074"/>
    </row>
    <row r="5" spans="1:8" ht="14.25" customHeight="1" x14ac:dyDescent="0.2">
      <c r="A5" s="2362" t="s">
        <v>1984</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2264651</v>
      </c>
      <c r="C8" s="1815">
        <f>'Acct Summary 7-8'!D8</f>
        <v>189805</v>
      </c>
      <c r="D8" s="1815">
        <f>'Acct Summary 7-8'!F8</f>
        <v>234096</v>
      </c>
      <c r="E8" s="1815">
        <f>'Acct Summary 7-8'!I8</f>
        <v>13863</v>
      </c>
      <c r="F8" s="1815">
        <f>SUM(B8:E8)</f>
        <v>2702415</v>
      </c>
    </row>
    <row r="9" spans="1:8" s="1079" customFormat="1" ht="14.25" customHeight="1" thickBot="1" x14ac:dyDescent="0.25">
      <c r="A9" s="1078" t="s">
        <v>1369</v>
      </c>
      <c r="B9" s="1816">
        <f>'Acct Summary 7-8'!C17</f>
        <v>1948927</v>
      </c>
      <c r="C9" s="1816">
        <f>'Acct Summary 7-8'!D17</f>
        <v>246877</v>
      </c>
      <c r="D9" s="1816">
        <f>'Acct Summary 7-8'!F17</f>
        <v>457189</v>
      </c>
      <c r="E9" s="1815"/>
      <c r="F9" s="1815">
        <f>SUM(B9:E9)</f>
        <v>2652993</v>
      </c>
    </row>
    <row r="10" spans="1:8" s="1079" customFormat="1" ht="14.25" thickTop="1" thickBot="1" x14ac:dyDescent="0.25">
      <c r="A10" s="1080" t="s">
        <v>1370</v>
      </c>
      <c r="B10" s="1817">
        <f>(B8-B9)</f>
        <v>315724</v>
      </c>
      <c r="C10" s="1817">
        <f>(C8-C9)</f>
        <v>-57072</v>
      </c>
      <c r="D10" s="1817">
        <f>(D8-D9)</f>
        <v>-223093</v>
      </c>
      <c r="E10" s="1816">
        <f>(E8-E9)</f>
        <v>13863</v>
      </c>
      <c r="F10" s="1818">
        <f>SUM(F8-F9)</f>
        <v>49422</v>
      </c>
    </row>
    <row r="11" spans="1:8" s="1079" customFormat="1" ht="14.25" thickTop="1" thickBot="1" x14ac:dyDescent="0.25">
      <c r="A11" s="1081" t="s">
        <v>1985</v>
      </c>
      <c r="B11" s="1819">
        <f>'Acct Summary 7-8'!C81</f>
        <v>1949970</v>
      </c>
      <c r="C11" s="1819">
        <f>'Acct Summary 7-8'!D81</f>
        <v>-55210</v>
      </c>
      <c r="D11" s="1819">
        <f>'Acct Summary 7-8'!F81</f>
        <v>17760</v>
      </c>
      <c r="E11" s="1819">
        <f>'Acct Summary 7-8'!I81</f>
        <v>0</v>
      </c>
      <c r="F11" s="1820">
        <f>SUM(B11:E11)</f>
        <v>1912520</v>
      </c>
    </row>
    <row r="12" spans="1:8" ht="16.5" customHeight="1" thickTop="1" x14ac:dyDescent="0.2">
      <c r="A12" s="1082"/>
      <c r="B12" s="1083"/>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74&amp;R&amp;8Page 74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12013010026</v>
      </c>
    </row>
    <row r="3" spans="1:2" x14ac:dyDescent="0.2">
      <c r="A3" t="s">
        <v>956</v>
      </c>
      <c r="B3" s="138" t="str">
        <f>COVER!A15</f>
        <v>Clay</v>
      </c>
    </row>
    <row r="4" spans="1:2" x14ac:dyDescent="0.2">
      <c r="A4" t="s">
        <v>1007</v>
      </c>
      <c r="B4" s="138" t="str">
        <f>COVER!A17</f>
        <v>Clay City CUSD 10</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No</v>
      </c>
    </row>
    <row r="15" spans="1:2" x14ac:dyDescent="0.2">
      <c r="A15" t="s">
        <v>577</v>
      </c>
      <c r="B15" s="138" t="str">
        <f>COVER!T23</f>
        <v>060-009547</v>
      </c>
    </row>
    <row r="16" spans="1:2" x14ac:dyDescent="0.2">
      <c r="A16" t="s">
        <v>422</v>
      </c>
      <c r="B16" s="138" t="str">
        <f>COVER!T13</f>
        <v>Greg M. McCalley &amp; Associates, P.C.</v>
      </c>
    </row>
    <row r="17" spans="1:2" x14ac:dyDescent="0.2">
      <c r="A17" t="s">
        <v>884</v>
      </c>
      <c r="B17" s="138" t="str">
        <f>COVER!T15</f>
        <v xml:space="preserve">Greg M. McCalley  </v>
      </c>
    </row>
    <row r="18" spans="1:2" x14ac:dyDescent="0.2">
      <c r="A18" t="s">
        <v>1150</v>
      </c>
      <c r="B18" s="138" t="str">
        <f>COVER!T17</f>
        <v>855 E. Ferguson Ave.</v>
      </c>
    </row>
    <row r="19" spans="1:2" x14ac:dyDescent="0.2">
      <c r="A19" t="s">
        <v>886</v>
      </c>
      <c r="B19" s="138" t="str">
        <f>COVER!T25</f>
        <v>Greg@dmacpa.coom</v>
      </c>
    </row>
    <row r="20" spans="1:2" x14ac:dyDescent="0.2">
      <c r="A20" t="s">
        <v>887</v>
      </c>
      <c r="B20" s="138" t="str">
        <f>COVER!T19</f>
        <v>Wood River</v>
      </c>
    </row>
    <row r="21" spans="1:2" x14ac:dyDescent="0.2">
      <c r="A21" t="s">
        <v>479</v>
      </c>
      <c r="B21" s="138" t="str">
        <f>COVER!X19</f>
        <v>IL</v>
      </c>
    </row>
    <row r="22" spans="1:2" x14ac:dyDescent="0.2">
      <c r="A22" t="s">
        <v>888</v>
      </c>
      <c r="B22" s="138">
        <f>COVER!Z19</f>
        <v>62095</v>
      </c>
    </row>
    <row r="23" spans="1:2" x14ac:dyDescent="0.2">
      <c r="A23" t="s">
        <v>1152</v>
      </c>
      <c r="B23" s="138" t="str">
        <f>COVER!T21</f>
        <v>(618)254-8188</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1949970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1949970</v>
      </c>
      <c r="D92" s="2" t="str">
        <f t="shared" si="0"/>
        <v>Error?</v>
      </c>
    </row>
    <row r="93" spans="1:4" x14ac:dyDescent="0.2">
      <c r="A93" s="5">
        <v>32</v>
      </c>
      <c r="B93" s="138">
        <f>'Assets-Liab 5-6'!C41</f>
        <v>1949970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13447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68657</v>
      </c>
      <c r="C122" s="2" t="s">
        <v>573</v>
      </c>
      <c r="D122" s="2" t="str">
        <f t="shared" si="0"/>
        <v>Error?</v>
      </c>
    </row>
    <row r="123" spans="1:4" x14ac:dyDescent="0.2">
      <c r="A123" s="5">
        <v>62</v>
      </c>
      <c r="B123" s="138">
        <f>'Assets-Liab 5-6'!D39</f>
        <v>-55210</v>
      </c>
      <c r="D123" s="2" t="str">
        <f t="shared" si="0"/>
        <v>Error?</v>
      </c>
    </row>
    <row r="124" spans="1:4" x14ac:dyDescent="0.2">
      <c r="A124" s="5">
        <v>63</v>
      </c>
      <c r="B124" s="138">
        <f>'Assets-Liab 5-6'!D41</f>
        <v>13447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100570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100570</v>
      </c>
      <c r="D140" s="2" t="str">
        <f t="shared" si="1"/>
        <v>Error?</v>
      </c>
    </row>
    <row r="141" spans="1:4" x14ac:dyDescent="0.2">
      <c r="A141" s="5">
        <v>80</v>
      </c>
      <c r="B141" s="138">
        <f>'Assets-Liab 5-6'!E41</f>
        <v>100570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17760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17760</v>
      </c>
      <c r="D170" s="2" t="str">
        <f t="shared" si="1"/>
        <v>Error?</v>
      </c>
    </row>
    <row r="171" spans="1:4" x14ac:dyDescent="0.2">
      <c r="A171" s="5">
        <v>110</v>
      </c>
      <c r="B171" s="138">
        <f>'Assets-Liab 5-6'!F41</f>
        <v>17760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254782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254782</v>
      </c>
      <c r="D189" s="2" t="str">
        <f t="shared" si="1"/>
        <v>Error?</v>
      </c>
    </row>
    <row r="190" spans="1:4" x14ac:dyDescent="0.2">
      <c r="A190" s="5">
        <v>129</v>
      </c>
      <c r="B190" s="138">
        <f>'Assets-Liab 5-6'!G41</f>
        <v>254782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33070</v>
      </c>
      <c r="D273" s="2" t="str">
        <f t="shared" si="3"/>
        <v>Error?</v>
      </c>
    </row>
    <row r="274" spans="1:4" x14ac:dyDescent="0.2">
      <c r="A274" s="5">
        <v>213</v>
      </c>
      <c r="B274" s="138">
        <f>'Assets-Liab 5-6'!M17</f>
        <v>8972196</v>
      </c>
      <c r="D274" s="2" t="str">
        <f t="shared" si="3"/>
        <v>Error?</v>
      </c>
    </row>
    <row r="275" spans="1:4" x14ac:dyDescent="0.2">
      <c r="A275" s="5">
        <v>214</v>
      </c>
      <c r="B275" s="138">
        <f>'Assets-Liab 5-6'!M18</f>
        <v>0</v>
      </c>
      <c r="D275" s="2" t="str">
        <f t="shared" si="3"/>
        <v>Error?</v>
      </c>
    </row>
    <row r="276" spans="1:4" x14ac:dyDescent="0.2">
      <c r="A276" s="5">
        <v>215</v>
      </c>
      <c r="B276" s="138">
        <f>'Assets-Liab 5-6'!M19</f>
        <v>1630226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10635492</v>
      </c>
      <c r="C279" s="2" t="s">
        <v>573</v>
      </c>
      <c r="D279" s="2" t="str">
        <f t="shared" si="3"/>
        <v>Error?</v>
      </c>
    </row>
    <row r="280" spans="1:4" x14ac:dyDescent="0.2">
      <c r="A280" s="5">
        <v>219</v>
      </c>
      <c r="B280" s="138">
        <f>'Assets-Liab 5-6'!M40</f>
        <v>10635492</v>
      </c>
      <c r="D280" s="2" t="str">
        <f t="shared" si="3"/>
        <v>Error?</v>
      </c>
    </row>
    <row r="281" spans="1:4" x14ac:dyDescent="0.2">
      <c r="A281" s="5">
        <v>220</v>
      </c>
      <c r="B281" s="138">
        <f>'Assets-Liab 5-6'!M41</f>
        <v>10635492</v>
      </c>
      <c r="C281" s="2" t="s">
        <v>573</v>
      </c>
      <c r="D281" s="2" t="str">
        <f t="shared" si="3"/>
        <v>Error?</v>
      </c>
    </row>
    <row r="282" spans="1:4" x14ac:dyDescent="0.2">
      <c r="A282" s="5">
        <v>221</v>
      </c>
      <c r="B282" s="138">
        <f>'Assets-Liab 5-6'!N21</f>
        <v>100570</v>
      </c>
      <c r="D282" s="2" t="str">
        <f t="shared" si="3"/>
        <v>Error?</v>
      </c>
    </row>
    <row r="283" spans="1:4" x14ac:dyDescent="0.2">
      <c r="A283" s="5">
        <v>222</v>
      </c>
      <c r="B283" s="138">
        <f>'Assets-Liab 5-6'!N22</f>
        <v>830630</v>
      </c>
      <c r="D283" s="2" t="str">
        <f t="shared" si="3"/>
        <v>Error?</v>
      </c>
    </row>
    <row r="284" spans="1:4" x14ac:dyDescent="0.2">
      <c r="A284" s="5">
        <v>223</v>
      </c>
      <c r="B284" s="138">
        <f>'Assets-Liab 5-6'!N23</f>
        <v>931200</v>
      </c>
      <c r="C284" s="2" t="s">
        <v>573</v>
      </c>
      <c r="D284" s="2" t="str">
        <f t="shared" si="3"/>
        <v>Error?</v>
      </c>
    </row>
    <row r="285" spans="1:4" x14ac:dyDescent="0.2">
      <c r="A285" s="5">
        <v>224</v>
      </c>
      <c r="B285" s="138">
        <f>'Assets-Liab 5-6'!N36</f>
        <v>931200</v>
      </c>
      <c r="D285" s="2" t="str">
        <f t="shared" si="3"/>
        <v>Error?</v>
      </c>
    </row>
    <row r="286" spans="1:4" x14ac:dyDescent="0.2">
      <c r="A286" s="10">
        <v>225</v>
      </c>
      <c r="D286" s="2" t="str">
        <f t="shared" si="3"/>
        <v>OK</v>
      </c>
    </row>
    <row r="287" spans="1:4" x14ac:dyDescent="0.2">
      <c r="A287" s="5">
        <v>226</v>
      </c>
      <c r="B287" s="138">
        <f>'Assets-Liab 5-6'!N37</f>
        <v>931200</v>
      </c>
      <c r="C287" s="2" t="s">
        <v>573</v>
      </c>
      <c r="D287" s="2" t="str">
        <f t="shared" si="3"/>
        <v>Error?</v>
      </c>
    </row>
    <row r="288" spans="1:4" x14ac:dyDescent="0.2">
      <c r="A288" s="5">
        <v>227</v>
      </c>
      <c r="B288" s="138">
        <f>'Assets-Liab 5-6'!N41</f>
        <v>931200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13863</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622317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36249</v>
      </c>
      <c r="D717" s="2" t="str">
        <f t="shared" si="10"/>
        <v>Error?</v>
      </c>
    </row>
    <row r="718" spans="1:4" x14ac:dyDescent="0.2">
      <c r="A718" s="5">
        <v>657</v>
      </c>
      <c r="B718" s="138">
        <f>'Expenditures 15-22'!C14</f>
        <v>65679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1020798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53285</v>
      </c>
      <c r="D722" s="2" t="str">
        <f t="shared" si="10"/>
        <v>Error?</v>
      </c>
    </row>
    <row r="723" spans="1:4" x14ac:dyDescent="0.2">
      <c r="A723" s="5">
        <v>662</v>
      </c>
      <c r="B723" s="138">
        <f>'Expenditures 15-22'!C38</f>
        <v>708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4326</v>
      </c>
      <c r="D726" s="2" t="str">
        <f t="shared" si="10"/>
        <v>Error?</v>
      </c>
    </row>
    <row r="727" spans="1:4" x14ac:dyDescent="0.2">
      <c r="A727" s="5">
        <v>666</v>
      </c>
      <c r="B727" s="138">
        <f>'Expenditures 15-22'!C42</f>
        <v>58319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41085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41085</v>
      </c>
      <c r="C731" s="2" t="s">
        <v>573</v>
      </c>
      <c r="D731" s="2" t="str">
        <f t="shared" si="10"/>
        <v>Error?</v>
      </c>
    </row>
    <row r="732" spans="1:4" x14ac:dyDescent="0.2">
      <c r="A732" s="5">
        <v>671</v>
      </c>
      <c r="B732" s="138">
        <f>'Expenditures 15-22'!C49</f>
        <v>766</v>
      </c>
      <c r="D732" s="2" t="str">
        <f t="shared" si="10"/>
        <v>Error?</v>
      </c>
    </row>
    <row r="733" spans="1:4" x14ac:dyDescent="0.2">
      <c r="A733" s="5">
        <v>672</v>
      </c>
      <c r="B733" s="138">
        <f>'Expenditures 15-22'!C50</f>
        <v>59386</v>
      </c>
      <c r="D733" s="2" t="str">
        <f t="shared" si="10"/>
        <v>Error?</v>
      </c>
    </row>
    <row r="734" spans="1:4" x14ac:dyDescent="0.2">
      <c r="A734" s="5">
        <v>673</v>
      </c>
      <c r="B734" s="138">
        <f>'Expenditures 15-22'!C53</f>
        <v>129809</v>
      </c>
      <c r="C734" s="2" t="s">
        <v>573</v>
      </c>
      <c r="D734" s="2" t="str">
        <f t="shared" si="10"/>
        <v>Error?</v>
      </c>
    </row>
    <row r="735" spans="1:4" x14ac:dyDescent="0.2">
      <c r="A735" s="5">
        <v>674</v>
      </c>
      <c r="B735" s="138">
        <f>'Expenditures 15-22'!C55</f>
        <v>130556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130556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39036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39036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398805</v>
      </c>
      <c r="C755" s="2" t="s">
        <v>573</v>
      </c>
      <c r="D755" s="2" t="str">
        <f t="shared" si="10"/>
        <v>Error?</v>
      </c>
    </row>
    <row r="756" spans="1:4" x14ac:dyDescent="0.2">
      <c r="A756" s="5">
        <v>695</v>
      </c>
      <c r="B756" s="138">
        <f>'Expenditures 15-22'!C75</f>
        <v>7975</v>
      </c>
      <c r="D756" s="2" t="str">
        <f t="shared" si="10"/>
        <v>Error?</v>
      </c>
    </row>
    <row r="757" spans="1:4" x14ac:dyDescent="0.2">
      <c r="A757" s="5">
        <v>696</v>
      </c>
      <c r="B757" s="138">
        <f>'Expenditures 15-22'!C114</f>
        <v>1427578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18640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2139</v>
      </c>
      <c r="D775" s="2" t="str">
        <f t="shared" si="11"/>
        <v>Error?</v>
      </c>
    </row>
    <row r="776" spans="1:4" x14ac:dyDescent="0.2">
      <c r="A776" s="5">
        <v>715</v>
      </c>
      <c r="B776" s="138">
        <f>'Expenditures 15-22'!D14</f>
        <v>788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31437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2327</v>
      </c>
      <c r="D780" s="2" t="str">
        <f t="shared" si="11"/>
        <v>Error?</v>
      </c>
    </row>
    <row r="781" spans="1:4" x14ac:dyDescent="0.2">
      <c r="A781" s="5">
        <v>720</v>
      </c>
      <c r="B781" s="138">
        <f>'Expenditures 15-22'!D38</f>
        <v>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22</v>
      </c>
      <c r="D784" s="2" t="str">
        <f t="shared" si="11"/>
        <v>Error?</v>
      </c>
    </row>
    <row r="785" spans="1:4" x14ac:dyDescent="0.2">
      <c r="A785" s="5">
        <v>724</v>
      </c>
      <c r="B785" s="138">
        <f>'Expenditures 15-22'!D42</f>
        <v>2352</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1856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1856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1713</v>
      </c>
      <c r="D791" s="2" t="str">
        <f t="shared" si="11"/>
        <v>Error?</v>
      </c>
    </row>
    <row r="792" spans="1:4" x14ac:dyDescent="0.2">
      <c r="A792" s="5">
        <v>731</v>
      </c>
      <c r="B792" s="138">
        <f>'Expenditures 15-22'!D53</f>
        <v>3634</v>
      </c>
      <c r="C792" s="2" t="s">
        <v>573</v>
      </c>
      <c r="D792" s="2" t="str">
        <f t="shared" si="11"/>
        <v>Error?</v>
      </c>
    </row>
    <row r="793" spans="1:4" x14ac:dyDescent="0.2">
      <c r="A793" s="5">
        <v>732</v>
      </c>
      <c r="B793" s="138">
        <f>'Expenditures 15-22'!D55</f>
        <v>4580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4580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256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12678</v>
      </c>
      <c r="C813" s="2" t="s">
        <v>573</v>
      </c>
      <c r="D813" s="2" t="str">
        <f t="shared" si="11"/>
        <v>Error?</v>
      </c>
    </row>
    <row r="814" spans="1:4" x14ac:dyDescent="0.2">
      <c r="A814" s="5">
        <v>753</v>
      </c>
      <c r="B814" s="138">
        <f>'Expenditures 15-22'!D75</f>
        <v>76</v>
      </c>
      <c r="D814" s="2" t="str">
        <f t="shared" si="11"/>
        <v>Error?</v>
      </c>
    </row>
    <row r="815" spans="1:4" x14ac:dyDescent="0.2">
      <c r="A815" s="5">
        <v>754</v>
      </c>
      <c r="B815" s="138">
        <f>'Expenditures 15-22'!D114</f>
        <v>44191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51924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12902</v>
      </c>
      <c r="D833" s="2" t="str">
        <f t="shared" si="12"/>
        <v>Error?</v>
      </c>
    </row>
    <row r="834" spans="1:4" x14ac:dyDescent="0.2">
      <c r="A834" s="5">
        <v>773</v>
      </c>
      <c r="B834" s="138">
        <f>'Expenditures 15-22'!E14</f>
        <v>6201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80763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1200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1200</v>
      </c>
      <c r="C843" s="2" t="s">
        <v>573</v>
      </c>
      <c r="D843" s="2" t="str">
        <f t="shared" si="12"/>
        <v>Error?</v>
      </c>
    </row>
    <row r="844" spans="1:4" x14ac:dyDescent="0.2">
      <c r="A844" s="5">
        <v>783</v>
      </c>
      <c r="B844" s="138">
        <f>'Expenditures 15-22'!E44</f>
        <v>7551</v>
      </c>
      <c r="D844" s="2" t="str">
        <f t="shared" si="12"/>
        <v>Error?</v>
      </c>
    </row>
    <row r="845" spans="1:4" x14ac:dyDescent="0.2">
      <c r="A845" s="5">
        <v>784</v>
      </c>
      <c r="B845" s="138">
        <f>'Expenditures 15-22'!E45</f>
        <v>308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7859</v>
      </c>
      <c r="C847" s="2" t="s">
        <v>573</v>
      </c>
      <c r="D847" s="2" t="str">
        <f t="shared" si="12"/>
        <v>Error?</v>
      </c>
    </row>
    <row r="848" spans="1:4" x14ac:dyDescent="0.2">
      <c r="A848" s="5">
        <v>787</v>
      </c>
      <c r="B848" s="138">
        <f>'Expenditures 15-22'!E49</f>
        <v>13160</v>
      </c>
      <c r="D848" s="2" t="str">
        <f t="shared" si="12"/>
        <v>Error?</v>
      </c>
    </row>
    <row r="849" spans="1:4" x14ac:dyDescent="0.2">
      <c r="A849" s="5">
        <v>788</v>
      </c>
      <c r="B849" s="138">
        <f>'Expenditures 15-22'!E50</f>
        <v>1369</v>
      </c>
      <c r="D849" s="2" t="str">
        <f t="shared" si="12"/>
        <v>Error?</v>
      </c>
    </row>
    <row r="850" spans="1:4" x14ac:dyDescent="0.2">
      <c r="A850" s="5">
        <v>789</v>
      </c>
      <c r="B850" s="138">
        <f>'Expenditures 15-22'!E53</f>
        <v>14529</v>
      </c>
      <c r="C850" s="2" t="s">
        <v>573</v>
      </c>
      <c r="D850" s="2" t="str">
        <f t="shared" si="12"/>
        <v>Error?</v>
      </c>
    </row>
    <row r="851" spans="1:4" x14ac:dyDescent="0.2">
      <c r="A851" s="5">
        <v>790</v>
      </c>
      <c r="B851" s="138">
        <f>'Expenditures 15-22'!E55</f>
        <v>253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1482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142517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143999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30295</v>
      </c>
      <c r="D870" s="2" t="str">
        <f t="shared" si="12"/>
        <v>Error?</v>
      </c>
    </row>
    <row r="871" spans="1:4" x14ac:dyDescent="0.2">
      <c r="A871" s="5">
        <v>810</v>
      </c>
      <c r="B871" s="138">
        <f>'Expenditures 15-22'!E74</f>
        <v>198135</v>
      </c>
      <c r="C871" s="2" t="s">
        <v>573</v>
      </c>
      <c r="D871" s="2" t="str">
        <f t="shared" si="12"/>
        <v>Error?</v>
      </c>
    </row>
    <row r="872" spans="1:4" x14ac:dyDescent="0.2">
      <c r="A872" s="5">
        <v>811</v>
      </c>
      <c r="B872" s="138">
        <f>'Expenditures 15-22'!E75</f>
        <v>560</v>
      </c>
      <c r="D872" s="2" t="str">
        <f t="shared" si="12"/>
        <v>Error?</v>
      </c>
    </row>
    <row r="873" spans="1:4" x14ac:dyDescent="0.2">
      <c r="A873" s="5">
        <v>812</v>
      </c>
      <c r="B873" s="138">
        <f>'Expenditures 15-22'!E114</f>
        <v>280958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32521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4195</v>
      </c>
      <c r="D891" s="2" t="str">
        <f t="shared" si="12"/>
        <v>Error?</v>
      </c>
    </row>
    <row r="892" spans="1:4" x14ac:dyDescent="0.2">
      <c r="A892" s="5">
        <v>831</v>
      </c>
      <c r="B892" s="138">
        <f>'Expenditures 15-22'!F14</f>
        <v>3844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52080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46</v>
      </c>
      <c r="D896" s="2" t="str">
        <f t="shared" si="13"/>
        <v>Error?</v>
      </c>
    </row>
    <row r="897" spans="1:4" x14ac:dyDescent="0.2">
      <c r="A897" s="5">
        <v>836</v>
      </c>
      <c r="B897" s="138">
        <f>'Expenditures 15-22'!F38</f>
        <v>1257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1303</v>
      </c>
      <c r="C901" s="2" t="s">
        <v>573</v>
      </c>
      <c r="D901" s="2" t="str">
        <f t="shared" si="13"/>
        <v>Error?</v>
      </c>
    </row>
    <row r="902" spans="1:4" x14ac:dyDescent="0.2">
      <c r="A902" s="5">
        <v>841</v>
      </c>
      <c r="B902" s="138">
        <f>'Expenditures 15-22'!F44</f>
        <v>5235</v>
      </c>
      <c r="D902" s="2" t="str">
        <f t="shared" si="13"/>
        <v>Error?</v>
      </c>
    </row>
    <row r="903" spans="1:4" x14ac:dyDescent="0.2">
      <c r="A903" s="5">
        <v>842</v>
      </c>
      <c r="B903" s="138">
        <f>'Expenditures 15-22'!F45</f>
        <v>5281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10516</v>
      </c>
      <c r="C905" s="2" t="s">
        <v>573</v>
      </c>
      <c r="D905" s="2" t="str">
        <f t="shared" si="13"/>
        <v>Error?</v>
      </c>
    </row>
    <row r="906" spans="1:4" x14ac:dyDescent="0.2">
      <c r="A906" s="5">
        <v>845</v>
      </c>
      <c r="B906" s="138">
        <f>'Expenditures 15-22'!F49</f>
        <v>2274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2274</v>
      </c>
      <c r="C908" s="2" t="s">
        <v>573</v>
      </c>
      <c r="D908" s="2" t="str">
        <f t="shared" si="13"/>
        <v>Error?</v>
      </c>
    </row>
    <row r="909" spans="1:4" x14ac:dyDescent="0.2">
      <c r="A909" s="5">
        <v>848</v>
      </c>
      <c r="B909" s="138">
        <f>'Expenditures 15-22'!F55</f>
        <v>55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1692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1531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3223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17371</v>
      </c>
      <c r="C929" s="2" t="s">
        <v>573</v>
      </c>
      <c r="D929" s="2" t="str">
        <f t="shared" si="13"/>
        <v>Error?</v>
      </c>
    </row>
    <row r="930" spans="1:4" x14ac:dyDescent="0.2">
      <c r="A930" s="5">
        <v>869</v>
      </c>
      <c r="B930" s="138">
        <f>'Expenditures 15-22'!F75</f>
        <v>594</v>
      </c>
      <c r="D930" s="2" t="str">
        <f t="shared" si="13"/>
        <v>Error?</v>
      </c>
    </row>
    <row r="931" spans="1:4" x14ac:dyDescent="0.2">
      <c r="A931" s="5">
        <v>870</v>
      </c>
      <c r="B931" s="138">
        <f>'Expenditures 15-22'!F114</f>
        <v>70045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4985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6260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595</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595</v>
      </c>
      <c r="C959" s="2" t="s">
        <v>573</v>
      </c>
      <c r="D959" s="2" t="str">
        <f t="shared" ref="D959:D1022" si="14">IF(ISBLANK(B959),"OK",IF(A959-B959=0,"OK","Error?"))</f>
        <v>Error?</v>
      </c>
    </row>
    <row r="960" spans="1:4" x14ac:dyDescent="0.2">
      <c r="A960" s="5">
        <v>899</v>
      </c>
      <c r="B960" s="138">
        <f>'Expenditures 15-22'!G44</f>
        <v>11153</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11153</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11748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18008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8826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5853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15229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6475</v>
      </c>
      <c r="D1018" s="2" t="str">
        <f t="shared" si="14"/>
        <v>Error?</v>
      </c>
    </row>
    <row r="1019" spans="1:4" x14ac:dyDescent="0.2">
      <c r="A1019" s="5">
        <v>958</v>
      </c>
      <c r="B1019" s="138">
        <f>'Expenditures 15-22'!H45</f>
        <v>1240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7715</v>
      </c>
      <c r="C1021" s="2" t="s">
        <v>573</v>
      </c>
      <c r="D1021" s="2" t="str">
        <f t="shared" si="14"/>
        <v>Error?</v>
      </c>
    </row>
    <row r="1022" spans="1:4" x14ac:dyDescent="0.2">
      <c r="A1022" s="5">
        <v>961</v>
      </c>
      <c r="B1022" s="138">
        <f>'Expenditures 15-22'!H49</f>
        <v>2524</v>
      </c>
      <c r="D1022" s="2" t="str">
        <f t="shared" si="14"/>
        <v>Error?</v>
      </c>
    </row>
    <row r="1023" spans="1:4" x14ac:dyDescent="0.2">
      <c r="A1023" s="5">
        <v>962</v>
      </c>
      <c r="B1023" s="138">
        <f>'Expenditures 15-22'!H50</f>
        <v>880</v>
      </c>
      <c r="D1023" s="2" t="str">
        <f t="shared" ref="D1023:D1086" si="15">IF(ISBLANK(B1023),"OK",IF(A1023-B1023=0,"OK","Error?"))</f>
        <v>Error?</v>
      </c>
    </row>
    <row r="1024" spans="1:4" x14ac:dyDescent="0.2">
      <c r="A1024" s="5">
        <v>963</v>
      </c>
      <c r="B1024" s="138">
        <f>'Expenditures 15-22'!H53</f>
        <v>3404</v>
      </c>
      <c r="C1024" s="2" t="s">
        <v>573</v>
      </c>
      <c r="D1024" s="2" t="str">
        <f t="shared" si="15"/>
        <v>Error?</v>
      </c>
    </row>
    <row r="1025" spans="1:4" x14ac:dyDescent="0.2">
      <c r="A1025" s="5">
        <v>964</v>
      </c>
      <c r="B1025" s="138">
        <f>'Expenditures 15-22'!H55</f>
        <v>395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395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6620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6620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18134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74784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108147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734228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60470</v>
      </c>
      <c r="C1105" s="2" t="s">
        <v>573</v>
      </c>
      <c r="D1105" s="2" t="str">
        <f t="shared" si="16"/>
        <v>Error?</v>
      </c>
    </row>
    <row r="1106" spans="1:4" x14ac:dyDescent="0.2">
      <c r="A1106" s="5">
        <v>1045</v>
      </c>
      <c r="B1106" s="138">
        <f>'Expenditures 15-22'!K14</f>
        <v>82365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1206567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56253</v>
      </c>
      <c r="C1110" s="2" t="s">
        <v>573</v>
      </c>
      <c r="D1110" s="2" t="str">
        <f t="shared" si="16"/>
        <v>Error?</v>
      </c>
    </row>
    <row r="1111" spans="1:4" x14ac:dyDescent="0.2">
      <c r="A1111" s="5">
        <v>1050</v>
      </c>
      <c r="B1111" s="138">
        <f>'Expenditures 15-22'!K38</f>
        <v>3168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4348</v>
      </c>
      <c r="C1114" s="2" t="s">
        <v>573</v>
      </c>
      <c r="D1114" s="2" t="str">
        <f t="shared" si="16"/>
        <v>Error?</v>
      </c>
    </row>
    <row r="1115" spans="1:4" x14ac:dyDescent="0.2">
      <c r="A1115" s="5">
        <v>1054</v>
      </c>
      <c r="B1115" s="138">
        <f>'Expenditures 15-22'!K42</f>
        <v>63769</v>
      </c>
      <c r="C1115" s="2" t="s">
        <v>573</v>
      </c>
      <c r="D1115" s="2" t="str">
        <f t="shared" si="16"/>
        <v>Error?</v>
      </c>
    </row>
    <row r="1116" spans="1:4" x14ac:dyDescent="0.2">
      <c r="A1116" s="5">
        <v>1055</v>
      </c>
      <c r="B1116" s="138">
        <f>'Expenditures 15-22'!K44</f>
        <v>30414</v>
      </c>
      <c r="C1116" s="2" t="s">
        <v>573</v>
      </c>
      <c r="D1116" s="2" t="str">
        <f t="shared" si="16"/>
        <v>Error?</v>
      </c>
    </row>
    <row r="1117" spans="1:4" x14ac:dyDescent="0.2">
      <c r="A1117" s="5">
        <v>1056</v>
      </c>
      <c r="B1117" s="138">
        <f>'Expenditures 15-22'!K45</f>
        <v>49770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80184</v>
      </c>
      <c r="C1119" s="2" t="s">
        <v>573</v>
      </c>
      <c r="D1119" s="2" t="str">
        <f t="shared" si="16"/>
        <v>Error?</v>
      </c>
    </row>
    <row r="1120" spans="1:4" x14ac:dyDescent="0.2">
      <c r="A1120" s="5">
        <v>1059</v>
      </c>
      <c r="B1120" s="138">
        <f>'Expenditures 15-22'!K49</f>
        <v>18724</v>
      </c>
      <c r="C1120" s="2" t="s">
        <v>573</v>
      </c>
      <c r="D1120" s="2" t="str">
        <f t="shared" si="16"/>
        <v>Error?</v>
      </c>
    </row>
    <row r="1121" spans="1:4" x14ac:dyDescent="0.2">
      <c r="A1121" s="5">
        <v>1060</v>
      </c>
      <c r="B1121" s="138">
        <f>'Expenditures 15-22'!K50</f>
        <v>63348</v>
      </c>
      <c r="C1121" s="2" t="s">
        <v>573</v>
      </c>
      <c r="D1121" s="2" t="str">
        <f t="shared" si="16"/>
        <v>Error?</v>
      </c>
    </row>
    <row r="1122" spans="1:4" x14ac:dyDescent="0.2">
      <c r="A1122" s="5">
        <v>1061</v>
      </c>
      <c r="B1122" s="138">
        <f>'Expenditures 15-22'!K53</f>
        <v>153650</v>
      </c>
      <c r="C1122" s="2" t="s">
        <v>573</v>
      </c>
      <c r="D1122" s="2" t="str">
        <f t="shared" si="16"/>
        <v>Error?</v>
      </c>
    </row>
    <row r="1123" spans="1:4" x14ac:dyDescent="0.2">
      <c r="A1123" s="5">
        <v>1062</v>
      </c>
      <c r="B1123" s="138">
        <f>'Expenditures 15-22'!K55</f>
        <v>135839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135839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49086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144048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193134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30295</v>
      </c>
      <c r="C1142" s="2" t="s">
        <v>573</v>
      </c>
      <c r="D1142" s="2" t="str">
        <f t="shared" si="16"/>
        <v>Error?</v>
      </c>
    </row>
    <row r="1143" spans="1:4" x14ac:dyDescent="0.2">
      <c r="A1143" s="5">
        <v>1082</v>
      </c>
      <c r="B1143" s="138">
        <f>'Expenditures 15-22'!K74</f>
        <v>656871</v>
      </c>
      <c r="C1143" s="2" t="s">
        <v>573</v>
      </c>
      <c r="D1143" s="2" t="str">
        <f t="shared" si="16"/>
        <v>Error?</v>
      </c>
    </row>
    <row r="1144" spans="1:4" x14ac:dyDescent="0.2">
      <c r="A1144" s="5">
        <v>1083</v>
      </c>
      <c r="B1144" s="138">
        <f>'Expenditures 15-22'!K75</f>
        <v>9205</v>
      </c>
      <c r="C1144" s="2" t="s">
        <v>573</v>
      </c>
      <c r="D1144" s="2" t="str">
        <f t="shared" si="16"/>
        <v>Error?</v>
      </c>
    </row>
    <row r="1145" spans="1:4" x14ac:dyDescent="0.2">
      <c r="A1145" s="5">
        <v>1084</v>
      </c>
      <c r="B1145" s="138">
        <f>'Expenditures 15-22'!K102</f>
        <v>76284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1948927</v>
      </c>
      <c r="C1152" s="2" t="s">
        <v>573</v>
      </c>
      <c r="D1152" s="2" t="str">
        <f t="shared" si="17"/>
        <v>Error?</v>
      </c>
    </row>
    <row r="1153" spans="1:4" x14ac:dyDescent="0.2">
      <c r="A1153" s="5">
        <v>1092</v>
      </c>
      <c r="B1153" s="138">
        <f>'Expenditures 15-22'!K115</f>
        <v>315724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60701</v>
      </c>
      <c r="D1221" s="2" t="str">
        <f t="shared" si="18"/>
        <v>Error?</v>
      </c>
    </row>
    <row r="1222" spans="1:4" x14ac:dyDescent="0.2">
      <c r="A1222" s="10">
        <v>1161</v>
      </c>
      <c r="D1222" s="2" t="str">
        <f t="shared" si="18"/>
        <v>OK</v>
      </c>
    </row>
    <row r="1223" spans="1:4" x14ac:dyDescent="0.2">
      <c r="A1223" s="5">
        <v>1162</v>
      </c>
      <c r="B1223" s="138">
        <f>'Expenditures 15-22'!C127</f>
        <v>60701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60701</v>
      </c>
      <c r="C1225" s="2" t="s">
        <v>573</v>
      </c>
      <c r="D1225" s="2" t="str">
        <f t="shared" si="18"/>
        <v>Error?</v>
      </c>
    </row>
    <row r="1226" spans="1:4" x14ac:dyDescent="0.2">
      <c r="A1226" s="5">
        <v>1165</v>
      </c>
      <c r="B1226" s="138">
        <f>'Expenditures 15-22'!C151</f>
        <v>60701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79544</v>
      </c>
      <c r="D1245" s="2" t="str">
        <f t="shared" si="18"/>
        <v>Error?</v>
      </c>
    </row>
    <row r="1246" spans="1:4" x14ac:dyDescent="0.2">
      <c r="A1246" s="10">
        <v>1185</v>
      </c>
      <c r="D1246" s="2" t="str">
        <f t="shared" si="18"/>
        <v>OK</v>
      </c>
    </row>
    <row r="1247" spans="1:4" x14ac:dyDescent="0.2">
      <c r="A1247" s="5">
        <v>1186</v>
      </c>
      <c r="B1247" s="138">
        <f>'Expenditures 15-22'!F127</f>
        <v>79544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79544</v>
      </c>
      <c r="C1249" s="2" t="s">
        <v>573</v>
      </c>
      <c r="D1249" s="2" t="str">
        <f t="shared" si="18"/>
        <v>Error?</v>
      </c>
    </row>
    <row r="1250" spans="1:4" x14ac:dyDescent="0.2">
      <c r="A1250" s="5">
        <v>1189</v>
      </c>
      <c r="B1250" s="138">
        <f>'Expenditures 15-22'!F151</f>
        <v>79544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104630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104630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104630</v>
      </c>
      <c r="C1258" s="2" t="s">
        <v>573</v>
      </c>
      <c r="D1258" s="2" t="str">
        <f t="shared" si="18"/>
        <v>Error?</v>
      </c>
    </row>
    <row r="1259" spans="1:4" x14ac:dyDescent="0.2">
      <c r="A1259" s="5">
        <v>1198</v>
      </c>
      <c r="B1259" s="138">
        <f>'Expenditures 15-22'!G151</f>
        <v>104630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2002</v>
      </c>
      <c r="D1262" s="2" t="str">
        <f t="shared" si="18"/>
        <v>Error?</v>
      </c>
    </row>
    <row r="1263" spans="1:4" x14ac:dyDescent="0.2">
      <c r="A1263" s="10">
        <v>1202</v>
      </c>
      <c r="D1263" s="2" t="str">
        <f t="shared" si="18"/>
        <v>OK</v>
      </c>
    </row>
    <row r="1264" spans="1:4" x14ac:dyDescent="0.2">
      <c r="A1264" s="5">
        <v>1203</v>
      </c>
      <c r="B1264" s="138">
        <f>'Expenditures 15-22'!H127</f>
        <v>2002</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2002</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2002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246877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246877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246877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246877</v>
      </c>
      <c r="C1288" s="2" t="s">
        <v>573</v>
      </c>
      <c r="D1288" s="2" t="str">
        <f t="shared" si="19"/>
        <v>Error?</v>
      </c>
    </row>
    <row r="1289" spans="1:4" x14ac:dyDescent="0.2">
      <c r="A1289" s="5">
        <v>1228</v>
      </c>
      <c r="B1289" s="138">
        <f>'Expenditures 15-22'!K152</f>
        <v>-57072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29613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259600</v>
      </c>
      <c r="D1315" s="2" t="str">
        <f t="shared" si="19"/>
        <v>Error?</v>
      </c>
    </row>
    <row r="1316" spans="1:4" x14ac:dyDescent="0.2">
      <c r="A1316" s="5">
        <v>1255</v>
      </c>
      <c r="B1316" s="138">
        <f>'Expenditures 15-22'!H171</f>
        <v>700</v>
      </c>
      <c r="D1316" s="2" t="str">
        <f t="shared" si="19"/>
        <v>Error?</v>
      </c>
    </row>
    <row r="1317" spans="1:4" x14ac:dyDescent="0.2">
      <c r="A1317" s="5">
        <v>1256</v>
      </c>
      <c r="B1317" s="138">
        <f>'Expenditures 15-22'!H172</f>
        <v>289913</v>
      </c>
      <c r="C1317" s="2" t="s">
        <v>573</v>
      </c>
      <c r="D1317" s="2" t="str">
        <f t="shared" si="19"/>
        <v>Error?</v>
      </c>
    </row>
    <row r="1318" spans="1:4" x14ac:dyDescent="0.2">
      <c r="A1318" s="5">
        <v>1257</v>
      </c>
      <c r="B1318" s="138">
        <f>'Expenditures 15-22'!H174</f>
        <v>289913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29613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259600</v>
      </c>
      <c r="C1329" s="2" t="s">
        <v>573</v>
      </c>
      <c r="D1329" s="2" t="str">
        <f t="shared" si="19"/>
        <v>Error?</v>
      </c>
    </row>
    <row r="1330" spans="1:4" x14ac:dyDescent="0.2">
      <c r="A1330" s="5">
        <v>1269</v>
      </c>
      <c r="B1330" s="138">
        <f>'Expenditures 15-22'!K171</f>
        <v>700</v>
      </c>
      <c r="C1330" s="2" t="s">
        <v>573</v>
      </c>
      <c r="D1330" s="2" t="str">
        <f t="shared" si="19"/>
        <v>Error?</v>
      </c>
    </row>
    <row r="1331" spans="1:4" x14ac:dyDescent="0.2">
      <c r="A1331" s="5">
        <v>1270</v>
      </c>
      <c r="B1331" s="138">
        <f>'Expenditures 15-22'!K172</f>
        <v>289913</v>
      </c>
      <c r="C1331" s="2" t="s">
        <v>573</v>
      </c>
      <c r="D1331" s="2" t="str">
        <f t="shared" si="19"/>
        <v>Error?</v>
      </c>
    </row>
    <row r="1332" spans="1:4" x14ac:dyDescent="0.2">
      <c r="A1332" s="5">
        <v>1271</v>
      </c>
      <c r="B1332" s="138">
        <f>'Expenditures 15-22'!K174</f>
        <v>289913</v>
      </c>
      <c r="C1332" s="2" t="s">
        <v>573</v>
      </c>
      <c r="D1332" s="2" t="str">
        <f t="shared" si="19"/>
        <v>Error?</v>
      </c>
    </row>
    <row r="1333" spans="1:4" x14ac:dyDescent="0.2">
      <c r="A1333" s="5">
        <v>1272</v>
      </c>
      <c r="B1333" s="138">
        <f>'Expenditures 15-22'!K175</f>
        <v>3951</v>
      </c>
      <c r="C1333" s="2" t="s">
        <v>573</v>
      </c>
      <c r="D1333" s="2" t="str">
        <f t="shared" si="19"/>
        <v>Error?</v>
      </c>
    </row>
    <row r="1334" spans="1:4" x14ac:dyDescent="0.2">
      <c r="A1334" s="10">
        <v>1273</v>
      </c>
      <c r="D1334" s="2" t="str">
        <f t="shared" si="19"/>
        <v>OK</v>
      </c>
    </row>
    <row r="1335" spans="1:4" x14ac:dyDescent="0.2">
      <c r="A1335" s="5">
        <v>1274</v>
      </c>
      <c r="B1335" s="138">
        <f>'Expenditures 15-22'!C182</f>
        <v>60303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60303</v>
      </c>
      <c r="C1339" s="2" t="s">
        <v>573</v>
      </c>
      <c r="D1339" s="2" t="str">
        <f t="shared" si="19"/>
        <v>Error?</v>
      </c>
    </row>
    <row r="1340" spans="1:4" x14ac:dyDescent="0.2">
      <c r="A1340" s="5">
        <v>1279</v>
      </c>
      <c r="B1340" s="138">
        <f>'Expenditures 15-22'!C210</f>
        <v>60303</v>
      </c>
      <c r="C1340" s="2" t="s">
        <v>573</v>
      </c>
      <c r="D1340" s="2" t="str">
        <f t="shared" si="19"/>
        <v>Error?</v>
      </c>
    </row>
    <row r="1341" spans="1:4" x14ac:dyDescent="0.2">
      <c r="A1341" s="5">
        <v>1280</v>
      </c>
      <c r="B1341" s="138">
        <f>'Expenditures 15-22'!D182</f>
        <v>1879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1879</v>
      </c>
      <c r="C1345" s="2" t="s">
        <v>573</v>
      </c>
      <c r="D1345" s="2" t="str">
        <f t="shared" si="20"/>
        <v>Error?</v>
      </c>
    </row>
    <row r="1346" spans="1:4" x14ac:dyDescent="0.2">
      <c r="A1346" s="5">
        <v>1285</v>
      </c>
      <c r="B1346" s="138">
        <f>'Expenditures 15-22'!D210</f>
        <v>1879</v>
      </c>
      <c r="C1346" s="2" t="s">
        <v>573</v>
      </c>
      <c r="D1346" s="2" t="str">
        <f t="shared" si="20"/>
        <v>Error?</v>
      </c>
    </row>
    <row r="1347" spans="1:4" x14ac:dyDescent="0.2">
      <c r="A1347" s="5">
        <v>1286</v>
      </c>
      <c r="B1347" s="138">
        <f>'Expenditures 15-22'!E182</f>
        <v>6331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6331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6331</v>
      </c>
      <c r="C1353" s="2" t="s">
        <v>573</v>
      </c>
      <c r="D1353" s="2" t="str">
        <f t="shared" si="20"/>
        <v>Error?</v>
      </c>
    </row>
    <row r="1354" spans="1:4" x14ac:dyDescent="0.2">
      <c r="A1354" s="5">
        <v>1293</v>
      </c>
      <c r="B1354" s="138">
        <f>'Expenditures 15-22'!F182</f>
        <v>21525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21525</v>
      </c>
      <c r="C1358" s="2" t="s">
        <v>573</v>
      </c>
      <c r="D1358" s="2" t="str">
        <f t="shared" si="20"/>
        <v>Error?</v>
      </c>
    </row>
    <row r="1359" spans="1:4" x14ac:dyDescent="0.2">
      <c r="A1359" s="5">
        <v>1298</v>
      </c>
      <c r="B1359" s="138">
        <f>'Expenditures 15-22'!F210</f>
        <v>21525</v>
      </c>
      <c r="C1359" s="2" t="s">
        <v>573</v>
      </c>
      <c r="D1359" s="2" t="str">
        <f t="shared" si="20"/>
        <v>Error?</v>
      </c>
    </row>
    <row r="1360" spans="1:4" x14ac:dyDescent="0.2">
      <c r="A1360" s="5">
        <v>1299</v>
      </c>
      <c r="B1360" s="138">
        <f>'Expenditures 15-22'!G182</f>
        <v>362675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362675</v>
      </c>
      <c r="C1364" s="2" t="s">
        <v>573</v>
      </c>
      <c r="D1364" s="2" t="str">
        <f t="shared" si="20"/>
        <v>Error?</v>
      </c>
    </row>
    <row r="1365" spans="1:4" x14ac:dyDescent="0.2">
      <c r="A1365" s="5">
        <v>1304</v>
      </c>
      <c r="B1365" s="138">
        <f>'Expenditures 15-22'!G210</f>
        <v>362675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4476</v>
      </c>
      <c r="C1376" s="2" t="s">
        <v>573</v>
      </c>
      <c r="D1376" s="2" t="str">
        <f t="shared" si="20"/>
        <v>Error?</v>
      </c>
    </row>
    <row r="1377" spans="1:4" x14ac:dyDescent="0.2">
      <c r="A1377" s="5">
        <v>1316</v>
      </c>
      <c r="B1377" s="138">
        <f>'Expenditures 15-22'!K182</f>
        <v>452713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452713</v>
      </c>
      <c r="C1381" s="2" t="s">
        <v>573</v>
      </c>
      <c r="D1381" s="2" t="str">
        <f t="shared" si="20"/>
        <v>Error?</v>
      </c>
    </row>
    <row r="1382" spans="1:4" x14ac:dyDescent="0.2">
      <c r="A1382" s="5">
        <v>1321</v>
      </c>
      <c r="B1382" s="138">
        <f>'Expenditures 15-22'!K196</f>
        <v>4476</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457189</v>
      </c>
      <c r="C1388" s="2" t="s">
        <v>573</v>
      </c>
      <c r="D1388" s="2" t="str">
        <f t="shared" si="20"/>
        <v>Error?</v>
      </c>
    </row>
    <row r="1389" spans="1:4" x14ac:dyDescent="0.2">
      <c r="A1389" s="5">
        <v>1328</v>
      </c>
      <c r="B1389" s="138">
        <f>'Expenditures 15-22'!K211</f>
        <v>-223093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575</v>
      </c>
      <c r="D1407" s="2" t="str">
        <f t="shared" ref="D1407:D1470" si="21">IF(ISBLANK(B1407),"OK",IF(A1407-B1407=0,"OK","Error?"))</f>
        <v>Error?</v>
      </c>
    </row>
    <row r="1408" spans="1:4" x14ac:dyDescent="0.2">
      <c r="A1408" s="5">
        <v>1347</v>
      </c>
      <c r="B1408" s="138">
        <f>'Expenditures 15-22'!D223</f>
        <v>2747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28181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812</v>
      </c>
      <c r="D1412" s="2" t="str">
        <f t="shared" si="21"/>
        <v>Error?</v>
      </c>
    </row>
    <row r="1413" spans="1:4" x14ac:dyDescent="0.2">
      <c r="A1413" s="5">
        <v>1352</v>
      </c>
      <c r="B1413" s="138">
        <f>'Expenditures 15-22'!D234</f>
        <v>2754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238</v>
      </c>
      <c r="D1416" s="2" t="str">
        <f t="shared" si="21"/>
        <v>Error?</v>
      </c>
    </row>
    <row r="1417" spans="1:4" x14ac:dyDescent="0.2">
      <c r="A1417" s="5">
        <v>1356</v>
      </c>
      <c r="B1417" s="138">
        <f>'Expenditures 15-22'!D238</f>
        <v>3804</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596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596</v>
      </c>
      <c r="C1421" s="2" t="s">
        <v>573</v>
      </c>
      <c r="D1421" s="2" t="str">
        <f t="shared" si="21"/>
        <v>Error?</v>
      </c>
    </row>
    <row r="1422" spans="1:4" x14ac:dyDescent="0.2">
      <c r="A1422" s="5">
        <v>1361</v>
      </c>
      <c r="B1422" s="138">
        <f>'Expenditures 15-22'!D245</f>
        <v>97</v>
      </c>
      <c r="D1422" s="2" t="str">
        <f t="shared" si="21"/>
        <v>Error?</v>
      </c>
    </row>
    <row r="1423" spans="1:4" x14ac:dyDescent="0.2">
      <c r="A1423" s="5">
        <v>1362</v>
      </c>
      <c r="B1423" s="138">
        <f>'Expenditures 15-22'!D246</f>
        <v>1700</v>
      </c>
      <c r="D1423" s="2" t="str">
        <f t="shared" si="21"/>
        <v>Error?</v>
      </c>
    </row>
    <row r="1424" spans="1:4" x14ac:dyDescent="0.2">
      <c r="A1424" s="5">
        <v>1363</v>
      </c>
      <c r="B1424" s="138">
        <f>'Expenditures 15-22'!D257</f>
        <v>4769</v>
      </c>
      <c r="C1424" s="2" t="s">
        <v>573</v>
      </c>
      <c r="D1424" s="2" t="str">
        <f t="shared" si="21"/>
        <v>Error?</v>
      </c>
    </row>
    <row r="1425" spans="1:4" x14ac:dyDescent="0.2">
      <c r="A1425" s="5">
        <v>1364</v>
      </c>
      <c r="B1425" s="138">
        <f>'Expenditures 15-22'!D259</f>
        <v>6670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6670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5069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9171</v>
      </c>
      <c r="D1431" s="2" t="str">
        <f t="shared" si="21"/>
        <v>Error?</v>
      </c>
    </row>
    <row r="1432" spans="1:4" x14ac:dyDescent="0.2">
      <c r="A1432" s="5">
        <v>1371</v>
      </c>
      <c r="B1432" s="138">
        <f>'Expenditures 15-22'!D267</f>
        <v>8975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23215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39054</v>
      </c>
      <c r="C1446" s="2" t="s">
        <v>573</v>
      </c>
      <c r="D1446" s="2" t="str">
        <f t="shared" si="21"/>
        <v>Error?</v>
      </c>
    </row>
    <row r="1447" spans="1:4" x14ac:dyDescent="0.2">
      <c r="A1447" s="5">
        <v>1386</v>
      </c>
      <c r="B1447" s="138">
        <f>'Expenditures 15-22'!D280</f>
        <v>509</v>
      </c>
      <c r="D1447" s="2" t="str">
        <f t="shared" si="21"/>
        <v>Error?</v>
      </c>
    </row>
    <row r="1448" spans="1:4" x14ac:dyDescent="0.2">
      <c r="A1448" s="5">
        <v>1387</v>
      </c>
      <c r="B1448" s="138">
        <f>'Expenditures 15-22'!D295</f>
        <v>67744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575</v>
      </c>
      <c r="C1471" s="2" t="s">
        <v>573</v>
      </c>
      <c r="D1471" s="2" t="str">
        <f t="shared" ref="D1471:D1534" si="22">IF(ISBLANK(B1471),"OK",IF(A1471-B1471=0,"OK","Error?"))</f>
        <v>Error?</v>
      </c>
    </row>
    <row r="1472" spans="1:4" x14ac:dyDescent="0.2">
      <c r="A1472" s="5">
        <v>1411</v>
      </c>
      <c r="B1472" s="138">
        <f>'Expenditures 15-22'!K223</f>
        <v>2747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28181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812</v>
      </c>
      <c r="C1476" s="2" t="s">
        <v>573</v>
      </c>
      <c r="D1476" s="2" t="str">
        <f t="shared" si="22"/>
        <v>Error?</v>
      </c>
    </row>
    <row r="1477" spans="1:4" x14ac:dyDescent="0.2">
      <c r="A1477" s="5">
        <v>1416</v>
      </c>
      <c r="B1477" s="138">
        <f>'Expenditures 15-22'!K234</f>
        <v>2754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238</v>
      </c>
      <c r="C1480" s="2" t="s">
        <v>573</v>
      </c>
      <c r="D1480" s="2" t="str">
        <f t="shared" si="22"/>
        <v>Error?</v>
      </c>
    </row>
    <row r="1481" spans="1:4" x14ac:dyDescent="0.2">
      <c r="A1481" s="5">
        <v>1420</v>
      </c>
      <c r="B1481" s="138">
        <f>'Expenditures 15-22'!K238</f>
        <v>3804</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596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596</v>
      </c>
      <c r="C1485" s="2" t="s">
        <v>573</v>
      </c>
      <c r="D1485" s="2" t="str">
        <f t="shared" si="22"/>
        <v>Error?</v>
      </c>
    </row>
    <row r="1486" spans="1:4" x14ac:dyDescent="0.2">
      <c r="A1486" s="5">
        <v>1425</v>
      </c>
      <c r="B1486" s="138">
        <f>'Expenditures 15-22'!K245</f>
        <v>97</v>
      </c>
      <c r="C1486" s="2" t="s">
        <v>573</v>
      </c>
      <c r="D1486" s="2" t="str">
        <f t="shared" si="22"/>
        <v>Error?</v>
      </c>
    </row>
    <row r="1487" spans="1:4" x14ac:dyDescent="0.2">
      <c r="A1487" s="5">
        <v>1426</v>
      </c>
      <c r="B1487" s="138">
        <f>'Expenditures 15-22'!K246</f>
        <v>1700</v>
      </c>
      <c r="C1487" s="2" t="s">
        <v>573</v>
      </c>
      <c r="D1487" s="2" t="str">
        <f t="shared" si="22"/>
        <v>Error?</v>
      </c>
    </row>
    <row r="1488" spans="1:4" x14ac:dyDescent="0.2">
      <c r="A1488" s="5">
        <v>1427</v>
      </c>
      <c r="B1488" s="138">
        <f>'Expenditures 15-22'!K257</f>
        <v>4769</v>
      </c>
      <c r="C1488" s="2" t="s">
        <v>573</v>
      </c>
      <c r="D1488" s="2" t="str">
        <f t="shared" si="22"/>
        <v>Error?</v>
      </c>
    </row>
    <row r="1489" spans="1:4" x14ac:dyDescent="0.2">
      <c r="A1489" s="5">
        <v>1428</v>
      </c>
      <c r="B1489" s="138">
        <f>'Expenditures 15-22'!K259</f>
        <v>6670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6670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5069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9171</v>
      </c>
      <c r="C1495" s="2" t="s">
        <v>573</v>
      </c>
      <c r="D1495" s="2" t="str">
        <f t="shared" si="22"/>
        <v>Error?</v>
      </c>
    </row>
    <row r="1496" spans="1:4" x14ac:dyDescent="0.2">
      <c r="A1496" s="5">
        <v>1435</v>
      </c>
      <c r="B1496" s="138">
        <f>'Expenditures 15-22'!K267</f>
        <v>8975</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23215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39054</v>
      </c>
      <c r="C1510" s="2" t="s">
        <v>573</v>
      </c>
      <c r="D1510" s="2" t="str">
        <f t="shared" si="22"/>
        <v>Error?</v>
      </c>
    </row>
    <row r="1511" spans="1:4" x14ac:dyDescent="0.2">
      <c r="A1511" s="5">
        <v>1450</v>
      </c>
      <c r="B1511" s="138">
        <f>'Expenditures 15-22'!K280</f>
        <v>509</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67744</v>
      </c>
      <c r="C1517" s="2" t="s">
        <v>573</v>
      </c>
      <c r="D1517" s="2" t="str">
        <f t="shared" si="22"/>
        <v>Error?</v>
      </c>
    </row>
    <row r="1518" spans="1:4" x14ac:dyDescent="0.2">
      <c r="A1518" s="5">
        <v>1457</v>
      </c>
      <c r="B1518" s="138">
        <f>'Expenditures 15-22'!K296</f>
        <v>-2640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1666111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1949970</v>
      </c>
      <c r="C1630" s="2" t="s">
        <v>573</v>
      </c>
      <c r="D1630" s="2" t="str">
        <f t="shared" si="24"/>
        <v>Error?</v>
      </c>
    </row>
    <row r="1631" spans="1:4" x14ac:dyDescent="0.2">
      <c r="A1631" s="5">
        <v>1570</v>
      </c>
      <c r="B1631" s="138">
        <f>'Acct Summary 7-8'!D79</f>
        <v>-43866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-55210</v>
      </c>
      <c r="C1644" s="2" t="s">
        <v>573</v>
      </c>
      <c r="D1644" s="2" t="str">
        <f t="shared" si="24"/>
        <v>Error?</v>
      </c>
    </row>
    <row r="1645" spans="1:4" x14ac:dyDescent="0.2">
      <c r="A1645" s="5">
        <v>1584</v>
      </c>
      <c r="B1645" s="138">
        <f>'Acct Summary 7-8'!E79</f>
        <v>96619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100570</v>
      </c>
      <c r="C1658" s="2" t="s">
        <v>573</v>
      </c>
      <c r="D1658" s="2" t="str">
        <f t="shared" si="24"/>
        <v>Error?</v>
      </c>
    </row>
    <row r="1659" spans="1:4" x14ac:dyDescent="0.2">
      <c r="A1659" s="5">
        <v>1598</v>
      </c>
      <c r="B1659" s="138">
        <f>'Acct Summary 7-8'!F79</f>
        <v>240853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17760</v>
      </c>
      <c r="C1672" s="2" t="s">
        <v>573</v>
      </c>
      <c r="D1672" s="2" t="str">
        <f t="shared" si="25"/>
        <v>Error?</v>
      </c>
    </row>
    <row r="1673" spans="1:4" x14ac:dyDescent="0.2">
      <c r="A1673" s="5">
        <v>1612</v>
      </c>
      <c r="B1673" s="138">
        <f>'Acct Summary 7-8'!G79</f>
        <v>257422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254782</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571999</v>
      </c>
      <c r="C1744" s="2" t="s">
        <v>573</v>
      </c>
      <c r="D1744" s="2" t="str">
        <f t="shared" si="26"/>
        <v>Error?</v>
      </c>
    </row>
    <row r="1745" spans="1:5" x14ac:dyDescent="0.2">
      <c r="A1745" s="5">
        <v>1684</v>
      </c>
      <c r="B1745" s="138">
        <f>'Tax Sched 23'!B5</f>
        <v>136454</v>
      </c>
      <c r="C1745" s="2" t="s">
        <v>573</v>
      </c>
      <c r="D1745" s="2" t="str">
        <f t="shared" si="26"/>
        <v>Error?</v>
      </c>
    </row>
    <row r="1746" spans="1:5" x14ac:dyDescent="0.2">
      <c r="A1746" s="5">
        <v>1685</v>
      </c>
      <c r="B1746" s="138">
        <f>'Tax Sched 23'!B6</f>
        <v>289798</v>
      </c>
      <c r="C1746" s="2" t="s">
        <v>573</v>
      </c>
      <c r="D1746" s="2" t="str">
        <f t="shared" si="26"/>
        <v>Error?</v>
      </c>
    </row>
    <row r="1747" spans="1:5" x14ac:dyDescent="0.2">
      <c r="A1747" s="5">
        <v>1686</v>
      </c>
      <c r="B1747" s="138">
        <f>'Tax Sched 23'!B7</f>
        <v>54582</v>
      </c>
      <c r="C1747" s="2" t="s">
        <v>573</v>
      </c>
      <c r="D1747" s="2" t="str">
        <f t="shared" si="26"/>
        <v>Error?</v>
      </c>
    </row>
    <row r="1748" spans="1:5" x14ac:dyDescent="0.2">
      <c r="A1748" s="5">
        <v>1687</v>
      </c>
      <c r="B1748" s="138">
        <f>'Tax Sched 23'!B8</f>
        <v>20039</v>
      </c>
      <c r="C1748" s="2" t="s">
        <v>573</v>
      </c>
      <c r="D1748" s="2" t="str">
        <f t="shared" si="26"/>
        <v>Error?</v>
      </c>
    </row>
    <row r="1749" spans="1:5" x14ac:dyDescent="0.2">
      <c r="A1749" s="5">
        <v>1688</v>
      </c>
      <c r="B1749" s="138">
        <f>'Tax Sched 23'!B10</f>
        <v>13645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185374</v>
      </c>
      <c r="C1752" s="2" t="s">
        <v>573</v>
      </c>
      <c r="D1752" s="2" t="str">
        <f t="shared" si="26"/>
        <v>Error?</v>
      </c>
    </row>
    <row r="1753" spans="1:5" x14ac:dyDescent="0.2">
      <c r="A1753" s="5">
        <v>1692</v>
      </c>
      <c r="B1753" s="138">
        <f>'Tax Sched 23'!B12</f>
        <v>13645</v>
      </c>
      <c r="C1753" s="2" t="s">
        <v>573</v>
      </c>
      <c r="D1753" s="2" t="str">
        <f t="shared" si="26"/>
        <v>Error?</v>
      </c>
    </row>
    <row r="1754" spans="1:5" x14ac:dyDescent="0.2">
      <c r="A1754" s="5">
        <v>1693</v>
      </c>
      <c r="B1754" s="138">
        <f>'Tax Sched 23'!B14</f>
        <v>10916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1335153</v>
      </c>
      <c r="C1759" s="2" t="s">
        <v>573</v>
      </c>
      <c r="D1759" s="2" t="str">
        <f t="shared" si="26"/>
        <v>Error?</v>
      </c>
    </row>
    <row r="1760" spans="1:5" x14ac:dyDescent="0.2">
      <c r="A1760" s="5">
        <v>1699</v>
      </c>
      <c r="B1760" s="138">
        <f>'Tax Sched 23'!D4</f>
        <v>571999</v>
      </c>
      <c r="C1760" s="2" t="s">
        <v>573</v>
      </c>
      <c r="D1760" s="2" t="str">
        <f t="shared" si="26"/>
        <v>Error?</v>
      </c>
    </row>
    <row r="1761" spans="1:5" x14ac:dyDescent="0.2">
      <c r="A1761" s="5">
        <v>1700</v>
      </c>
      <c r="B1761" s="138">
        <f>'Tax Sched 23'!D5</f>
        <v>136454</v>
      </c>
      <c r="C1761" s="2" t="s">
        <v>573</v>
      </c>
      <c r="D1761" s="2" t="str">
        <f t="shared" si="26"/>
        <v>Error?</v>
      </c>
    </row>
    <row r="1762" spans="1:5" s="8" customFormat="1" x14ac:dyDescent="0.2">
      <c r="A1762" s="5">
        <v>1701</v>
      </c>
      <c r="B1762" s="138">
        <f>'Tax Sched 23'!D6</f>
        <v>289798</v>
      </c>
      <c r="C1762" s="2" t="s">
        <v>573</v>
      </c>
      <c r="D1762" s="2" t="str">
        <f t="shared" si="26"/>
        <v>Error?</v>
      </c>
      <c r="E1762" s="9"/>
    </row>
    <row r="1763" spans="1:5" x14ac:dyDescent="0.2">
      <c r="A1763" s="5">
        <v>1702</v>
      </c>
      <c r="B1763" s="138">
        <f>'Tax Sched 23'!D7</f>
        <v>54582</v>
      </c>
      <c r="C1763" s="2" t="s">
        <v>573</v>
      </c>
      <c r="D1763" s="2" t="str">
        <f t="shared" si="26"/>
        <v>Error?</v>
      </c>
    </row>
    <row r="1764" spans="1:5" x14ac:dyDescent="0.2">
      <c r="A1764" s="5">
        <v>1703</v>
      </c>
      <c r="B1764" s="138">
        <f>'Tax Sched 23'!D8</f>
        <v>20039</v>
      </c>
      <c r="C1764" s="2" t="s">
        <v>573</v>
      </c>
      <c r="D1764" s="2" t="str">
        <f t="shared" si="26"/>
        <v>Error?</v>
      </c>
    </row>
    <row r="1765" spans="1:5" x14ac:dyDescent="0.2">
      <c r="A1765" s="5">
        <v>1704</v>
      </c>
      <c r="B1765" s="138">
        <f>'Tax Sched 23'!D10</f>
        <v>13645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185374</v>
      </c>
      <c r="C1768" s="2" t="s">
        <v>573</v>
      </c>
      <c r="D1768" s="2" t="str">
        <f t="shared" si="26"/>
        <v>Error?</v>
      </c>
    </row>
    <row r="1769" spans="1:5" x14ac:dyDescent="0.2">
      <c r="A1769" s="5">
        <v>1708</v>
      </c>
      <c r="B1769" s="138">
        <f>'Tax Sched 23'!D12</f>
        <v>13645</v>
      </c>
      <c r="C1769" s="2" t="s">
        <v>573</v>
      </c>
      <c r="D1769" s="2" t="str">
        <f t="shared" si="26"/>
        <v>Error?</v>
      </c>
    </row>
    <row r="1770" spans="1:5" x14ac:dyDescent="0.2">
      <c r="A1770" s="5">
        <v>1709</v>
      </c>
      <c r="B1770" s="138">
        <f>'Tax Sched 23'!D14</f>
        <v>10916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1335153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617322</v>
      </c>
      <c r="C1792" s="2" t="s">
        <v>573</v>
      </c>
      <c r="D1792" s="2" t="str">
        <f t="shared" si="27"/>
        <v>Error?</v>
      </c>
    </row>
    <row r="1793" spans="1:4" x14ac:dyDescent="0.2">
      <c r="A1793" s="5">
        <v>1732</v>
      </c>
      <c r="B1793" s="138">
        <f>'Tax Sched 23'!F5</f>
        <v>147877</v>
      </c>
      <c r="C1793" s="2" t="s">
        <v>573</v>
      </c>
      <c r="D1793" s="2" t="str">
        <f t="shared" si="27"/>
        <v>Error?</v>
      </c>
    </row>
    <row r="1794" spans="1:4" x14ac:dyDescent="0.2">
      <c r="A1794" s="5">
        <v>1733</v>
      </c>
      <c r="B1794" s="138">
        <f>'Tax Sched 23'!F6</f>
        <v>293709</v>
      </c>
      <c r="C1794" s="2" t="s">
        <v>573</v>
      </c>
      <c r="D1794" s="2" t="str">
        <f t="shared" si="27"/>
        <v>Error?</v>
      </c>
    </row>
    <row r="1795" spans="1:4" x14ac:dyDescent="0.2">
      <c r="A1795" s="5">
        <v>1734</v>
      </c>
      <c r="B1795" s="138">
        <f>'Tax Sched 23'!F7</f>
        <v>59151</v>
      </c>
      <c r="C1795" s="2" t="s">
        <v>573</v>
      </c>
      <c r="D1795" s="2" t="str">
        <f t="shared" si="27"/>
        <v>Error?</v>
      </c>
    </row>
    <row r="1796" spans="1:4" x14ac:dyDescent="0.2">
      <c r="A1796" s="5">
        <v>1735</v>
      </c>
      <c r="B1796" s="138">
        <f>'Tax Sched 23'!F8</f>
        <v>10119</v>
      </c>
      <c r="C1796" s="2" t="s">
        <v>573</v>
      </c>
      <c r="D1796" s="2" t="str">
        <f t="shared" si="27"/>
        <v>Error?</v>
      </c>
    </row>
    <row r="1797" spans="1:4" x14ac:dyDescent="0.2">
      <c r="A1797" s="5">
        <v>1736</v>
      </c>
      <c r="B1797" s="138">
        <f>'Tax Sched 23'!F10</f>
        <v>14801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212365</v>
      </c>
      <c r="C1800" s="2" t="s">
        <v>573</v>
      </c>
      <c r="D1800" s="2" t="str">
        <f t="shared" si="27"/>
        <v>Error?</v>
      </c>
    </row>
    <row r="1801" spans="1:4" x14ac:dyDescent="0.2">
      <c r="A1801" s="5">
        <v>1740</v>
      </c>
      <c r="B1801" s="138">
        <f>'Tax Sched 23'!F12</f>
        <v>14801</v>
      </c>
      <c r="C1801" s="2" t="s">
        <v>573</v>
      </c>
      <c r="D1801" s="2" t="str">
        <f t="shared" si="27"/>
        <v>Error?</v>
      </c>
    </row>
    <row r="1802" spans="1:4" x14ac:dyDescent="0.2">
      <c r="A1802" s="5">
        <v>1741</v>
      </c>
      <c r="B1802" s="138">
        <f>'Tax Sched 23'!F14</f>
        <v>11820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1406889</v>
      </c>
      <c r="C1807" s="2" t="s">
        <v>573</v>
      </c>
      <c r="D1807" s="2" t="str">
        <f t="shared" si="27"/>
        <v>Error?</v>
      </c>
    </row>
    <row r="1808" spans="1:4" x14ac:dyDescent="0.2">
      <c r="A1808" s="5">
        <v>1747</v>
      </c>
      <c r="B1808" s="138">
        <f>'Tax Sched 23'!E4</f>
        <v>617322</v>
      </c>
      <c r="D1808" s="2" t="str">
        <f t="shared" si="27"/>
        <v>Error?</v>
      </c>
    </row>
    <row r="1809" spans="1:4" x14ac:dyDescent="0.2">
      <c r="A1809" s="5">
        <v>1748</v>
      </c>
      <c r="B1809" s="138">
        <f>'Tax Sched 23'!E5</f>
        <v>147877</v>
      </c>
      <c r="D1809" s="2" t="str">
        <f t="shared" si="27"/>
        <v>Error?</v>
      </c>
    </row>
    <row r="1810" spans="1:4" x14ac:dyDescent="0.2">
      <c r="A1810" s="5">
        <v>1749</v>
      </c>
      <c r="B1810" s="138">
        <f>'Tax Sched 23'!E6</f>
        <v>293709</v>
      </c>
      <c r="D1810" s="2" t="str">
        <f t="shared" si="27"/>
        <v>Error?</v>
      </c>
    </row>
    <row r="1811" spans="1:4" x14ac:dyDescent="0.2">
      <c r="A1811" s="5">
        <v>1750</v>
      </c>
      <c r="B1811" s="138">
        <f>'Tax Sched 23'!E7</f>
        <v>59151</v>
      </c>
      <c r="D1811" s="2" t="str">
        <f t="shared" si="27"/>
        <v>Error?</v>
      </c>
    </row>
    <row r="1812" spans="1:4" x14ac:dyDescent="0.2">
      <c r="A1812" s="5">
        <v>1751</v>
      </c>
      <c r="B1812" s="138">
        <f>'Tax Sched 23'!E8</f>
        <v>10119</v>
      </c>
      <c r="D1812" s="2" t="str">
        <f t="shared" si="27"/>
        <v>Error?</v>
      </c>
    </row>
    <row r="1813" spans="1:4" x14ac:dyDescent="0.2">
      <c r="A1813" s="5">
        <v>1752</v>
      </c>
      <c r="B1813" s="138">
        <f>'Tax Sched 23'!E10</f>
        <v>14801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212365</v>
      </c>
      <c r="D1816" s="2" t="str">
        <f t="shared" si="27"/>
        <v>Error?</v>
      </c>
    </row>
    <row r="1817" spans="1:4" x14ac:dyDescent="0.2">
      <c r="A1817" s="5">
        <v>1756</v>
      </c>
      <c r="B1817" s="138">
        <f>'Tax Sched 23'!E12</f>
        <v>14801</v>
      </c>
      <c r="D1817" s="2" t="str">
        <f t="shared" si="27"/>
        <v>Error?</v>
      </c>
    </row>
    <row r="1818" spans="1:4" x14ac:dyDescent="0.2">
      <c r="A1818" s="5">
        <v>1757</v>
      </c>
      <c r="B1818" s="138">
        <f>'Tax Sched 23'!E14</f>
        <v>11820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1406889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1190800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10916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10916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10916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33070</v>
      </c>
      <c r="D2008" s="2" t="str">
        <f t="shared" si="30"/>
        <v>Error?</v>
      </c>
    </row>
    <row r="2009" spans="1:4" x14ac:dyDescent="0.2">
      <c r="A2009" s="5">
        <v>1948</v>
      </c>
      <c r="B2009" s="138">
        <f>'Cap Outlay Deprec 26'!C8</f>
        <v>8870517</v>
      </c>
      <c r="D2009" s="2" t="str">
        <f t="shared" si="30"/>
        <v>Error?</v>
      </c>
    </row>
    <row r="2010" spans="1:4" x14ac:dyDescent="0.2">
      <c r="A2010" s="5">
        <v>1949</v>
      </c>
      <c r="B2010" s="138">
        <f>'Cap Outlay Deprec 26'!C10</f>
        <v>1016749</v>
      </c>
      <c r="D2010" s="2" t="str">
        <f t="shared" si="30"/>
        <v>Error?</v>
      </c>
    </row>
    <row r="2011" spans="1:4" x14ac:dyDescent="0.2">
      <c r="A2011" s="5">
        <v>1950</v>
      </c>
      <c r="B2011" s="138">
        <f>'Cap Outlay Deprec 26'!C12</f>
        <v>1202725</v>
      </c>
      <c r="D2011" s="2" t="str">
        <f t="shared" si="30"/>
        <v>Error?</v>
      </c>
    </row>
    <row r="2012" spans="1:4" x14ac:dyDescent="0.2">
      <c r="A2012" s="5">
        <v>1951</v>
      </c>
      <c r="B2012" s="138">
        <f>'Cap Outlay Deprec 26'!C13</f>
        <v>487351</v>
      </c>
      <c r="D2012" s="2" t="str">
        <f t="shared" si="30"/>
        <v>Error?</v>
      </c>
    </row>
    <row r="2013" spans="1:4" x14ac:dyDescent="0.2">
      <c r="A2013" s="5">
        <v>1952</v>
      </c>
      <c r="B2013" s="138">
        <f>'Cap Outlay Deprec 26'!C16</f>
        <v>11610412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20010</v>
      </c>
      <c r="D2017" s="2" t="str">
        <f t="shared" si="30"/>
        <v>Error?</v>
      </c>
    </row>
    <row r="2018" spans="1:4" x14ac:dyDescent="0.2">
      <c r="A2018" s="5">
        <v>1957</v>
      </c>
      <c r="B2018" s="138">
        <f>'Cap Outlay Deprec 26'!D13</f>
        <v>362675</v>
      </c>
      <c r="D2018" s="2" t="str">
        <f t="shared" si="30"/>
        <v>Error?</v>
      </c>
    </row>
    <row r="2019" spans="1:4" x14ac:dyDescent="0.2">
      <c r="A2019" s="5">
        <v>1958</v>
      </c>
      <c r="B2019" s="138">
        <f>'Cap Outlay Deprec 26'!D16</f>
        <v>382685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442535</v>
      </c>
      <c r="D2024" s="2" t="str">
        <f t="shared" si="30"/>
        <v>Error?</v>
      </c>
    </row>
    <row r="2025" spans="1:4" x14ac:dyDescent="0.2">
      <c r="A2025" s="5">
        <v>1964</v>
      </c>
      <c r="B2025" s="138">
        <f>'Cap Outlay Deprec 26'!E16</f>
        <v>442535</v>
      </c>
      <c r="C2025" s="2" t="s">
        <v>573</v>
      </c>
      <c r="D2025" s="2" t="str">
        <f t="shared" si="30"/>
        <v>Error?</v>
      </c>
    </row>
    <row r="2026" spans="1:4" x14ac:dyDescent="0.2">
      <c r="A2026" s="5">
        <v>1965</v>
      </c>
      <c r="B2026" s="138">
        <f>'Cap Outlay Deprec 26'!F5</f>
        <v>33070</v>
      </c>
      <c r="C2026" s="2" t="s">
        <v>573</v>
      </c>
      <c r="D2026" s="2" t="str">
        <f t="shared" si="30"/>
        <v>Error?</v>
      </c>
    </row>
    <row r="2027" spans="1:4" x14ac:dyDescent="0.2">
      <c r="A2027" s="5">
        <v>1966</v>
      </c>
      <c r="B2027" s="138">
        <f>'Cap Outlay Deprec 26'!F8</f>
        <v>8870517</v>
      </c>
      <c r="C2027" s="2" t="s">
        <v>573</v>
      </c>
      <c r="D2027" s="2" t="str">
        <f t="shared" si="30"/>
        <v>Error?</v>
      </c>
    </row>
    <row r="2028" spans="1:4" x14ac:dyDescent="0.2">
      <c r="A2028" s="5">
        <v>1967</v>
      </c>
      <c r="B2028" s="138">
        <f>'Cap Outlay Deprec 26'!F10</f>
        <v>1016749</v>
      </c>
      <c r="C2028" s="2" t="s">
        <v>573</v>
      </c>
      <c r="D2028" s="2" t="str">
        <f t="shared" si="30"/>
        <v>Error?</v>
      </c>
    </row>
    <row r="2029" spans="1:4" x14ac:dyDescent="0.2">
      <c r="A2029" s="5">
        <v>1968</v>
      </c>
      <c r="B2029" s="138">
        <f>'Cap Outlay Deprec 26'!F12</f>
        <v>1222735</v>
      </c>
      <c r="C2029" s="2" t="s">
        <v>573</v>
      </c>
      <c r="D2029" s="2" t="str">
        <f t="shared" si="30"/>
        <v>Error?</v>
      </c>
    </row>
    <row r="2030" spans="1:4" x14ac:dyDescent="0.2">
      <c r="A2030" s="5">
        <v>1969</v>
      </c>
      <c r="B2030" s="138">
        <f>'Cap Outlay Deprec 26'!F13</f>
        <v>407491</v>
      </c>
      <c r="C2030" s="2" t="s">
        <v>573</v>
      </c>
      <c r="D2030" s="2" t="str">
        <f t="shared" si="30"/>
        <v>Error?</v>
      </c>
    </row>
    <row r="2031" spans="1:4" x14ac:dyDescent="0.2">
      <c r="A2031" s="5">
        <v>1970</v>
      </c>
      <c r="B2031" s="138">
        <f>'Cap Outlay Deprec 26'!F16</f>
        <v>11550562</v>
      </c>
      <c r="C2031" s="2" t="s">
        <v>573</v>
      </c>
      <c r="D2031" s="2" t="str">
        <f t="shared" si="30"/>
        <v>Error?</v>
      </c>
    </row>
    <row r="2032" spans="1:4" x14ac:dyDescent="0.2">
      <c r="A2032" s="10">
        <v>1971</v>
      </c>
      <c r="D2032" s="2" t="str">
        <f t="shared" si="30"/>
        <v>OK</v>
      </c>
    </row>
    <row r="2033" spans="1:4" x14ac:dyDescent="0.2">
      <c r="A2033" s="5">
        <v>1972</v>
      </c>
      <c r="B2033" s="138">
        <f>'Cap Outlay Deprec 26'!H8</f>
        <v>3775566</v>
      </c>
      <c r="D2033" s="2" t="str">
        <f t="shared" si="30"/>
        <v>Error?</v>
      </c>
    </row>
    <row r="2034" spans="1:4" x14ac:dyDescent="0.2">
      <c r="A2034" s="5">
        <v>1973</v>
      </c>
      <c r="B2034" s="138">
        <f>'Cap Outlay Deprec 26'!H10</f>
        <v>1016479</v>
      </c>
      <c r="D2034" s="2" t="str">
        <f t="shared" si="30"/>
        <v>Error?</v>
      </c>
    </row>
    <row r="2035" spans="1:4" x14ac:dyDescent="0.2">
      <c r="A2035" s="5">
        <v>1974</v>
      </c>
      <c r="B2035" s="138">
        <f>'Cap Outlay Deprec 26'!H12</f>
        <v>1120945</v>
      </c>
      <c r="D2035" s="2" t="str">
        <f t="shared" si="30"/>
        <v>Error?</v>
      </c>
    </row>
    <row r="2036" spans="1:4" x14ac:dyDescent="0.2">
      <c r="A2036" s="5">
        <v>1975</v>
      </c>
      <c r="B2036" s="138">
        <f>'Cap Outlay Deprec 26'!H13</f>
        <v>476227</v>
      </c>
      <c r="D2036" s="2" t="str">
        <f t="shared" si="30"/>
        <v>Error?</v>
      </c>
    </row>
    <row r="2037" spans="1:4" x14ac:dyDescent="0.2">
      <c r="A2037" s="5">
        <v>1976</v>
      </c>
      <c r="B2037" s="138">
        <f>'Cap Outlay Deprec 26'!H16</f>
        <v>6389217</v>
      </c>
      <c r="C2037" s="2" t="s">
        <v>573</v>
      </c>
      <c r="D2037" s="2" t="str">
        <f t="shared" si="30"/>
        <v>Error?</v>
      </c>
    </row>
    <row r="2038" spans="1:4" x14ac:dyDescent="0.2">
      <c r="A2038" s="10">
        <v>1977</v>
      </c>
      <c r="D2038" s="2" t="str">
        <f t="shared" si="30"/>
        <v>OK</v>
      </c>
    </row>
    <row r="2039" spans="1:4" x14ac:dyDescent="0.2">
      <c r="A2039" s="5">
        <v>1978</v>
      </c>
      <c r="B2039" s="138">
        <f>'Cap Outlay Deprec 26'!I8</f>
        <v>177991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34102</v>
      </c>
      <c r="D2041" s="2" t="str">
        <f t="shared" si="30"/>
        <v>Error?</v>
      </c>
    </row>
    <row r="2042" spans="1:4" x14ac:dyDescent="0.2">
      <c r="A2042" s="5">
        <v>1981</v>
      </c>
      <c r="B2042" s="138">
        <f>'Cap Outlay Deprec 26'!I13</f>
        <v>76129</v>
      </c>
      <c r="D2042" s="2" t="str">
        <f t="shared" si="30"/>
        <v>Error?</v>
      </c>
    </row>
    <row r="2043" spans="1:4" x14ac:dyDescent="0.2">
      <c r="A2043" s="5">
        <v>1982</v>
      </c>
      <c r="B2043" s="138">
        <f>'Cap Outlay Deprec 26'!I16</f>
        <v>288222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442535</v>
      </c>
      <c r="D2048" s="2" t="str">
        <f t="shared" si="31"/>
        <v>Error?</v>
      </c>
    </row>
    <row r="2049" spans="1:4" x14ac:dyDescent="0.2">
      <c r="A2049" s="5">
        <v>1988</v>
      </c>
      <c r="B2049" s="138">
        <f>'Cap Outlay Deprec 26'!J16</f>
        <v>442535</v>
      </c>
      <c r="C2049" s="2" t="s">
        <v>573</v>
      </c>
      <c r="D2049" s="2" t="str">
        <f t="shared" si="31"/>
        <v>Error?</v>
      </c>
    </row>
    <row r="2050" spans="1:4" x14ac:dyDescent="0.2">
      <c r="A2050" s="10">
        <v>1989</v>
      </c>
      <c r="D2050" s="2" t="str">
        <f t="shared" si="31"/>
        <v>OK</v>
      </c>
    </row>
    <row r="2051" spans="1:4" x14ac:dyDescent="0.2">
      <c r="A2051" s="5">
        <v>1990</v>
      </c>
      <c r="B2051" s="138">
        <f>'Cap Outlay Deprec 26'!K8</f>
        <v>3953557</v>
      </c>
      <c r="C2051" s="2" t="s">
        <v>573</v>
      </c>
      <c r="D2051" s="2" t="str">
        <f t="shared" si="31"/>
        <v>Error?</v>
      </c>
    </row>
    <row r="2052" spans="1:4" x14ac:dyDescent="0.2">
      <c r="A2052" s="5">
        <v>1991</v>
      </c>
      <c r="B2052" s="138">
        <f>'Cap Outlay Deprec 26'!K10</f>
        <v>1016479</v>
      </c>
      <c r="C2052" s="2" t="s">
        <v>573</v>
      </c>
      <c r="D2052" s="2" t="str">
        <f t="shared" si="31"/>
        <v>Error?</v>
      </c>
    </row>
    <row r="2053" spans="1:4" x14ac:dyDescent="0.2">
      <c r="A2053" s="5">
        <v>1992</v>
      </c>
      <c r="B2053" s="138">
        <f>'Cap Outlay Deprec 26'!K12</f>
        <v>1155047</v>
      </c>
      <c r="C2053" s="2" t="s">
        <v>573</v>
      </c>
      <c r="D2053" s="2" t="str">
        <f t="shared" si="31"/>
        <v>Error?</v>
      </c>
    </row>
    <row r="2054" spans="1:4" x14ac:dyDescent="0.2">
      <c r="A2054" s="5">
        <v>1993</v>
      </c>
      <c r="B2054" s="138">
        <f>'Cap Outlay Deprec 26'!K13</f>
        <v>109821</v>
      </c>
      <c r="C2054" s="2" t="s">
        <v>573</v>
      </c>
      <c r="D2054" s="2" t="str">
        <f t="shared" si="31"/>
        <v>Error?</v>
      </c>
    </row>
    <row r="2055" spans="1:4" x14ac:dyDescent="0.2">
      <c r="A2055" s="5">
        <v>1994</v>
      </c>
      <c r="B2055" s="138">
        <f>'Cap Outlay Deprec 26'!K16</f>
        <v>6234904</v>
      </c>
      <c r="C2055" s="2" t="s">
        <v>573</v>
      </c>
      <c r="D2055" s="2" t="str">
        <f t="shared" si="31"/>
        <v>Error?</v>
      </c>
    </row>
    <row r="2056" spans="1:4" x14ac:dyDescent="0.2">
      <c r="A2056" s="5">
        <v>1995</v>
      </c>
      <c r="B2056" s="138">
        <f>'Cap Outlay Deprec 26'!L5</f>
        <v>33070</v>
      </c>
      <c r="C2056" s="2" t="s">
        <v>573</v>
      </c>
      <c r="D2056" s="2" t="str">
        <f t="shared" si="31"/>
        <v>Error?</v>
      </c>
    </row>
    <row r="2057" spans="1:4" x14ac:dyDescent="0.2">
      <c r="A2057" s="5">
        <v>1996</v>
      </c>
      <c r="B2057" s="138">
        <f>'Cap Outlay Deprec 26'!L8</f>
        <v>4916960</v>
      </c>
      <c r="C2057" s="2" t="s">
        <v>573</v>
      </c>
      <c r="D2057" s="2" t="str">
        <f t="shared" si="31"/>
        <v>Error?</v>
      </c>
    </row>
    <row r="2058" spans="1:4" x14ac:dyDescent="0.2">
      <c r="A2058" s="5">
        <v>1997</v>
      </c>
      <c r="B2058" s="138">
        <f>'Cap Outlay Deprec 26'!L10</f>
        <v>270</v>
      </c>
      <c r="C2058" s="2" t="s">
        <v>573</v>
      </c>
      <c r="D2058" s="2" t="str">
        <f t="shared" si="31"/>
        <v>Error?</v>
      </c>
    </row>
    <row r="2059" spans="1:4" x14ac:dyDescent="0.2">
      <c r="A2059" s="5">
        <v>1998</v>
      </c>
      <c r="B2059" s="138">
        <f>'Cap Outlay Deprec 26'!L12</f>
        <v>67688</v>
      </c>
      <c r="C2059" s="2" t="s">
        <v>573</v>
      </c>
      <c r="D2059" s="2" t="str">
        <f t="shared" si="31"/>
        <v>Error?</v>
      </c>
    </row>
    <row r="2060" spans="1:4" x14ac:dyDescent="0.2">
      <c r="A2060" s="5">
        <v>1999</v>
      </c>
      <c r="B2060" s="138">
        <f>'Cap Outlay Deprec 26'!L13</f>
        <v>297670</v>
      </c>
      <c r="C2060" s="2" t="s">
        <v>573</v>
      </c>
      <c r="D2060" s="2" t="str">
        <f t="shared" si="31"/>
        <v>Error?</v>
      </c>
    </row>
    <row r="2061" spans="1:4" x14ac:dyDescent="0.2">
      <c r="A2061" s="5">
        <v>2000</v>
      </c>
      <c r="B2061" s="138">
        <f>'Cap Outlay Deprec 26'!L16</f>
        <v>5315658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74784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76284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13863</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754784</v>
      </c>
      <c r="C2551" s="2" t="s">
        <v>573</v>
      </c>
      <c r="D2551" s="2" t="str">
        <f t="shared" si="38"/>
        <v>Error?</v>
      </c>
    </row>
    <row r="2552" spans="1:4" x14ac:dyDescent="0.2">
      <c r="A2552" s="10">
        <v>2491</v>
      </c>
      <c r="D2552" s="2" t="str">
        <f t="shared" si="38"/>
        <v>OK</v>
      </c>
    </row>
    <row r="2553" spans="1:4" x14ac:dyDescent="0.2">
      <c r="A2553" s="5">
        <v>2492</v>
      </c>
      <c r="B2553" s="138">
        <f>'Acct Summary 7-8'!C6</f>
        <v>1294992</v>
      </c>
      <c r="C2553" s="2" t="s">
        <v>573</v>
      </c>
      <c r="D2553" s="2" t="str">
        <f t="shared" si="38"/>
        <v>Error?</v>
      </c>
    </row>
    <row r="2554" spans="1:4" x14ac:dyDescent="0.2">
      <c r="A2554" s="5">
        <v>2493</v>
      </c>
      <c r="B2554" s="138">
        <f>'Acct Summary 7-8'!C7</f>
        <v>214875</v>
      </c>
      <c r="C2554" s="2" t="s">
        <v>573</v>
      </c>
      <c r="D2554" s="2" t="str">
        <f t="shared" si="38"/>
        <v>Error?</v>
      </c>
    </row>
    <row r="2555" spans="1:4" x14ac:dyDescent="0.2">
      <c r="A2555" s="5">
        <v>2494</v>
      </c>
      <c r="B2555" s="138">
        <f>'Acct Summary 7-8'!C8</f>
        <v>2264651</v>
      </c>
      <c r="C2555" s="2" t="s">
        <v>573</v>
      </c>
      <c r="D2555" s="2" t="str">
        <f t="shared" si="38"/>
        <v>Error?</v>
      </c>
    </row>
    <row r="2556" spans="1:4" x14ac:dyDescent="0.2">
      <c r="A2556" s="5">
        <v>2495</v>
      </c>
      <c r="B2556" s="138">
        <f>'Acct Summary 7-8'!C12</f>
        <v>1206567</v>
      </c>
      <c r="C2556" s="2" t="s">
        <v>573</v>
      </c>
      <c r="D2556" s="2" t="str">
        <f t="shared" si="38"/>
        <v>Error?</v>
      </c>
    </row>
    <row r="2557" spans="1:4" x14ac:dyDescent="0.2">
      <c r="A2557" s="5">
        <v>2496</v>
      </c>
      <c r="B2557" s="138">
        <f>'Acct Summary 7-8'!C13</f>
        <v>656871</v>
      </c>
      <c r="C2557" s="2" t="s">
        <v>573</v>
      </c>
      <c r="D2557" s="2" t="str">
        <f t="shared" si="38"/>
        <v>Error?</v>
      </c>
    </row>
    <row r="2558" spans="1:4" x14ac:dyDescent="0.2">
      <c r="A2558" s="5">
        <v>2497</v>
      </c>
      <c r="B2558" s="138">
        <f>'Acct Summary 7-8'!C14</f>
        <v>9205</v>
      </c>
      <c r="C2558" s="2" t="s">
        <v>573</v>
      </c>
      <c r="D2558" s="2" t="str">
        <f t="shared" si="38"/>
        <v>Error?</v>
      </c>
    </row>
    <row r="2559" spans="1:4" x14ac:dyDescent="0.2">
      <c r="A2559" s="5">
        <v>2498</v>
      </c>
      <c r="B2559" s="138">
        <f>'Acct Summary 7-8'!C15</f>
        <v>76284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1948927</v>
      </c>
      <c r="C2561" s="2" t="s">
        <v>573</v>
      </c>
      <c r="D2561" s="2" t="str">
        <f t="shared" si="39"/>
        <v>Error?</v>
      </c>
    </row>
    <row r="2562" spans="1:4" x14ac:dyDescent="0.2">
      <c r="A2562" s="5">
        <v>2501</v>
      </c>
      <c r="B2562" s="138">
        <f>'Acct Summary 7-8'!C20</f>
        <v>315724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189805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189805</v>
      </c>
      <c r="C2568" s="2" t="s">
        <v>573</v>
      </c>
      <c r="D2568" s="2" t="str">
        <f t="shared" si="39"/>
        <v>Error?</v>
      </c>
    </row>
    <row r="2569" spans="1:4" x14ac:dyDescent="0.2">
      <c r="A2569" s="5">
        <v>2508</v>
      </c>
      <c r="B2569" s="138">
        <f>'Acct Summary 7-8'!D13</f>
        <v>246877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246877</v>
      </c>
      <c r="C2573" s="2" t="s">
        <v>573</v>
      </c>
      <c r="D2573" s="2" t="str">
        <f t="shared" si="39"/>
        <v>Error?</v>
      </c>
    </row>
    <row r="2574" spans="1:4" x14ac:dyDescent="0.2">
      <c r="A2574" s="5">
        <v>2513</v>
      </c>
      <c r="B2574" s="138">
        <f>'Acct Summary 7-8'!D20</f>
        <v>-57072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57254</v>
      </c>
      <c r="C2591" s="2" t="s">
        <v>573</v>
      </c>
      <c r="D2591" s="2" t="str">
        <f t="shared" si="39"/>
        <v>Error?</v>
      </c>
    </row>
    <row r="2592" spans="1:4" x14ac:dyDescent="0.2">
      <c r="A2592" s="10">
        <v>2531</v>
      </c>
      <c r="D2592" s="2" t="str">
        <f t="shared" si="39"/>
        <v>OK</v>
      </c>
    </row>
    <row r="2593" spans="1:4" x14ac:dyDescent="0.2">
      <c r="A2593" s="5">
        <v>2532</v>
      </c>
      <c r="B2593" s="138">
        <f>'Acct Summary 7-8'!F6</f>
        <v>176842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234096</v>
      </c>
      <c r="C2595" s="2" t="s">
        <v>573</v>
      </c>
      <c r="D2595" s="2" t="str">
        <f t="shared" si="39"/>
        <v>Error?</v>
      </c>
    </row>
    <row r="2596" spans="1:4" x14ac:dyDescent="0.2">
      <c r="A2596" s="5">
        <v>2535</v>
      </c>
      <c r="B2596" s="138">
        <f>'Acct Summary 7-8'!F13</f>
        <v>452713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4476</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457189</v>
      </c>
      <c r="C2600" s="2" t="s">
        <v>573</v>
      </c>
      <c r="D2600" s="2" t="str">
        <f t="shared" si="39"/>
        <v>Error?</v>
      </c>
    </row>
    <row r="2601" spans="1:4" x14ac:dyDescent="0.2">
      <c r="A2601" s="5">
        <v>2540</v>
      </c>
      <c r="B2601" s="138">
        <f>'Acct Summary 7-8'!F20</f>
        <v>-223093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65104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65104</v>
      </c>
      <c r="C2606" s="2" t="s">
        <v>573</v>
      </c>
      <c r="D2606" s="2" t="str">
        <f t="shared" si="39"/>
        <v>Error?</v>
      </c>
    </row>
    <row r="2607" spans="1:4" x14ac:dyDescent="0.2">
      <c r="A2607" s="5">
        <v>2546</v>
      </c>
      <c r="B2607" s="138">
        <f>'Acct Summary 7-8'!G12</f>
        <v>28181</v>
      </c>
      <c r="C2607" s="2" t="s">
        <v>573</v>
      </c>
      <c r="D2607" s="2" t="str">
        <f t="shared" si="39"/>
        <v>Error?</v>
      </c>
    </row>
    <row r="2608" spans="1:4" x14ac:dyDescent="0.2">
      <c r="A2608" s="5">
        <v>2547</v>
      </c>
      <c r="B2608" s="138">
        <f>'Acct Summary 7-8'!G13</f>
        <v>39054</v>
      </c>
      <c r="C2608" s="2" t="s">
        <v>573</v>
      </c>
      <c r="D2608" s="2" t="str">
        <f t="shared" si="39"/>
        <v>Error?</v>
      </c>
    </row>
    <row r="2609" spans="1:4" x14ac:dyDescent="0.2">
      <c r="A2609" s="5">
        <v>2548</v>
      </c>
      <c r="B2609" s="138">
        <f>'Acct Summary 7-8'!G14</f>
        <v>509</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67744</v>
      </c>
      <c r="C2612" s="2" t="s">
        <v>573</v>
      </c>
      <c r="D2612" s="2" t="str">
        <f t="shared" si="39"/>
        <v>Error?</v>
      </c>
    </row>
    <row r="2613" spans="1:4" x14ac:dyDescent="0.2">
      <c r="A2613" s="5">
        <v>2552</v>
      </c>
      <c r="B2613" s="138">
        <f>'Acct Summary 7-8'!G20</f>
        <v>-2640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293864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293864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289913</v>
      </c>
      <c r="C2634" s="2" t="s">
        <v>573</v>
      </c>
      <c r="D2634" s="2" t="str">
        <f t="shared" si="40"/>
        <v>Error?</v>
      </c>
    </row>
    <row r="2635" spans="1:4" x14ac:dyDescent="0.2">
      <c r="A2635" s="5">
        <v>2574</v>
      </c>
      <c r="B2635" s="138">
        <f>'Acct Summary 7-8'!E17</f>
        <v>289913</v>
      </c>
      <c r="C2635" s="2" t="s">
        <v>573</v>
      </c>
      <c r="D2635" s="2" t="str">
        <f t="shared" si="40"/>
        <v>Error?</v>
      </c>
    </row>
    <row r="2636" spans="1:4" x14ac:dyDescent="0.2">
      <c r="A2636" s="5">
        <v>2575</v>
      </c>
      <c r="B2636" s="138">
        <f>'Acct Summary 7-8'!E20</f>
        <v>3951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69657</v>
      </c>
      <c r="D2718" s="2" t="str">
        <f t="shared" si="41"/>
        <v>Error?</v>
      </c>
    </row>
    <row r="2719" spans="1:4" x14ac:dyDescent="0.2">
      <c r="A2719" s="5">
        <v>2658</v>
      </c>
      <c r="B2719" s="138">
        <f>'Expenditures 15-22'!D51</f>
        <v>1921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71578</v>
      </c>
      <c r="C2724" s="2" t="s">
        <v>573</v>
      </c>
      <c r="D2724" s="2" t="str">
        <f t="shared" si="41"/>
        <v>Error?</v>
      </c>
    </row>
    <row r="2725" spans="1:4" x14ac:dyDescent="0.2">
      <c r="A2725" s="5">
        <v>2664</v>
      </c>
      <c r="B2725" s="138">
        <f>'Expenditures 15-22'!D247</f>
        <v>2972</v>
      </c>
      <c r="D2725" s="2" t="str">
        <f t="shared" si="41"/>
        <v>Error?</v>
      </c>
    </row>
    <row r="2726" spans="1:4" x14ac:dyDescent="0.2">
      <c r="A2726" s="5">
        <v>2665</v>
      </c>
      <c r="B2726" s="138">
        <f>'Expenditures 15-22'!K247</f>
        <v>2972</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1500</v>
      </c>
      <c r="C2789" s="2" t="s">
        <v>573</v>
      </c>
      <c r="D2789" s="2" t="str">
        <f t="shared" si="42"/>
        <v>Error?</v>
      </c>
    </row>
    <row r="2790" spans="1:4" x14ac:dyDescent="0.2">
      <c r="A2790" s="5">
        <v>2729</v>
      </c>
      <c r="B2790" s="138">
        <f>'Expenditures 15-22'!E102</f>
        <v>1500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4476</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4476</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4476</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98223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98223</v>
      </c>
      <c r="D2914" s="2" t="str">
        <f t="shared" si="44"/>
        <v>Error?</v>
      </c>
    </row>
    <row r="2915" spans="1:4" x14ac:dyDescent="0.2">
      <c r="A2915" s="10">
        <v>2854</v>
      </c>
      <c r="D2915" s="2" t="str">
        <f t="shared" si="44"/>
        <v>OK</v>
      </c>
    </row>
    <row r="2916" spans="1:4" x14ac:dyDescent="0.2">
      <c r="A2916" s="5">
        <v>2855</v>
      </c>
      <c r="B2916" s="138">
        <f>'Assets-Liab 5-6'!L34</f>
        <v>98223</v>
      </c>
      <c r="C2916" s="2" t="s">
        <v>573</v>
      </c>
      <c r="D2916" s="2" t="str">
        <f t="shared" si="44"/>
        <v>Error?</v>
      </c>
    </row>
    <row r="2917" spans="1:4" x14ac:dyDescent="0.2">
      <c r="A2917" s="5">
        <v>2856</v>
      </c>
      <c r="B2917" s="138">
        <f>'Assets-Liab 5-6'!L41</f>
        <v>98223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1500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74784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1500</v>
      </c>
      <c r="C2973" s="2" t="s">
        <v>573</v>
      </c>
      <c r="D2973" s="2" t="str">
        <f t="shared" si="45"/>
        <v>Error?</v>
      </c>
    </row>
    <row r="2974" spans="1:4" x14ac:dyDescent="0.2">
      <c r="A2974" s="5">
        <v>2913</v>
      </c>
      <c r="B2974" s="138">
        <f>'Expenditures 15-22'!K79</f>
        <v>74784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4476</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4476</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35441</v>
      </c>
      <c r="D3055" s="2" t="str">
        <f t="shared" si="46"/>
        <v>Error?</v>
      </c>
    </row>
    <row r="3056" spans="1:4" x14ac:dyDescent="0.2">
      <c r="A3056" s="5">
        <v>2995</v>
      </c>
      <c r="B3056" s="138">
        <f>'Expenditures 15-22'!D10</f>
        <v>1</v>
      </c>
      <c r="D3056" s="2" t="str">
        <f t="shared" si="46"/>
        <v>Error?</v>
      </c>
    </row>
    <row r="3057" spans="1:4" x14ac:dyDescent="0.2">
      <c r="A3057" s="5">
        <v>2996</v>
      </c>
      <c r="B3057" s="138">
        <f>'Expenditures 15-22'!E10</f>
        <v>8651</v>
      </c>
      <c r="D3057" s="2" t="str">
        <f t="shared" si="46"/>
        <v>Error?</v>
      </c>
    </row>
    <row r="3058" spans="1:4" x14ac:dyDescent="0.2">
      <c r="A3058" s="5">
        <v>2997</v>
      </c>
      <c r="B3058" s="138">
        <f>'Expenditures 15-22'!F10</f>
        <v>4407</v>
      </c>
      <c r="D3058" s="2" t="str">
        <f t="shared" si="46"/>
        <v>Error?</v>
      </c>
    </row>
    <row r="3059" spans="1:4" x14ac:dyDescent="0.2">
      <c r="A3059" s="5">
        <v>2998</v>
      </c>
      <c r="B3059" s="138">
        <f>'Expenditures 15-22'!G10</f>
        <v>1275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49775</v>
      </c>
      <c r="C3062" s="2" t="s">
        <v>573</v>
      </c>
      <c r="D3062" s="2" t="str">
        <f t="shared" si="46"/>
        <v>Error?</v>
      </c>
    </row>
    <row r="3063" spans="1:4" x14ac:dyDescent="0.2">
      <c r="A3063" s="10">
        <v>3002</v>
      </c>
      <c r="D3063" s="2" t="str">
        <f t="shared" si="46"/>
        <v>OK</v>
      </c>
    </row>
    <row r="3064" spans="1:4" x14ac:dyDescent="0.2">
      <c r="A3064" s="5">
        <v>3003</v>
      </c>
      <c r="B3064" s="138">
        <f>'Expenditures 15-22'!D219</f>
        <v>3486</v>
      </c>
      <c r="D3064" s="2" t="str">
        <f t="shared" si="46"/>
        <v>Error?</v>
      </c>
    </row>
    <row r="3065" spans="1:4" x14ac:dyDescent="0.2">
      <c r="A3065" s="5">
        <v>3004</v>
      </c>
      <c r="B3065" s="138">
        <f>'Expenditures 15-22'!K219</f>
        <v>3486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13863</v>
      </c>
      <c r="C3225" s="2" t="s">
        <v>573</v>
      </c>
      <c r="D3225" s="2" t="str">
        <f t="shared" si="49"/>
        <v>Error?</v>
      </c>
    </row>
    <row r="3226" spans="1:4" x14ac:dyDescent="0.2">
      <c r="A3226" s="5">
        <v>3165</v>
      </c>
      <c r="B3226" s="138">
        <f>'Acct Summary 7-8'!I8</f>
        <v>13863</v>
      </c>
      <c r="C3226" s="2" t="s">
        <v>573</v>
      </c>
      <c r="D3226" s="2" t="str">
        <f t="shared" si="49"/>
        <v>Error?</v>
      </c>
    </row>
    <row r="3227" spans="1:4" x14ac:dyDescent="0.2">
      <c r="A3227" s="5">
        <v>3166</v>
      </c>
      <c r="B3227" s="138">
        <f>'Acct Summary 7-8'!I20</f>
        <v>13863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13863</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45728</v>
      </c>
      <c r="C3231" s="2" t="s">
        <v>573</v>
      </c>
      <c r="D3231" s="2" t="str">
        <f t="shared" si="49"/>
        <v>Error?</v>
      </c>
    </row>
    <row r="3232" spans="1:4" x14ac:dyDescent="0.2">
      <c r="A3232" s="5">
        <v>3171</v>
      </c>
      <c r="B3232" s="138">
        <f>'Acct Summary 7-8'!C77</f>
        <v>-31865</v>
      </c>
      <c r="C3232" s="2" t="s">
        <v>573</v>
      </c>
      <c r="D3232" s="2" t="str">
        <f t="shared" si="49"/>
        <v>Error?</v>
      </c>
    </row>
    <row r="3233" spans="1:4" x14ac:dyDescent="0.2">
      <c r="A3233" s="5">
        <v>3172</v>
      </c>
      <c r="B3233" s="138">
        <f>'Acct Summary 7-8'!C78</f>
        <v>283859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45728</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45728</v>
      </c>
      <c r="C3238" s="2" t="s">
        <v>573</v>
      </c>
      <c r="D3238" s="2" t="str">
        <f t="shared" si="49"/>
        <v>Error?</v>
      </c>
    </row>
    <row r="3239" spans="1:4" x14ac:dyDescent="0.2">
      <c r="A3239" s="5">
        <v>3178</v>
      </c>
      <c r="B3239" s="138">
        <f>'Acct Summary 7-8'!D78</f>
        <v>-11344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-223093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-2640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3951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13863</v>
      </c>
      <c r="C3318" s="2" t="s">
        <v>573</v>
      </c>
      <c r="D3318" s="2" t="str">
        <f t="shared" si="50"/>
        <v>Error?</v>
      </c>
    </row>
    <row r="3319" spans="1:4" x14ac:dyDescent="0.2">
      <c r="A3319" s="5">
        <v>3258</v>
      </c>
      <c r="B3319" s="138">
        <f>'Acct Summary 7-8'!I77</f>
        <v>-13863</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186457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7280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431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1089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195807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11260</v>
      </c>
      <c r="D3387" s="2" t="str">
        <f t="shared" si="51"/>
        <v>Error?</v>
      </c>
    </row>
    <row r="3388" spans="1:4" x14ac:dyDescent="0.2">
      <c r="A3388" s="5">
        <v>3327</v>
      </c>
      <c r="B3388" s="138">
        <f>'Expenditures 15-22'!D217</f>
        <v>7515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11260</v>
      </c>
      <c r="C3390" s="2" t="s">
        <v>573</v>
      </c>
      <c r="D3390" s="2" t="str">
        <f t="shared" si="51"/>
        <v>Error?</v>
      </c>
    </row>
    <row r="3391" spans="1:4" x14ac:dyDescent="0.2">
      <c r="A3391" s="5">
        <v>3330</v>
      </c>
      <c r="B3391" s="138">
        <f>'Expenditures 15-22'!K217</f>
        <v>7515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1877777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13283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100570</v>
      </c>
      <c r="D3417" s="2" t="str">
        <f t="shared" si="52"/>
        <v>Error?</v>
      </c>
    </row>
    <row r="3418" spans="1:4" x14ac:dyDescent="0.2">
      <c r="A3418" s="10">
        <v>3357</v>
      </c>
      <c r="D3418" s="2" t="str">
        <f t="shared" si="52"/>
        <v>OK</v>
      </c>
    </row>
    <row r="3419" spans="1:4" x14ac:dyDescent="0.2">
      <c r="A3419" s="5">
        <v>3358</v>
      </c>
      <c r="B3419" s="138">
        <f>'Assets-Liab 5-6'!F4</f>
        <v>17383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254673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98223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25056</v>
      </c>
      <c r="C3446" s="2" t="s">
        <v>573</v>
      </c>
      <c r="D3446" s="2" t="str">
        <f t="shared" si="52"/>
        <v>Error?</v>
      </c>
    </row>
    <row r="3447" spans="1:4" x14ac:dyDescent="0.2">
      <c r="A3447" s="5">
        <v>3386</v>
      </c>
      <c r="B3447" s="138">
        <f>'Tax Sched 23'!D16</f>
        <v>25056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10119</v>
      </c>
      <c r="C3449" s="2" t="s">
        <v>573</v>
      </c>
      <c r="D3449" s="2" t="str">
        <f t="shared" si="52"/>
        <v>Error?</v>
      </c>
    </row>
    <row r="3450" spans="1:4" x14ac:dyDescent="0.2">
      <c r="A3450" s="5">
        <v>3389</v>
      </c>
      <c r="B3450" s="138">
        <f>'Tax Sched 23'!E16</f>
        <v>10119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52099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52099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52099</v>
      </c>
      <c r="D3567" s="2" t="str">
        <f t="shared" si="54"/>
        <v>Error?</v>
      </c>
    </row>
    <row r="3568" spans="1:4" x14ac:dyDescent="0.2">
      <c r="A3568" s="5">
        <v>3507</v>
      </c>
      <c r="B3568" s="138">
        <f>'Assets-Liab 5-6'!K41</f>
        <v>52099</v>
      </c>
      <c r="C3568" s="2" t="s">
        <v>573</v>
      </c>
      <c r="D3568" s="2" t="str">
        <f t="shared" si="54"/>
        <v>Error?</v>
      </c>
    </row>
    <row r="3569" spans="1:4" x14ac:dyDescent="0.2">
      <c r="A3569" s="5">
        <v>3508</v>
      </c>
      <c r="B3569" s="138">
        <f>'Acct Summary 7-8'!K4</f>
        <v>14182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14182</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14182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14182</v>
      </c>
      <c r="C3588" s="2" t="s">
        <v>573</v>
      </c>
      <c r="D3588" s="2" t="str">
        <f t="shared" si="55"/>
        <v>Error?</v>
      </c>
    </row>
    <row r="3589" spans="1:4" x14ac:dyDescent="0.2">
      <c r="A3589" s="5">
        <v>3528</v>
      </c>
      <c r="B3589" s="138">
        <f>'Acct Summary 7-8'!K79</f>
        <v>37917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52099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14182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13645</v>
      </c>
      <c r="C3725" s="2" t="s">
        <v>573</v>
      </c>
      <c r="D3725" s="2" t="str">
        <f t="shared" si="57"/>
        <v>Error?</v>
      </c>
    </row>
    <row r="3726" spans="1:4" x14ac:dyDescent="0.2">
      <c r="A3726" s="5">
        <v>3665</v>
      </c>
      <c r="B3726" s="138">
        <f>'Tax Sched 23'!D13</f>
        <v>13645</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14805</v>
      </c>
      <c r="C3728" s="2" t="s">
        <v>573</v>
      </c>
      <c r="D3728" s="2" t="str">
        <f t="shared" si="57"/>
        <v>Error?</v>
      </c>
    </row>
    <row r="3729" spans="1:4" x14ac:dyDescent="0.2">
      <c r="A3729" s="5">
        <v>3668</v>
      </c>
      <c r="B3729" s="138">
        <f>'Tax Sched 23'!E13</f>
        <v>14805</v>
      </c>
      <c r="D3729" s="2" t="str">
        <f t="shared" si="57"/>
        <v>Error?</v>
      </c>
    </row>
    <row r="3730" spans="1:4" x14ac:dyDescent="0.2">
      <c r="A3730" s="5">
        <v>3669</v>
      </c>
      <c r="B3730" s="138">
        <f>'ICR Computation 30'!E10</f>
        <v>144048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906342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3170993</v>
      </c>
      <c r="C4122" s="2" t="s">
        <v>573</v>
      </c>
      <c r="D4122" s="2" t="str">
        <f t="shared" si="63"/>
        <v>Error?</v>
      </c>
    </row>
    <row r="4123" spans="1:4" x14ac:dyDescent="0.2">
      <c r="A4123" s="5">
        <v>4062</v>
      </c>
      <c r="B4123" s="138">
        <f>'Acct Summary 7-8'!D10</f>
        <v>189805</v>
      </c>
      <c r="C4123" s="2" t="s">
        <v>573</v>
      </c>
      <c r="D4123" s="2" t="str">
        <f t="shared" si="63"/>
        <v>Error?</v>
      </c>
    </row>
    <row r="4124" spans="1:4" x14ac:dyDescent="0.2">
      <c r="A4124" s="5">
        <v>4063</v>
      </c>
      <c r="B4124" s="138">
        <f>'Acct Summary 7-8'!E10</f>
        <v>293864</v>
      </c>
      <c r="C4124" s="2" t="s">
        <v>573</v>
      </c>
      <c r="D4124" s="2" t="str">
        <f t="shared" si="63"/>
        <v>Error?</v>
      </c>
    </row>
    <row r="4125" spans="1:4" x14ac:dyDescent="0.2">
      <c r="A4125" s="5">
        <v>4064</v>
      </c>
      <c r="B4125" s="138">
        <f>'Acct Summary 7-8'!F10</f>
        <v>234096</v>
      </c>
      <c r="C4125" s="2" t="s">
        <v>573</v>
      </c>
      <c r="D4125" s="2" t="str">
        <f t="shared" si="63"/>
        <v>Error?</v>
      </c>
    </row>
    <row r="4126" spans="1:4" x14ac:dyDescent="0.2">
      <c r="A4126" s="5">
        <v>4065</v>
      </c>
      <c r="B4126" s="138">
        <f>'Acct Summary 7-8'!G10</f>
        <v>65104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13863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14182</v>
      </c>
      <c r="C4130" s="2" t="s">
        <v>573</v>
      </c>
      <c r="D4130" s="2" t="str">
        <f t="shared" si="63"/>
        <v>Error?</v>
      </c>
    </row>
    <row r="4131" spans="1:4" x14ac:dyDescent="0.2">
      <c r="A4131" s="5">
        <v>4070</v>
      </c>
      <c r="B4131" s="138">
        <f>'Acct Summary 7-8'!C18</f>
        <v>906342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2855269</v>
      </c>
      <c r="C4136" s="2" t="s">
        <v>573</v>
      </c>
      <c r="D4136" s="2" t="str">
        <f t="shared" si="63"/>
        <v>Error?</v>
      </c>
    </row>
    <row r="4137" spans="1:4" x14ac:dyDescent="0.2">
      <c r="A4137" s="5">
        <v>4076</v>
      </c>
      <c r="B4137" s="138">
        <f>'Acct Summary 7-8'!D19</f>
        <v>246877</v>
      </c>
      <c r="C4137" s="2" t="s">
        <v>573</v>
      </c>
      <c r="D4137" s="2" t="str">
        <f t="shared" si="63"/>
        <v>Error?</v>
      </c>
    </row>
    <row r="4138" spans="1:4" x14ac:dyDescent="0.2">
      <c r="A4138" s="5">
        <v>4077</v>
      </c>
      <c r="B4138" s="138">
        <f>'Acct Summary 7-8'!E19</f>
        <v>289913</v>
      </c>
      <c r="C4138" s="2" t="s">
        <v>573</v>
      </c>
      <c r="D4138" s="2" t="str">
        <f t="shared" si="63"/>
        <v>Error?</v>
      </c>
    </row>
    <row r="4139" spans="1:4" x14ac:dyDescent="0.2">
      <c r="A4139" s="5">
        <v>4078</v>
      </c>
      <c r="B4139" s="138">
        <f>'Acct Summary 7-8'!F19</f>
        <v>457189</v>
      </c>
      <c r="C4139" s="2" t="s">
        <v>573</v>
      </c>
      <c r="D4139" s="2" t="str">
        <f t="shared" si="63"/>
        <v>Error?</v>
      </c>
    </row>
    <row r="4140" spans="1:4" x14ac:dyDescent="0.2">
      <c r="A4140" s="5">
        <v>4079</v>
      </c>
      <c r="B4140" s="138">
        <f>'Acct Summary 7-8'!G19</f>
        <v>67744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931200</v>
      </c>
      <c r="C4171" s="2" t="s">
        <v>573</v>
      </c>
      <c r="D4171" s="2" t="str">
        <f t="shared" si="64"/>
        <v>Error?</v>
      </c>
    </row>
    <row r="4172" spans="1:4" x14ac:dyDescent="0.2">
      <c r="A4172" s="5">
        <v>4111</v>
      </c>
      <c r="B4172" s="138">
        <f>'Short-Term Long-Term Debt 24'!J49</f>
        <v>830630</v>
      </c>
      <c r="C4172" s="2" t="s">
        <v>573</v>
      </c>
      <c r="D4172" s="2" t="str">
        <f t="shared" si="64"/>
        <v>Error?</v>
      </c>
    </row>
    <row r="4173" spans="1:4" x14ac:dyDescent="0.2">
      <c r="A4173" s="5">
        <v>4112</v>
      </c>
      <c r="B4173" s="138">
        <f>'Short-Term Long-Term Debt 24'!H49</f>
        <v>259600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2081</v>
      </c>
      <c r="C4265" s="2" t="s">
        <v>573</v>
      </c>
      <c r="D4265" s="2" t="str">
        <f t="shared" si="65"/>
        <v>Error?</v>
      </c>
      <c r="E4265" s="128"/>
    </row>
    <row r="4266" spans="1:5" x14ac:dyDescent="0.2">
      <c r="A4266" s="12">
        <v>4205</v>
      </c>
      <c r="B4266" s="138">
        <f>('FP Info 3'!F10)*100000</f>
        <v>495.5</v>
      </c>
      <c r="C4266" s="2" t="s">
        <v>573</v>
      </c>
      <c r="D4266" s="2" t="str">
        <f t="shared" si="65"/>
        <v>Error?</v>
      </c>
      <c r="E4266" s="128"/>
    </row>
    <row r="4267" spans="1:5" x14ac:dyDescent="0.2">
      <c r="A4267" s="12">
        <v>4206</v>
      </c>
      <c r="B4267" s="138">
        <f>('FP Info 3'!H10)*100000</f>
        <v>198.2</v>
      </c>
      <c r="C4267" s="2" t="s">
        <v>573</v>
      </c>
      <c r="D4267" s="2" t="str">
        <f t="shared" si="65"/>
        <v>Error?</v>
      </c>
      <c r="E4267" s="128"/>
    </row>
    <row r="4268" spans="1:5" x14ac:dyDescent="0.2">
      <c r="A4268" s="12">
        <v>4207</v>
      </c>
      <c r="B4268" s="138">
        <f>('FP Info 3'!J10)*100000</f>
        <v>2775</v>
      </c>
      <c r="C4268" s="2" t="s">
        <v>573</v>
      </c>
      <c r="D4268" s="2" t="str">
        <f t="shared" si="65"/>
        <v>Error?</v>
      </c>
    </row>
    <row r="4269" spans="1:5" x14ac:dyDescent="0.2">
      <c r="A4269" s="12">
        <v>4208</v>
      </c>
      <c r="B4269" s="138">
        <f>'FP Info 3'!J16</f>
        <v>1912520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2546</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5009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4012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1810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25930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4999</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23661</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26813161</v>
      </c>
      <c r="D4995" s="2" t="str">
        <f t="shared" si="77"/>
        <v>Error?</v>
      </c>
    </row>
    <row r="4996" spans="1:4" x14ac:dyDescent="0.2">
      <c r="A4996" s="12">
        <v>4935</v>
      </c>
      <c r="B4996" s="138">
        <f>'FP Info 3'!H31</f>
        <v>3700216.2180000003</v>
      </c>
      <c r="D4996" s="2" t="str">
        <f t="shared" si="77"/>
        <v>Error?</v>
      </c>
    </row>
    <row r="4997" spans="1:4" x14ac:dyDescent="0.2">
      <c r="A4997" s="12">
        <v>4936</v>
      </c>
      <c r="B4997" s="138">
        <f>'FP Info 3'!H37</f>
        <v>931200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45728</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45728</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13645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571999</v>
      </c>
      <c r="D5061" s="2" t="str">
        <f t="shared" si="78"/>
        <v>Error?</v>
      </c>
    </row>
    <row r="5062" spans="1:4" x14ac:dyDescent="0.2">
      <c r="A5062" s="10">
        <v>5001</v>
      </c>
      <c r="D5062" s="2" t="str">
        <f t="shared" si="78"/>
        <v>OK</v>
      </c>
    </row>
    <row r="5063" spans="1:4" x14ac:dyDescent="0.2">
      <c r="A5063" s="5">
        <v>5002</v>
      </c>
      <c r="B5063" s="138">
        <f>'Revenues 9-14'!C7</f>
        <v>10916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596560</v>
      </c>
      <c r="C5066" s="2" t="s">
        <v>573</v>
      </c>
      <c r="D5066" s="2" t="str">
        <f t="shared" si="78"/>
        <v>Error?</v>
      </c>
    </row>
    <row r="5067" spans="1:4" x14ac:dyDescent="0.2">
      <c r="A5067" s="5">
        <v>5006</v>
      </c>
      <c r="B5067" s="138">
        <f>'Revenues 9-14'!C14</f>
        <v>4358</v>
      </c>
      <c r="D5067" s="2" t="str">
        <f t="shared" si="78"/>
        <v>Error?</v>
      </c>
    </row>
    <row r="5068" spans="1:4" x14ac:dyDescent="0.2">
      <c r="A5068" s="5">
        <v>5007</v>
      </c>
      <c r="B5068" s="138">
        <f>'Revenues 9-14'!C15</f>
        <v>921</v>
      </c>
      <c r="D5068" s="2" t="str">
        <f t="shared" si="78"/>
        <v>Error?</v>
      </c>
    </row>
    <row r="5069" spans="1:4" x14ac:dyDescent="0.2">
      <c r="A5069" s="5">
        <v>5008</v>
      </c>
      <c r="B5069" s="138">
        <f>'Revenues 9-14'!C16</f>
        <v>78453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83732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9750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9750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33814</v>
      </c>
      <c r="C5096" s="2" t="s">
        <v>573</v>
      </c>
      <c r="D5096" s="2" t="str">
        <f t="shared" si="78"/>
        <v>Error?</v>
      </c>
    </row>
    <row r="5097" spans="1:4" x14ac:dyDescent="0.2">
      <c r="A5097" s="5">
        <v>5036</v>
      </c>
      <c r="B5097" s="138">
        <f>'Revenues 9-14'!C77</f>
        <v>10868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2225</v>
      </c>
      <c r="D5101" s="2" t="str">
        <f t="shared" si="78"/>
        <v>Error?</v>
      </c>
    </row>
    <row r="5102" spans="1:4" x14ac:dyDescent="0.2">
      <c r="A5102" s="5">
        <v>5041</v>
      </c>
      <c r="B5102" s="138">
        <f>'Revenues 9-14'!C82</f>
        <v>14043</v>
      </c>
      <c r="C5102" s="2" t="s">
        <v>573</v>
      </c>
      <c r="D5102" s="2" t="str">
        <f t="shared" si="78"/>
        <v>Error?</v>
      </c>
    </row>
    <row r="5103" spans="1:4" x14ac:dyDescent="0.2">
      <c r="A5103" s="5">
        <v>5042</v>
      </c>
      <c r="B5103" s="138">
        <f>'Revenues 9-14'!C84</f>
        <v>5870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1280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7150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476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v>
      </c>
      <c r="D5118" s="2" t="str">
        <f t="shared" si="78"/>
        <v>Error?</v>
      </c>
    </row>
    <row r="5119" spans="1:4" x14ac:dyDescent="0.2">
      <c r="A5119" s="5">
        <v>5058</v>
      </c>
      <c r="B5119" s="138">
        <f>'Revenues 9-14'!C107</f>
        <v>8154</v>
      </c>
      <c r="D5119" s="2" t="str">
        <f t="shared" ref="D5119:D5182" si="79">IF(ISBLANK(B5119),"OK",IF(A5119-B5119=0,"OK","Error?"))</f>
        <v>Error?</v>
      </c>
    </row>
    <row r="5120" spans="1:4" x14ac:dyDescent="0.2">
      <c r="A5120" s="5">
        <v>5059</v>
      </c>
      <c r="B5120" s="138">
        <f>'Revenues 9-14'!C108</f>
        <v>9735</v>
      </c>
      <c r="C5120" s="2" t="s">
        <v>573</v>
      </c>
      <c r="D5120" s="2" t="str">
        <f t="shared" si="79"/>
        <v>Error?</v>
      </c>
    </row>
    <row r="5121" spans="1:4" x14ac:dyDescent="0.2">
      <c r="A5121" s="5">
        <v>5060</v>
      </c>
      <c r="B5121" s="138">
        <f>'Revenues 9-14'!C109</f>
        <v>754784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1138467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1138467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10912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10912</v>
      </c>
      <c r="C5147" s="2" t="s">
        <v>573</v>
      </c>
      <c r="D5147" s="2" t="str">
        <f t="shared" si="79"/>
        <v>Error?</v>
      </c>
    </row>
    <row r="5148" spans="1:4" x14ac:dyDescent="0.2">
      <c r="A5148" s="5">
        <v>5087</v>
      </c>
      <c r="B5148" s="138">
        <f>'Revenues 9-14'!C134</f>
        <v>13022</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15891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2357</v>
      </c>
      <c r="D5167" s="2" t="str">
        <f t="shared" si="79"/>
        <v>Error?</v>
      </c>
    </row>
    <row r="5168" spans="1:4" x14ac:dyDescent="0.2">
      <c r="A5168" s="5">
        <v>5107</v>
      </c>
      <c r="B5168" s="138">
        <f>'Revenues 9-14'!C148</f>
        <v>1523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99912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156525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1294992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23661</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85197</v>
      </c>
      <c r="D5239" s="2" t="str">
        <f t="shared" si="80"/>
        <v>Error?</v>
      </c>
    </row>
    <row r="5240" spans="1:4" x14ac:dyDescent="0.2">
      <c r="A5240" s="5">
        <v>5179</v>
      </c>
      <c r="B5240" s="138">
        <f>'Revenues 9-14'!C192</f>
        <v>1156</v>
      </c>
      <c r="D5240" s="2" t="str">
        <f t="shared" si="80"/>
        <v>Error?</v>
      </c>
    </row>
    <row r="5241" spans="1:4" x14ac:dyDescent="0.2">
      <c r="A5241" s="5">
        <v>5180</v>
      </c>
      <c r="B5241" s="138">
        <f>'Revenues 9-14'!C193</f>
        <v>35076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121429</v>
      </c>
      <c r="C5246" s="2" t="s">
        <v>573</v>
      </c>
      <c r="D5246" s="2" t="str">
        <f t="shared" si="80"/>
        <v>Error?</v>
      </c>
    </row>
    <row r="5247" spans="1:4" x14ac:dyDescent="0.2">
      <c r="A5247" s="5">
        <v>5186</v>
      </c>
      <c r="B5247" s="138">
        <f>'Revenues 9-14'!C200</f>
        <v>51409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4012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51409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2546</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191214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214875</v>
      </c>
      <c r="C5326" s="2" t="s">
        <v>573</v>
      </c>
      <c r="D5326" s="2" t="str">
        <f t="shared" si="82"/>
        <v>Error?</v>
      </c>
    </row>
    <row r="5327" spans="1:5" x14ac:dyDescent="0.2">
      <c r="A5327" s="5">
        <v>5266</v>
      </c>
      <c r="B5327" s="138">
        <f>'Revenues 9-14'!C268</f>
        <v>2264651</v>
      </c>
      <c r="C5327" s="2" t="s">
        <v>573</v>
      </c>
      <c r="D5327" s="2" t="str">
        <f t="shared" si="82"/>
        <v>Error?</v>
      </c>
    </row>
    <row r="5328" spans="1:5" x14ac:dyDescent="0.2">
      <c r="A5328" s="5">
        <v>5267</v>
      </c>
      <c r="B5328" s="138">
        <f>'Revenues 9-14'!D5</f>
        <v>136454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136454</v>
      </c>
      <c r="C5334" s="2" t="s">
        <v>573</v>
      </c>
      <c r="D5334" s="2" t="str">
        <f t="shared" si="82"/>
        <v>Error?</v>
      </c>
    </row>
    <row r="5335" spans="1:4" x14ac:dyDescent="0.2">
      <c r="A5335" s="5">
        <v>5274</v>
      </c>
      <c r="B5335" s="138">
        <f>'Revenues 9-14'!D14</f>
        <v>997</v>
      </c>
      <c r="D5335" s="2" t="str">
        <f t="shared" si="82"/>
        <v>Error?</v>
      </c>
    </row>
    <row r="5336" spans="1:4" x14ac:dyDescent="0.2">
      <c r="A5336" s="5">
        <v>5275</v>
      </c>
      <c r="B5336" s="138">
        <f>'Revenues 9-14'!D15</f>
        <v>211</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1208</v>
      </c>
      <c r="C5339" s="2" t="s">
        <v>573</v>
      </c>
      <c r="D5339" s="2" t="str">
        <f t="shared" si="82"/>
        <v>Error?</v>
      </c>
    </row>
    <row r="5340" spans="1:4" x14ac:dyDescent="0.2">
      <c r="A5340" s="5">
        <v>5279</v>
      </c>
      <c r="B5340" s="138">
        <f>'Revenues 9-14'!D65</f>
        <v>254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50000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1889</v>
      </c>
      <c r="D5354" s="2" t="str">
        <f t="shared" si="82"/>
        <v>Error?</v>
      </c>
    </row>
    <row r="5355" spans="1:4" x14ac:dyDescent="0.2">
      <c r="A5355" s="5">
        <v>5294</v>
      </c>
      <c r="B5355" s="138">
        <f>'Revenues 9-14'!D108</f>
        <v>51889</v>
      </c>
      <c r="C5355" s="2" t="s">
        <v>573</v>
      </c>
      <c r="D5355" s="2" t="str">
        <f t="shared" si="82"/>
        <v>Error?</v>
      </c>
    </row>
    <row r="5356" spans="1:4" x14ac:dyDescent="0.2">
      <c r="A5356" s="5">
        <v>5295</v>
      </c>
      <c r="B5356" s="138">
        <f>'Revenues 9-14'!D109</f>
        <v>189805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189805</v>
      </c>
      <c r="C5508" s="2" t="s">
        <v>573</v>
      </c>
      <c r="D5508" s="2" t="str">
        <f t="shared" si="85"/>
        <v>Error?</v>
      </c>
    </row>
    <row r="5509" spans="1:4" x14ac:dyDescent="0.2">
      <c r="A5509" s="5">
        <v>5448</v>
      </c>
      <c r="B5509" s="138">
        <f>'Revenues 9-14'!E5</f>
        <v>289798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289798</v>
      </c>
      <c r="C5513" s="2" t="s">
        <v>573</v>
      </c>
      <c r="D5513" s="2" t="str">
        <f t="shared" si="85"/>
        <v>Error?</v>
      </c>
    </row>
    <row r="5514" spans="1:4" x14ac:dyDescent="0.2">
      <c r="A5514" s="5">
        <v>5453</v>
      </c>
      <c r="B5514" s="138">
        <f>'Revenues 9-14'!E14</f>
        <v>2119</v>
      </c>
      <c r="D5514" s="2" t="str">
        <f t="shared" si="85"/>
        <v>Error?</v>
      </c>
    </row>
    <row r="5515" spans="1:4" x14ac:dyDescent="0.2">
      <c r="A5515" s="5">
        <v>5454</v>
      </c>
      <c r="B5515" s="138">
        <f>'Revenues 9-14'!E15</f>
        <v>448</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2567</v>
      </c>
      <c r="C5518" s="2" t="s">
        <v>573</v>
      </c>
      <c r="D5518" s="2" t="str">
        <f t="shared" si="85"/>
        <v>Error?</v>
      </c>
    </row>
    <row r="5519" spans="1:4" x14ac:dyDescent="0.2">
      <c r="A5519" s="5">
        <v>5458</v>
      </c>
      <c r="B5519" s="138">
        <f>'Revenues 9-14'!E65</f>
        <v>1499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1499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293864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293864</v>
      </c>
      <c r="C5552" s="2" t="s">
        <v>573</v>
      </c>
      <c r="D5552" s="2" t="str">
        <f t="shared" si="85"/>
        <v>Error?</v>
      </c>
    </row>
    <row r="5553" spans="1:4" x14ac:dyDescent="0.2">
      <c r="A5553" s="5">
        <v>5492</v>
      </c>
      <c r="B5553" s="138">
        <f>'Revenues 9-14'!F5</f>
        <v>54582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54582</v>
      </c>
      <c r="C5557" s="2" t="s">
        <v>573</v>
      </c>
      <c r="D5557" s="2" t="str">
        <f t="shared" si="85"/>
        <v>Error?</v>
      </c>
    </row>
    <row r="5558" spans="1:4" x14ac:dyDescent="0.2">
      <c r="A5558" s="5">
        <v>5497</v>
      </c>
      <c r="B5558" s="138">
        <f>'Revenues 9-14'!F14</f>
        <v>399</v>
      </c>
      <c r="D5558" s="2" t="str">
        <f t="shared" si="85"/>
        <v>Error?</v>
      </c>
    </row>
    <row r="5559" spans="1:4" x14ac:dyDescent="0.2">
      <c r="A5559" s="5">
        <v>5498</v>
      </c>
      <c r="B5559" s="138">
        <f>'Revenues 9-14'!F15</f>
        <v>84</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483</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255</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255</v>
      </c>
      <c r="C5579" s="2" t="s">
        <v>573</v>
      </c>
      <c r="D5579" s="2" t="str">
        <f t="shared" si="86"/>
        <v>Error?</v>
      </c>
    </row>
    <row r="5580" spans="1:4" x14ac:dyDescent="0.2">
      <c r="A5580" s="5">
        <v>5519</v>
      </c>
      <c r="B5580" s="138">
        <f>'Revenues 9-14'!F65</f>
        <v>555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1379</v>
      </c>
      <c r="D5586" s="2" t="str">
        <f t="shared" si="86"/>
        <v>Error?</v>
      </c>
    </row>
    <row r="5587" spans="1:4" x14ac:dyDescent="0.2">
      <c r="A5587" s="5">
        <v>5526</v>
      </c>
      <c r="B5587" s="138">
        <f>'Revenues 9-14'!F108</f>
        <v>1379</v>
      </c>
      <c r="C5587" s="2" t="s">
        <v>573</v>
      </c>
      <c r="D5587" s="2" t="str">
        <f t="shared" si="86"/>
        <v>Error?</v>
      </c>
    </row>
    <row r="5588" spans="1:4" x14ac:dyDescent="0.2">
      <c r="A5588" s="5">
        <v>5527</v>
      </c>
      <c r="B5588" s="138">
        <f>'Revenues 9-14'!F109</f>
        <v>57254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113847</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113847</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53899</v>
      </c>
      <c r="D5615" s="2" t="str">
        <f t="shared" si="86"/>
        <v>Error?</v>
      </c>
    </row>
    <row r="5616" spans="1:4" x14ac:dyDescent="0.2">
      <c r="A5616" s="10">
        <v>5555</v>
      </c>
      <c r="D5616" s="2" t="str">
        <f t="shared" si="86"/>
        <v>OK</v>
      </c>
    </row>
    <row r="5617" spans="1:5" x14ac:dyDescent="0.2">
      <c r="A5617" s="5">
        <v>5556</v>
      </c>
      <c r="B5617" s="138">
        <f>'Revenues 9-14'!F153</f>
        <v>9096</v>
      </c>
      <c r="D5617" s="2" t="str">
        <f t="shared" si="86"/>
        <v>Error?</v>
      </c>
    </row>
    <row r="5618" spans="1:5" x14ac:dyDescent="0.2">
      <c r="A5618" s="5">
        <v>5557</v>
      </c>
      <c r="B5618" s="138">
        <f>'Revenues 9-14'!F155</f>
        <v>62995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62995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176842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234096</v>
      </c>
      <c r="C5720" s="2" t="s">
        <v>573</v>
      </c>
      <c r="D5720" s="2" t="str">
        <f t="shared" si="88"/>
        <v>Error?</v>
      </c>
    </row>
    <row r="5721" spans="1:4" x14ac:dyDescent="0.2">
      <c r="A5721" s="5">
        <v>5660</v>
      </c>
      <c r="B5721" s="138">
        <f>'Revenues 9-14'!G5</f>
        <v>20039</v>
      </c>
      <c r="D5721" s="2" t="str">
        <f t="shared" si="88"/>
        <v>Error?</v>
      </c>
    </row>
    <row r="5722" spans="1:4" x14ac:dyDescent="0.2">
      <c r="A5722" s="5">
        <v>5661</v>
      </c>
      <c r="B5722" s="138">
        <f>'Revenues 9-14'!G7</f>
        <v>0</v>
      </c>
      <c r="D5722" s="2" t="str">
        <f t="shared" si="88"/>
        <v>Error?</v>
      </c>
    </row>
    <row r="5723" spans="1:4" x14ac:dyDescent="0.2">
      <c r="A5723" s="5">
        <v>5662</v>
      </c>
      <c r="B5723" s="138">
        <f>'Revenues 9-14'!G8</f>
        <v>25056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45095</v>
      </c>
      <c r="C5725" s="2" t="s">
        <v>573</v>
      </c>
      <c r="D5725" s="2" t="str">
        <f t="shared" si="88"/>
        <v>Error?</v>
      </c>
    </row>
    <row r="5726" spans="1:4" x14ac:dyDescent="0.2">
      <c r="A5726" s="5">
        <v>5665</v>
      </c>
      <c r="B5726" s="138">
        <f>'Revenues 9-14'!G14</f>
        <v>330</v>
      </c>
      <c r="D5726" s="2" t="str">
        <f t="shared" si="88"/>
        <v>Error?</v>
      </c>
    </row>
    <row r="5727" spans="1:4" x14ac:dyDescent="0.2">
      <c r="A5727" s="5">
        <v>5666</v>
      </c>
      <c r="B5727" s="138">
        <f>'Revenues 9-14'!G15</f>
        <v>70</v>
      </c>
      <c r="D5727" s="2" t="str">
        <f t="shared" si="88"/>
        <v>Error?</v>
      </c>
    </row>
    <row r="5728" spans="1:4" x14ac:dyDescent="0.2">
      <c r="A5728" s="5">
        <v>5667</v>
      </c>
      <c r="B5728" s="138">
        <f>'Revenues 9-14'!G16</f>
        <v>16041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16441</v>
      </c>
      <c r="C5730" s="2" t="s">
        <v>573</v>
      </c>
      <c r="D5730" s="2" t="str">
        <f t="shared" si="88"/>
        <v>Error?</v>
      </c>
    </row>
    <row r="5731" spans="1:4" x14ac:dyDescent="0.2">
      <c r="A5731" s="5">
        <v>5670</v>
      </c>
      <c r="B5731" s="138">
        <f>'Revenues 9-14'!G65</f>
        <v>3568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3568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65104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13645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13645</v>
      </c>
      <c r="C5918" s="2" t="s">
        <v>573</v>
      </c>
      <c r="D5918" s="2" t="str">
        <f t="shared" si="91"/>
        <v>Error?</v>
      </c>
    </row>
    <row r="5919" spans="1:4" x14ac:dyDescent="0.2">
      <c r="A5919" s="5">
        <v>5858</v>
      </c>
      <c r="B5919" s="138">
        <f>'Revenues 9-14'!I14</f>
        <v>100</v>
      </c>
      <c r="D5919" s="2" t="str">
        <f t="shared" si="91"/>
        <v>Error?</v>
      </c>
    </row>
    <row r="5920" spans="1:4" x14ac:dyDescent="0.2">
      <c r="A5920" s="5">
        <v>5859</v>
      </c>
      <c r="B5920" s="138">
        <f>'Revenues 9-14'!I15</f>
        <v>21</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121</v>
      </c>
      <c r="C5923" s="2" t="s">
        <v>573</v>
      </c>
      <c r="D5923" s="2" t="str">
        <f t="shared" si="91"/>
        <v>Error?</v>
      </c>
    </row>
    <row r="5924" spans="1:4" x14ac:dyDescent="0.2">
      <c r="A5924" s="5">
        <v>5863</v>
      </c>
      <c r="B5924" s="138">
        <f>'Revenues 9-14'!I65</f>
        <v>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13863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13645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13645</v>
      </c>
      <c r="C5987" s="2" t="s">
        <v>573</v>
      </c>
      <c r="D5987" s="2" t="str">
        <f t="shared" si="92"/>
        <v>Error?</v>
      </c>
    </row>
    <row r="5988" spans="1:4" x14ac:dyDescent="0.2">
      <c r="A5988" s="5">
        <v>5927</v>
      </c>
      <c r="B5988" s="138">
        <f>'Revenues 9-14'!K14</f>
        <v>100</v>
      </c>
      <c r="D5988" s="2" t="str">
        <f t="shared" si="92"/>
        <v>Error?</v>
      </c>
    </row>
    <row r="5989" spans="1:4" x14ac:dyDescent="0.2">
      <c r="A5989" s="5">
        <v>5928</v>
      </c>
      <c r="B5989" s="138">
        <f>'Revenues 9-14'!K15</f>
        <v>21</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121</v>
      </c>
      <c r="C5992" s="2" t="s">
        <v>573</v>
      </c>
      <c r="D5992" s="2" t="str">
        <f t="shared" si="92"/>
        <v>Error?</v>
      </c>
    </row>
    <row r="5993" spans="1:4" x14ac:dyDescent="0.2">
      <c r="A5993" s="5">
        <v>5932</v>
      </c>
      <c r="B5993" s="138">
        <f>'Revenues 9-14'!K65</f>
        <v>416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416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14182</v>
      </c>
      <c r="C6023" s="2" t="s">
        <v>573</v>
      </c>
      <c r="D6023" s="2" t="str">
        <f t="shared" si="93"/>
        <v>Error?</v>
      </c>
    </row>
    <row r="6024" spans="1:5" x14ac:dyDescent="0.2">
      <c r="A6024" s="5">
        <v>5963</v>
      </c>
      <c r="B6024" s="138">
        <f>'Revenues 9-14'!G109</f>
        <v>65104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13863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14182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33814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277.60000000000002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68657</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3536</v>
      </c>
      <c r="D6113" s="2" t="str">
        <f t="shared" si="94"/>
        <v>Error?</v>
      </c>
      <c r="E6113" s="2" t="s">
        <v>190</v>
      </c>
    </row>
    <row r="6114" spans="1:5" x14ac:dyDescent="0.2">
      <c r="A6114">
        <v>6053</v>
      </c>
      <c r="B6114" s="138">
        <f>'Assets-Liab 5-6'!D11</f>
        <v>164</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377</v>
      </c>
      <c r="D6116" s="2" t="str">
        <f t="shared" si="94"/>
        <v>Error?</v>
      </c>
      <c r="E6116" s="2" t="s">
        <v>190</v>
      </c>
    </row>
    <row r="6117" spans="1:5" x14ac:dyDescent="0.2">
      <c r="A6117">
        <v>6056</v>
      </c>
      <c r="B6117" s="138">
        <f>'Assets-Liab 5-6'!G11</f>
        <v>109</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45929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68657</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45929</v>
      </c>
      <c r="D6215" s="2" t="str">
        <f t="shared" si="96"/>
        <v>Error?</v>
      </c>
      <c r="E6215" s="2" t="s">
        <v>190</v>
      </c>
    </row>
    <row r="6216" spans="1:5" x14ac:dyDescent="0.2">
      <c r="A6216">
        <v>6155</v>
      </c>
      <c r="B6216" s="138">
        <f>'Assets-Liab 5-6'!J41</f>
        <v>45929</v>
      </c>
      <c r="D6216" s="2" t="str">
        <f t="shared" si="96"/>
        <v>Error?</v>
      </c>
      <c r="E6216" s="2" t="s">
        <v>190</v>
      </c>
    </row>
    <row r="6217" spans="1:5" x14ac:dyDescent="0.2">
      <c r="A6217">
        <v>6156</v>
      </c>
      <c r="B6217" s="138">
        <f>'Assets-Liab 5-6'!J4</f>
        <v>45929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188410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188410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188410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178743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178743</v>
      </c>
      <c r="D6229" s="2" t="str">
        <f t="shared" si="96"/>
        <v>Error?</v>
      </c>
      <c r="E6229" s="2" t="s">
        <v>190</v>
      </c>
    </row>
    <row r="6230" spans="1:5" x14ac:dyDescent="0.2">
      <c r="A6230">
        <v>6169</v>
      </c>
      <c r="B6230" s="138">
        <f>'Acct Summary 7-8'!J20</f>
        <v>9667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9667</v>
      </c>
      <c r="D6263" s="2" t="str">
        <f t="shared" si="96"/>
        <v>Error?</v>
      </c>
      <c r="E6263" s="2" t="s">
        <v>190</v>
      </c>
    </row>
    <row r="6264" spans="1:5" x14ac:dyDescent="0.2">
      <c r="A6264">
        <v>6203</v>
      </c>
      <c r="B6264" s="138">
        <f>'Acct Summary 7-8'!J79</f>
        <v>36262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45929</v>
      </c>
      <c r="D6266" s="2" t="str">
        <f t="shared" si="96"/>
        <v>Error?</v>
      </c>
      <c r="E6266" s="2" t="s">
        <v>190</v>
      </c>
    </row>
    <row r="6267" spans="1:5" x14ac:dyDescent="0.2">
      <c r="A6267">
        <v>6206</v>
      </c>
      <c r="B6267" s="138">
        <f>'Acct Summary 7-8'!C82</f>
        <v>283859</v>
      </c>
      <c r="D6267" s="2" t="str">
        <f t="shared" si="96"/>
        <v>Error?</v>
      </c>
      <c r="E6267" s="2" t="s">
        <v>190</v>
      </c>
    </row>
    <row r="6268" spans="1:5" x14ac:dyDescent="0.2">
      <c r="A6268">
        <v>6207</v>
      </c>
      <c r="B6268" s="138">
        <f>'Acct Summary 7-8'!D82</f>
        <v>-11344</v>
      </c>
      <c r="D6268" s="2" t="str">
        <f t="shared" si="96"/>
        <v>Error?</v>
      </c>
      <c r="E6268" s="2" t="s">
        <v>190</v>
      </c>
    </row>
    <row r="6269" spans="1:5" x14ac:dyDescent="0.2">
      <c r="A6269">
        <v>6208</v>
      </c>
      <c r="B6269" s="138">
        <f>'Acct Summary 7-8'!E82</f>
        <v>3951</v>
      </c>
      <c r="D6269" s="2" t="str">
        <f t="shared" si="96"/>
        <v>Error?</v>
      </c>
      <c r="E6269" s="2" t="s">
        <v>190</v>
      </c>
    </row>
    <row r="6270" spans="1:5" x14ac:dyDescent="0.2">
      <c r="A6270">
        <v>6209</v>
      </c>
      <c r="B6270" s="138">
        <f>'Acct Summary 7-8'!F82</f>
        <v>-223093</v>
      </c>
      <c r="D6270" s="2" t="str">
        <f t="shared" si="96"/>
        <v>Error?</v>
      </c>
      <c r="E6270" s="2" t="s">
        <v>190</v>
      </c>
    </row>
    <row r="6271" spans="1:5" x14ac:dyDescent="0.2">
      <c r="A6271">
        <v>6210</v>
      </c>
      <c r="B6271" s="138">
        <f>'Acct Summary 7-8'!G82</f>
        <v>-2640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9667</v>
      </c>
      <c r="D6274" s="2" t="str">
        <f t="shared" si="97"/>
        <v>Error?</v>
      </c>
      <c r="E6274" s="2" t="s">
        <v>190</v>
      </c>
    </row>
    <row r="6275" spans="1:5" x14ac:dyDescent="0.2">
      <c r="A6275">
        <v>6214</v>
      </c>
      <c r="B6275" s="138">
        <f>'Acct Summary 7-8'!K82</f>
        <v>14182</v>
      </c>
      <c r="D6275" s="2" t="str">
        <f t="shared" si="97"/>
        <v>Error?</v>
      </c>
      <c r="E6275" s="2" t="s">
        <v>190</v>
      </c>
    </row>
    <row r="6276" spans="1:5" x14ac:dyDescent="0.2">
      <c r="A6276">
        <v>6215</v>
      </c>
      <c r="B6276" s="138">
        <f>'Acct Summary 7-8'!C83</f>
        <v>0.14557095750191029</v>
      </c>
      <c r="D6276" s="2" t="str">
        <f t="shared" si="97"/>
        <v>Error?</v>
      </c>
      <c r="E6276" s="2" t="s">
        <v>190</v>
      </c>
    </row>
    <row r="6277" spans="1:5" x14ac:dyDescent="0.2">
      <c r="A6277">
        <v>6216</v>
      </c>
      <c r="B6277" s="138">
        <f>'Acct Summary 7-8'!D83</f>
        <v>0.20547002354645896</v>
      </c>
      <c r="D6277" s="2" t="str">
        <f t="shared" si="97"/>
        <v>Error?</v>
      </c>
      <c r="E6277" s="2" t="s">
        <v>190</v>
      </c>
    </row>
    <row r="6278" spans="1:5" x14ac:dyDescent="0.2">
      <c r="A6278">
        <v>6217</v>
      </c>
      <c r="B6278" s="138">
        <f>'Acct Summary 7-8'!E83</f>
        <v>3.9286069404394948E-2</v>
      </c>
      <c r="D6278" s="2" t="str">
        <f t="shared" si="97"/>
        <v>Error?</v>
      </c>
      <c r="E6278" s="2" t="s">
        <v>190</v>
      </c>
    </row>
    <row r="6279" spans="1:5" x14ac:dyDescent="0.2">
      <c r="A6279">
        <v>6218</v>
      </c>
      <c r="B6279" s="138">
        <f>'Acct Summary 7-8'!F83</f>
        <v>-12.561542792792793</v>
      </c>
      <c r="D6279" s="2" t="str">
        <f t="shared" si="97"/>
        <v>Error?</v>
      </c>
      <c r="E6279" s="2" t="s">
        <v>190</v>
      </c>
    </row>
    <row r="6280" spans="1:5" x14ac:dyDescent="0.2">
      <c r="A6280">
        <v>6219</v>
      </c>
      <c r="B6280" s="138">
        <f>'Acct Summary 7-8'!G83</f>
        <v>-1.036179949917969E-2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0.21047704064969844</v>
      </c>
      <c r="D6283" s="2" t="str">
        <f t="shared" si="97"/>
        <v>Error?</v>
      </c>
      <c r="E6283" s="2" t="s">
        <v>190</v>
      </c>
    </row>
    <row r="6284" spans="1:5" x14ac:dyDescent="0.2">
      <c r="A6284">
        <v>6223</v>
      </c>
      <c r="B6284" s="138">
        <f>'Acct Summary 7-8'!K83</f>
        <v>0.27221251847444289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185374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185374</v>
      </c>
      <c r="D6301" s="2" t="str">
        <f t="shared" si="97"/>
        <v>Error?</v>
      </c>
      <c r="E6301" s="2" t="s">
        <v>190</v>
      </c>
    </row>
    <row r="6302" spans="1:5" x14ac:dyDescent="0.2">
      <c r="A6302">
        <v>6241</v>
      </c>
      <c r="B6302" s="138">
        <f>'Revenues 9-14'!J14</f>
        <v>1355</v>
      </c>
      <c r="D6302" s="2" t="str">
        <f t="shared" si="97"/>
        <v>Error?</v>
      </c>
      <c r="E6302" s="2" t="s">
        <v>190</v>
      </c>
    </row>
    <row r="6303" spans="1:5" x14ac:dyDescent="0.2">
      <c r="A6303">
        <v>6242</v>
      </c>
      <c r="B6303" s="138">
        <f>'Revenues 9-14'!J15</f>
        <v>287</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1642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1129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1129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1100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265</v>
      </c>
      <c r="D6350" s="2" t="str">
        <f t="shared" si="98"/>
        <v>Error?</v>
      </c>
      <c r="E6350" s="2" t="s">
        <v>190</v>
      </c>
    </row>
    <row r="6351" spans="1:5" x14ac:dyDescent="0.2">
      <c r="A6351">
        <v>6290</v>
      </c>
      <c r="B6351" s="138">
        <f>'Revenues 9-14'!J108</f>
        <v>265</v>
      </c>
      <c r="D6351" s="2" t="str">
        <f t="shared" si="98"/>
        <v>Error?</v>
      </c>
      <c r="E6351" s="2" t="s">
        <v>190</v>
      </c>
    </row>
    <row r="6352" spans="1:5" x14ac:dyDescent="0.2">
      <c r="A6352">
        <v>6291</v>
      </c>
      <c r="B6352" s="138">
        <f>'Revenues 9-14'!J109</f>
        <v>188410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2869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70414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79529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4393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178743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188410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2536</v>
      </c>
      <c r="D7073" s="2" t="str">
        <f t="shared" si="109"/>
        <v>Error?</v>
      </c>
    </row>
    <row r="7074" spans="1:4" x14ac:dyDescent="0.2">
      <c r="A7074">
        <v>7013</v>
      </c>
      <c r="B7074" s="138">
        <f>'Expenditures 15-22'!K216</f>
        <v>2536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62</v>
      </c>
      <c r="D7079" s="2" t="str">
        <f t="shared" si="109"/>
        <v>Error?</v>
      </c>
    </row>
    <row r="7080" spans="1:4" x14ac:dyDescent="0.2">
      <c r="A7080">
        <v>7019</v>
      </c>
      <c r="B7080" s="138">
        <f>'Expenditures 15-22'!K226</f>
        <v>62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12614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12614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2708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2708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112102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17253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129355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34066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34066</v>
      </c>
      <c r="D7198" s="2" t="str">
        <f t="shared" si="111"/>
        <v>Error?</v>
      </c>
    </row>
    <row r="7199" spans="1:4" x14ac:dyDescent="0.2">
      <c r="A7199">
        <v>7138</v>
      </c>
      <c r="B7199" s="138">
        <f>'Expenditures 15-22'!C330</f>
        <v>112102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66641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178743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112102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66641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178743</v>
      </c>
      <c r="D7224" s="2" t="str">
        <f t="shared" si="111"/>
        <v>Error?</v>
      </c>
    </row>
    <row r="7225" spans="1:4" x14ac:dyDescent="0.2">
      <c r="A7225">
        <v>7164</v>
      </c>
      <c r="B7225" s="138">
        <f>'Expenditures 15-22'!K343</f>
        <v>9667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2512</v>
      </c>
      <c r="D7246" s="2" t="str">
        <f t="shared" si="112"/>
        <v>Error?</v>
      </c>
    </row>
    <row r="7247" spans="1:4" x14ac:dyDescent="0.2">
      <c r="A7247">
        <f t="shared" si="113"/>
        <v>7186</v>
      </c>
      <c r="B7247" s="138">
        <f>'Expenditures 15-22'!E7</f>
        <v>579</v>
      </c>
      <c r="D7247" s="2" t="str">
        <f t="shared" si="112"/>
        <v>Error?</v>
      </c>
    </row>
    <row r="7248" spans="1:4" x14ac:dyDescent="0.2">
      <c r="A7248">
        <f t="shared" si="113"/>
        <v>7187</v>
      </c>
      <c r="B7248" s="138">
        <f>'Expenditures 15-22'!F7</f>
        <v>6024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4241</v>
      </c>
      <c r="D7263" s="2" t="str">
        <f t="shared" si="112"/>
        <v>Error?</v>
      </c>
    </row>
    <row r="7264" spans="1:4" x14ac:dyDescent="0.2">
      <c r="A7264">
        <f t="shared" si="113"/>
        <v>7203</v>
      </c>
      <c r="B7264" s="138">
        <f>'Expenditures 15-22'!D17</f>
        <v>77</v>
      </c>
      <c r="D7264" s="2" t="str">
        <f t="shared" si="112"/>
        <v>Error?</v>
      </c>
    </row>
    <row r="7265" spans="1:5" x14ac:dyDescent="0.2">
      <c r="A7265">
        <f t="shared" si="113"/>
        <v>7204</v>
      </c>
      <c r="B7265" s="138">
        <f>'Expenditures 15-22'!E17</f>
        <v>75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288222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1100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1523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2623</v>
      </c>
      <c r="D7719" s="2" t="str">
        <f t="shared" si="126"/>
        <v>Error?</v>
      </c>
      <c r="E7719" s="2" t="s">
        <v>827</v>
      </c>
    </row>
    <row r="7720" spans="1:6" x14ac:dyDescent="0.2">
      <c r="A7720">
        <v>7659</v>
      </c>
      <c r="B7720" s="138">
        <f>'Rest Tax Levies-Tort Im 25'!H14</f>
        <v>10916</v>
      </c>
      <c r="D7720" s="2" t="str">
        <f t="shared" si="126"/>
        <v>Error?</v>
      </c>
      <c r="E7720" s="2" t="s">
        <v>827</v>
      </c>
    </row>
    <row r="7721" spans="1:6" x14ac:dyDescent="0.2">
      <c r="A7721">
        <v>7660</v>
      </c>
      <c r="B7721" s="138">
        <f>'Rest Tax Levies-Tort Im 25'!K14</f>
        <v>2623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38416</v>
      </c>
      <c r="D7797" s="2" t="str">
        <f t="shared" si="127"/>
        <v>Error?</v>
      </c>
      <c r="E7797" s="4" t="s">
        <v>1904</v>
      </c>
    </row>
    <row r="7798" spans="1:5" x14ac:dyDescent="0.2">
      <c r="A7798">
        <v>7737</v>
      </c>
      <c r="B7798" s="138">
        <f>'Contracts Paid in CY 29'!F141</f>
        <v>30100</v>
      </c>
      <c r="D7798" s="2" t="str">
        <f t="shared" si="127"/>
        <v>Error?</v>
      </c>
      <c r="E7798" s="4" t="s">
        <v>1904</v>
      </c>
    </row>
    <row r="7799" spans="1:5" x14ac:dyDescent="0.2">
      <c r="A7799">
        <v>7738</v>
      </c>
      <c r="B7799" s="138">
        <f>'Contracts Paid in CY 29'!G141</f>
        <v>8316</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1989</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Clay City CUSD 10</v>
      </c>
      <c r="B7" s="2407"/>
      <c r="C7" s="2407"/>
      <c r="D7" s="2408"/>
      <c r="E7" s="2409">
        <f>COVER!A13</f>
        <v>12013010026</v>
      </c>
      <c r="F7" s="2410"/>
      <c r="G7" s="2416" t="str">
        <f>COVER!T23</f>
        <v>060-009547</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Greg M. McCalley &amp; Associates, P.C.</v>
      </c>
      <c r="H9" s="2422"/>
      <c r="I9" s="2422"/>
      <c r="J9" s="2422"/>
      <c r="K9" s="2422"/>
      <c r="L9" s="2423"/>
    </row>
    <row r="10" spans="1:29" ht="13.5" customHeight="1" x14ac:dyDescent="0.2">
      <c r="A10" s="2396">
        <f>COVER!A38</f>
        <v>0</v>
      </c>
      <c r="B10" s="2397"/>
      <c r="C10" s="2397"/>
      <c r="D10" s="2397"/>
      <c r="E10" s="2397"/>
      <c r="F10" s="2398"/>
      <c r="G10" s="2390" t="str">
        <f>COVER!T17</f>
        <v>855 E. Ferguson Ave.</v>
      </c>
      <c r="H10" s="2391"/>
      <c r="I10" s="2391"/>
      <c r="J10" s="2391"/>
      <c r="K10" s="2391"/>
      <c r="L10" s="2392"/>
    </row>
    <row r="11" spans="1:29" ht="13.5" customHeight="1" x14ac:dyDescent="0.2">
      <c r="A11" s="1184" t="s">
        <v>1519</v>
      </c>
      <c r="B11" s="1185"/>
      <c r="C11" s="1186"/>
      <c r="D11" s="1191"/>
      <c r="E11" s="1186"/>
      <c r="F11" s="1190"/>
      <c r="G11" s="2390" t="str">
        <f>COVER!T19</f>
        <v>Wood River</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Greg@dmacpa.coom</v>
      </c>
      <c r="J13" s="2403"/>
      <c r="K13" s="2403"/>
      <c r="L13" s="2404"/>
    </row>
    <row r="14" spans="1:29" ht="13.5" customHeight="1" x14ac:dyDescent="0.2">
      <c r="A14" s="2390" t="str">
        <f>COVER!A19</f>
        <v>706 South Walnut</v>
      </c>
      <c r="B14" s="2391"/>
      <c r="C14" s="2391"/>
      <c r="D14" s="2391"/>
      <c r="E14" s="2391"/>
      <c r="F14" s="2392"/>
      <c r="G14" s="1195" t="s">
        <v>1185</v>
      </c>
      <c r="H14" s="1193"/>
      <c r="I14" s="1193"/>
      <c r="J14" s="1193"/>
      <c r="K14" s="1193"/>
      <c r="L14" s="1194"/>
    </row>
    <row r="15" spans="1:29" ht="13.5" customHeight="1" x14ac:dyDescent="0.2">
      <c r="A15" s="2390" t="str">
        <f>COVER!A21</f>
        <v xml:space="preserve">Clay City  </v>
      </c>
      <c r="B15" s="2391"/>
      <c r="C15" s="2391"/>
      <c r="D15" s="2391"/>
      <c r="E15" s="2391"/>
      <c r="F15" s="2392"/>
      <c r="G15" s="2387" t="str">
        <f>COVER!T15</f>
        <v xml:space="preserve">Greg M. McCalley  </v>
      </c>
      <c r="H15" s="2388"/>
      <c r="I15" s="2388"/>
      <c r="J15" s="2388"/>
      <c r="K15" s="2388"/>
      <c r="L15" s="2389"/>
    </row>
    <row r="16" spans="1:29" ht="12.2" customHeight="1" x14ac:dyDescent="0.2">
      <c r="A16" s="2412">
        <f>COVER!A25</f>
        <v>62824</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(618)254-8188</v>
      </c>
      <c r="H18" s="2407"/>
      <c r="I18" s="2407"/>
      <c r="J18" s="2407"/>
      <c r="K18" s="2406" t="str">
        <f>COVER!X21</f>
        <v>(618)254-8680</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Clay City CUSD 10</v>
      </c>
      <c r="B1" s="2405"/>
      <c r="C1" s="2405"/>
      <c r="D1" s="2405"/>
    </row>
    <row r="2" spans="1:11" s="1212" customFormat="1" ht="12.75" x14ac:dyDescent="0.2">
      <c r="A2" s="2429">
        <f>'Single Audit Cover'!E7</f>
        <v>12013010026</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Clay City CUSD 10</v>
      </c>
      <c r="B1" s="2432"/>
      <c r="C1" s="2432"/>
      <c r="D1" s="2432"/>
      <c r="E1" s="2432"/>
    </row>
    <row r="2" spans="1:5" x14ac:dyDescent="0.2">
      <c r="A2" s="2433">
        <f>'Single Audit Cover'!E7</f>
        <v>12013010026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214875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214875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214875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214875</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Clay City CUSD 10</v>
      </c>
      <c r="C1" s="2436"/>
      <c r="D1" s="2436"/>
      <c r="E1" s="2436"/>
      <c r="F1" s="2436"/>
      <c r="G1" s="2436"/>
      <c r="H1" s="2436"/>
      <c r="I1" s="2436"/>
      <c r="J1" s="2436"/>
      <c r="K1" s="2436"/>
      <c r="L1" s="2436"/>
      <c r="M1" s="2436"/>
    </row>
    <row r="2" spans="2:14" ht="15" x14ac:dyDescent="0.2">
      <c r="B2" s="2437">
        <f>'Single Audit Cover'!E7</f>
        <v>12013010026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Clay City CUSD 10</v>
      </c>
      <c r="B1" s="2449"/>
      <c r="C1" s="2449"/>
      <c r="D1" s="2449"/>
      <c r="E1" s="2449"/>
      <c r="F1" s="2449"/>
    </row>
    <row r="2" spans="1:7" ht="13.5" customHeight="1" x14ac:dyDescent="0.2">
      <c r="A2" s="2437">
        <f>'Single Audit Cover'!E7</f>
        <v>12013010026</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1729</v>
      </c>
      <c r="B7" s="2448"/>
      <c r="C7" s="2448"/>
      <c r="D7" s="2448"/>
      <c r="E7" s="2448"/>
      <c r="F7" s="244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8" t="s">
        <v>1731</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Clay City CUSD 10</v>
      </c>
      <c r="C1" s="2464"/>
      <c r="D1" s="2464"/>
      <c r="E1" s="2464"/>
      <c r="F1" s="2464"/>
      <c r="G1" s="2464"/>
      <c r="H1" s="2464"/>
      <c r="I1" s="2464"/>
      <c r="J1" s="1406"/>
    </row>
    <row r="2" spans="2:10" s="317" customFormat="1" ht="12.75" customHeight="1" x14ac:dyDescent="0.2">
      <c r="B2" s="2465">
        <f>'Single Audit Cover'!E7</f>
        <v>12013010026</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c r="E29" s="2470"/>
      <c r="F29" s="2470"/>
      <c r="G29" s="2470"/>
      <c r="H29" s="2470"/>
      <c r="I29" s="247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1" t="s">
        <v>1751</v>
      </c>
      <c r="D37" s="2472"/>
      <c r="E37" s="2472"/>
      <c r="F37" s="2473"/>
      <c r="G37" s="2471" t="s">
        <v>1592</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1841</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8"/>
      <c r="F49" s="2458"/>
      <c r="G49" s="245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Clay City CUSD 10</v>
      </c>
      <c r="C1" s="2463"/>
      <c r="D1" s="2463"/>
      <c r="E1" s="2463"/>
      <c r="F1" s="2463"/>
      <c r="G1" s="2463"/>
      <c r="H1" s="2463"/>
      <c r="I1" s="2463"/>
      <c r="J1" s="2463"/>
      <c r="K1" s="2463"/>
      <c r="L1" s="1371"/>
      <c r="M1" s="1371"/>
    </row>
    <row r="2" spans="1:13" ht="12" customHeight="1" x14ac:dyDescent="0.2">
      <c r="B2" s="2465">
        <f>'Single Audit Cover'!E7</f>
        <v>12013010026</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Clay City CUSD 10</v>
      </c>
      <c r="C1" s="2486"/>
      <c r="D1" s="2486"/>
      <c r="E1" s="2486"/>
      <c r="F1" s="2486"/>
      <c r="G1" s="2486"/>
      <c r="H1" s="2486"/>
      <c r="I1" s="2486"/>
      <c r="J1" s="2486"/>
      <c r="K1" s="2486"/>
      <c r="L1" s="1449"/>
    </row>
    <row r="2" spans="1:12" ht="12.75" customHeight="1" x14ac:dyDescent="0.2">
      <c r="B2" s="2487">
        <f>'Single Audit Cover'!E7</f>
        <v>12013010026</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Clay City CUSD 10</v>
      </c>
      <c r="C1" s="2463"/>
      <c r="D1" s="2463"/>
      <c r="E1" s="1469"/>
    </row>
    <row r="2" spans="2:5" s="1279" customFormat="1" ht="12.75" customHeight="1" x14ac:dyDescent="0.2">
      <c r="B2" s="2465">
        <f>'Single Audit Cover'!E7</f>
        <v>12013010026</v>
      </c>
      <c r="C2" s="2465"/>
      <c r="D2" s="2465"/>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schemas.microsoft.com/sharepoint/v3"/>
    <ds:schemaRef ds:uri="6ce3111e-7420-4802-b50a-75d4e9a0b980"/>
    <ds:schemaRef ds:uri="http://schemas.openxmlformats.org/package/2006/metadata/core-properties"/>
    <ds:schemaRef ds:uri="http://www.w3.org/XML/1998/namespace"/>
    <ds:schemaRef ds:uri="http://schemas.microsoft.com/office/infopath/2007/PartnerControls"/>
    <ds:schemaRef ds:uri="http://purl.org/dc/elements/1.1/"/>
    <ds:schemaRef ds:uri="http://purl.org/dc/terms/"/>
    <ds:schemaRef ds:uri="4d435f69-8686-490b-bd6d-b153bf22ab5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2019-12-12T16:37:07Z</cp:lastPrinted>
  <dcterms:created xsi:type="dcterms:W3CDTF">2003-10-29T19:06:34Z</dcterms:created>
  <dcterms:modified xsi:type="dcterms:W3CDTF">2020-01-07T20:34:35Z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