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02B0841-EE30-47E8-92D3-60E6ED09B20C}" xr6:coauthVersionLast="36" xr6:coauthVersionMax="36" xr10:uidLastSave="{00000000-0000-0000-0000-000000000000}"/>
  <bookViews>
    <workbookView xWindow="-120" yWindow="-120" windowWidth="24690" windowHeight="1338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B7719" i="106" s="1"/>
  <c r="D7719" i="106" s="1"/>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C221" i="5"/>
  <c r="C252" i="5"/>
  <c r="B7761" i="106"/>
  <c r="D7761" i="106" s="1"/>
  <c r="L127" i="29"/>
  <c r="L129" i="29" s="1"/>
  <c r="L139" i="29"/>
  <c r="L149" i="29"/>
  <c r="I7" i="145"/>
  <c r="I6" i="145"/>
  <c r="D78" i="36"/>
  <c r="K75" i="29"/>
  <c r="K130" i="29"/>
  <c r="K185" i="29"/>
  <c r="K122" i="29"/>
  <c r="F15" i="145" s="1"/>
  <c r="F19" i="145" s="1"/>
  <c r="K67" i="29"/>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B2976" i="106" s="1"/>
  <c r="D2976" i="106" s="1"/>
  <c r="K82" i="29"/>
  <c r="K83" i="29"/>
  <c r="K93" i="29"/>
  <c r="K94" i="29"/>
  <c r="K95" i="29"/>
  <c r="K96" i="29"/>
  <c r="K97" i="29"/>
  <c r="K98" i="29"/>
  <c r="K99" i="29"/>
  <c r="K101" i="29"/>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69" i="36"/>
  <c r="D71" i="36"/>
  <c r="D72" i="36"/>
  <c r="D79" i="36"/>
  <c r="B73" i="127"/>
  <c r="B74" i="127"/>
  <c r="D26" i="108"/>
  <c r="E26" i="108"/>
  <c r="F26" i="108"/>
  <c r="G26" i="108"/>
  <c r="D27" i="108"/>
  <c r="E27" i="108"/>
  <c r="F27" i="108"/>
  <c r="G27" i="108"/>
  <c r="E28" i="108"/>
  <c r="F28"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H28" i="118"/>
  <c r="D22" i="37"/>
  <c r="J22" i="37"/>
  <c r="D24" i="37"/>
  <c r="B4270" i="106" s="1"/>
  <c r="D4270" i="106" s="1"/>
  <c r="L5" i="11"/>
  <c r="B2056" i="106" s="1"/>
  <c r="D2056" i="106" s="1"/>
  <c r="H33" i="118" l="1"/>
  <c r="C342" i="29"/>
  <c r="B7216" i="106" s="1"/>
  <c r="D7216" i="106" s="1"/>
  <c r="L13" i="11"/>
  <c r="B2060" i="106" s="1"/>
  <c r="D2060" i="106" s="1"/>
  <c r="K184" i="29"/>
  <c r="F13" i="4" s="1"/>
  <c r="B2596" i="106" s="1"/>
  <c r="D2596" i="106" s="1"/>
  <c r="G210" i="29"/>
  <c r="G15" i="145"/>
  <c r="K41" i="3"/>
  <c r="L15" i="11"/>
  <c r="B3459" i="106" s="1"/>
  <c r="D3459" i="106" s="1"/>
  <c r="B1308" i="106"/>
  <c r="D1308" i="106" s="1"/>
  <c r="E174" i="29"/>
  <c r="B1309" i="106" s="1"/>
  <c r="D1309" i="106" s="1"/>
  <c r="D17" i="7"/>
  <c r="B4104" i="106" s="1"/>
  <c r="D4104" i="106" s="1"/>
  <c r="D11" i="37"/>
  <c r="D31" i="36"/>
  <c r="L22" i="37"/>
  <c r="L367" i="29"/>
  <c r="F19" i="7"/>
  <c r="B1807" i="106" s="1"/>
  <c r="D1807" i="106" s="1"/>
  <c r="D7245" i="106"/>
  <c r="C352" i="29"/>
  <c r="B3621" i="106" s="1"/>
  <c r="D3621" i="106" s="1"/>
  <c r="D9" i="7"/>
  <c r="B1767" i="106" s="1"/>
  <c r="D1767" i="106" s="1"/>
  <c r="H29" i="118"/>
  <c r="K28" i="118" s="1"/>
  <c r="O27" i="118" s="1"/>
  <c r="O29" i="118" s="1"/>
  <c r="N22" i="3"/>
  <c r="B283" i="106" s="1"/>
  <c r="D283" i="106" s="1"/>
  <c r="L342" i="29"/>
  <c r="F49" i="34"/>
  <c r="F44" i="34"/>
  <c r="B3254" i="106"/>
  <c r="D3254" i="106" s="1"/>
  <c r="I24" i="12"/>
  <c r="B3649" i="106"/>
  <c r="D3649" i="106" s="1"/>
  <c r="G367" i="29"/>
  <c r="D5" i="4"/>
  <c r="B3406" i="106" s="1"/>
  <c r="D3406" i="106" s="1"/>
  <c r="L312" i="29"/>
  <c r="I342" i="29"/>
  <c r="B7222" i="106" s="1"/>
  <c r="D7222" i="106" s="1"/>
  <c r="K350" i="29"/>
  <c r="F21" i="8"/>
  <c r="K24" i="12"/>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L114" i="29" s="1"/>
  <c r="K33" i="29"/>
  <c r="B720" i="106"/>
  <c r="D720" i="106" s="1"/>
  <c r="B7618" i="106"/>
  <c r="L14" i="11"/>
  <c r="B7623" i="106" s="1"/>
  <c r="D7252" i="106"/>
  <c r="D7250" i="106"/>
  <c r="B7230" i="106"/>
  <c r="D7230" i="106" s="1"/>
  <c r="I352" i="29"/>
  <c r="I367" i="29" s="1"/>
  <c r="B7215" i="106"/>
  <c r="D7215"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66"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3447" i="106"/>
  <c r="D3447" i="106" s="1"/>
  <c r="B7270" i="106"/>
  <c r="D44" i="36" l="1"/>
  <c r="C114" i="29"/>
  <c r="B757" i="106" s="1"/>
  <c r="D757" i="106" s="1"/>
  <c r="K342" i="29"/>
  <c r="F13" i="34" s="1"/>
  <c r="B1317" i="106"/>
  <c r="D1317" i="106" s="1"/>
  <c r="B5527" i="106"/>
  <c r="D5527" i="106" s="1"/>
  <c r="F174" i="34"/>
  <c r="L16" i="11"/>
  <c r="B2061" i="106" s="1"/>
  <c r="D2061" i="106" s="1"/>
  <c r="B2031" i="106"/>
  <c r="D2031" i="106" s="1"/>
  <c r="B3568" i="106"/>
  <c r="D3568" i="106" s="1"/>
  <c r="D52" i="36"/>
  <c r="I26" i="12"/>
  <c r="B7741" i="106" s="1"/>
  <c r="D7741" i="106" s="1"/>
  <c r="B1996" i="106"/>
  <c r="D1996" i="106" s="1"/>
  <c r="B1365" i="106"/>
  <c r="D1365" i="106" s="1"/>
  <c r="F65" i="34"/>
  <c r="J16" i="4"/>
  <c r="B6226" i="106" s="1"/>
  <c r="D6226" i="106" s="1"/>
  <c r="N23" i="3"/>
  <c r="B284" i="106" s="1"/>
  <c r="D284"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1145" i="106" l="1"/>
  <c r="D1145"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J19" i="4" l="1"/>
  <c r="B6229" i="106" s="1"/>
  <c r="D6229" i="106" s="1"/>
  <c r="J20" i="4"/>
  <c r="B6230" i="106" s="1"/>
  <c r="D6230" i="106" s="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7" i="34" l="1"/>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<sst xmlns="http://schemas.openxmlformats.org/spreadsheetml/2006/main" count="5146" uniqueCount="2136">
  <si>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</si>
  <si>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</si>
  <si>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</si>
  <si>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</si>
  <si>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</si>
  <si>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</si>
  <si>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</si>
  <si>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</si>
  <si>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</si>
  <si>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</si>
  <si>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</si>
  <si>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</si>
  <si>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</si>
  <si>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</si>
  <si>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</si>
  <si>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</si>
  <si>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</si>
  <si>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</si>
  <si>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</si>
  <si>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</si>
  <si>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</si>
  <si>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</si>
  <si>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</si>
  <si>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</si>
  <si>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</si>
  <si>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</si>
  <si>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</si>
  <si>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</si>
  <si>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</si>
  <si>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</si>
  <si>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</si>
  <si>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</si>
  <si>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</si>
  <si>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</si>
  <si>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</si>
  <si>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</si>
  <si>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</si>
  <si>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</si>
  <si>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</si>
  <si>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</si>
  <si>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</si>
  <si>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</si>
  <si>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</si>
  <si>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</si>
  <si>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</si>
  <si>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</si>
  <si>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</si>
  <si>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</si>
  <si>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</si>
  <si>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</si>
  <si>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</si>
  <si>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</si>
  <si>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</si>
  <si>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</si>
  <si>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</si>
  <si>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</si>
  <si>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</si>
  <si>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</si>
  <si>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</si>
  <si>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</si>
  <si>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</si>
  <si>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</si>
  <si>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</si>
  <si>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</si>
  <si>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</si>
  <si>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</si>
  <si>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</si>
  <si>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</si>
  <si>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</si>
  <si>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</si>
  <si>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</si>
  <si>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</si>
  <si>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</si>
  <si>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</si>
  <si>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</si>
  <si>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</si>
  <si>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</si>
  <si>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</si>
  <si>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</si>
  <si>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</si>
  <si>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</si>
  <si>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</si>
  <si>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</si>
  <si>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</si>
  <si>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</si>
  <si>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</si>
  <si>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</si>
  <si>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</si>
  <si>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</si>
  <si>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</si>
  <si>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</si>
  <si>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</si>
  <si>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</si>
  <si>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</si>
  <si>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</si>
  <si>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</si>
  <si>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</si>
  <si>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</si>
  <si>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</si>
  <si>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</si>
  <si>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</si>
  <si>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</si>
  <si>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</si>
  <si>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</si>
  <si>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</si>
  <si>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</si>
  <si>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</si>
  <si>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</si>
  <si>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</si>
  <si>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</si>
  <si>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</si>
  <si>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</si>
  <si>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</si>
  <si>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</si>
  <si>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</si>
  <si>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</si>
  <si>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</si>
  <si>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</si>
  <si>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</si>
  <si>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</si>
  <si>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</si>
  <si>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</si>
  <si>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</si>
  <si>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</si>
  <si>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</si>
  <si>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</si>
  <si>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</si>
  <si>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</si>
  <si>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</si>
  <si>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</si>
  <si>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</si>
  <si>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</si>
  <si>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</si>
  <si>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</si>
  <si>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</si>
  <si>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</si>
  <si>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</si>
  <si>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</si>
  <si>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</si>
  <si>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</si>
  <si>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</si>
  <si>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</si>
  <si>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</si>
  <si>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</si>
  <si>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</si>
  <si>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</si>
  <si>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</si>
  <si>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</si>
  <si>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</si>
  <si>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</si>
  <si>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</si>
  <si>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</si>
  <si>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</si>
  <si>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</si>
  <si>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</si>
  <si>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</si>
  <si>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</si>
  <si>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</si>
  <si>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</si>
  <si>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</si>
  <si>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</si>
  <si>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</si>
  <si>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</si>
  <si>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</si>
  <si>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</si>
  <si>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</si>
  <si>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</si>
  <si>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</si>
  <si>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</si>
  <si>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</si>
  <si>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</si>
  <si>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</si>
  <si>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</si>
  <si>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</si>
  <si>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</si>
  <si>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</si>
  <si>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</si>
  <si>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</si>
  <si>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</si>
  <si>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</si>
  <si>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</si>
  <si>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</si>
  <si>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</si>
  <si>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</si>
  <si>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</si>
  <si>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</si>
  <si>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</si>
  <si>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</si>
  <si>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</si>
  <si>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</si>
  <si>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</si>
  <si>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</si>
  <si>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</si>
  <si>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</si>
  <si>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</si>
  <si>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</si>
  <si>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</si>
  <si>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</si>
  <si>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</si>
  <si>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</si>
  <si>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</si>
  <si>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</si>
  <si>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</si>
  <si>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</si>
  <si>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</si>
  <si>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</si>
  <si>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</si>
  <si>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</si>
  <si>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</si>
  <si>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</si>
  <si>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</si>
  <si>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</si>
  <si>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</si>
  <si>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</si>
  <si>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</si>
  <si>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</si>
  <si>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</si>
  <si>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</si>
  <si>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</si>
  <si>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</si>
  <si>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</si>
  <si>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</si>
  <si>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</si>
  <si>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</si>
  <si>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</si>
  <si>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</si>
  <si>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</si>
  <si>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</si>
  <si>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</si>
  <si>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</si>
  <si>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</si>
  <si>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</si>
  <si>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</si>
  <si>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</si>
  <si>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</si>
  <si>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</si>
  <si>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</si>
  <si>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</si>
  <si>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</si>
  <si>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</si>
  <si>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</si>
  <si>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</si>
  <si>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</si>
  <si>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</si>
  <si>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</si>
  <si>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</si>
  <si>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</si>
  <si>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</si>
  <si>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</si>
  <si>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</si>
  <si>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</si>
  <si>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</si>
  <si>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</si>
  <si>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</si>
  <si>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</si>
  <si>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</si>
  <si>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</si>
  <si>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</si>
  <si>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</si>
  <si>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</si>
  <si>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</si>
  <si>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</si>
  <si>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</si>
  <si>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</si>
  <si>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</si>
  <si>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</si>
  <si>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</si>
  <si>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</si>
  <si>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</si>
  <si>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</si>
  <si>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</si>
  <si>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</si>
  <si>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</si>
  <si>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</si>
  <si>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</si>
  <si>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</si>
  <si>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</si>
  <si>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</si>
  <si>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</si>
  <si>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</si>
  <si>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</si>
  <si>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</si>
  <si>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</si>
  <si>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</si>
  <si>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</si>
  <si>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</si>
  <si>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</si>
  <si>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</si>
  <si>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</si>
  <si>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</si>
  <si>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</si>
  <si>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</si>
  <si>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</si>
  <si>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</si>
  <si>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</si>
  <si>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</si>
  <si>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</si>
  <si>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</si>
  <si>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</si>
  <si>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</si>
  <si>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</si>
  <si>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</si>
  <si>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</si>
  <si>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</si>
  <si>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</si>
  <si>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</si>
  <si>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</si>
  <si>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</si>
  <si>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</si>
  <si>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</si>
  <si>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</si>
  <si>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</si>
  <si>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</si>
  <si>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</si>
  <si>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</si>
  <si>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</si>
  <si>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</si>
  <si>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</si>
  <si>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</si>
  <si>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</si>
  <si>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</si>
  <si>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</si>
  <si>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</si>
  <si>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</si>
  <si>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</si>
  <si>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</si>
  <si>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</si>
  <si>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</si>
  <si>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</si>
  <si>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</si>
  <si>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</si>
  <si>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</si>
  <si>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</si>
  <si>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</si>
  <si>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</si>
  <si>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</si>
  <si>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</si>
  <si>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</si>
  <si>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</si>
  <si>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</si>
  <si>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</si>
  <si>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</si>
  <si>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</si>
  <si>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</si>
  <si>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</si>
  <si>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</si>
  <si>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</si>
  <si>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</si>
  <si>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</si>
  <si>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</si>
  <si>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</si>
  <si>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</si>
  <si>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</si>
  <si>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</si>
  <si>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</si>
  <si>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</si>
  <si>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</si>
  <si>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</si>
  <si>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</si>
  <si>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</si>
  <si>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</si>
  <si>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</si>
  <si>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</si>
  <si>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</si>
  <si>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</si>
  <si>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</si>
  <si>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</si>
  <si>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</si>
  <si>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</si>
  <si>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</si>
  <si>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</si>
  <si>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</si>
  <si>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</si>
  <si>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</si>
  <si>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</si>
  <si>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</si>
  <si>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</si>
  <si>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</si>
  <si>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</si>
  <si>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</si>
  <si>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</si>
  <si>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</si>
  <si>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</si>
  <si>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</si>
  <si>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</si>
  <si>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</si>
  <si>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</si>
  <si>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</si>
  <si>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</si>
  <si>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</si>
  <si>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</si>
  <si>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</si>
  <si>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</si>
  <si>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</si>
  <si>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</si>
  <si>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</si>
  <si>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</si>
  <si>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</si>
  <si>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</si>
  <si>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</si>
  <si>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</si>
  <si>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</si>
  <si>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</si>
  <si>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</si>
  <si>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</si>
  <si>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</si>
  <si>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</si>
  <si>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</si>
  <si>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</si>
  <si>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</si>
  <si>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</si>
  <si>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</si>
  <si>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</si>
  <si>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</si>
  <si>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</si>
  <si>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</si>
  <si>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</si>
  <si>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</si>
  <si>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</si>
  <si>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</si>
  <si>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</si>
  <si>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</si>
  <si>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</si>
  <si>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</si>
  <si>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</si>
  <si>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</si>
  <si>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</si>
  <si>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</si>
  <si>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</si>
  <si>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</si>
  <si>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</si>
  <si>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</si>
  <si>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</si>
  <si>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</si>
  <si>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</si>
  <si>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</si>
  <si>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</si>
  <si>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</si>
  <si>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</si>
  <si>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</si>
  <si>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</si>
  <si>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</si>
  <si>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</si>
  <si>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</si>
  <si>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</si>
  <si>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</si>
  <si>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</si>
  <si>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</si>
  <si>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</si>
  <si>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</si>
  <si>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</si>
  <si>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</si>
  <si>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</si>
  <si>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</si>
  <si>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</si>
  <si>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</si>
  <si>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</si>
  <si>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</si>
  <si>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</si>
  <si>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</si>
  <si>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</si>
  <si>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</si>
  <si>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</si>
  <si>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</si>
  <si>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</si>
  <si>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</si>
  <si>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</si>
  <si>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</si>
  <si>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</si>
  <si>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</si>
  <si>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</si>
  <si>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</si>
  <si>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</si>
  <si>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</si>
  <si>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</si>
  <si>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</si>
  <si>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</si>
  <si>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</si>
  <si>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</si>
  <si>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</si>
  <si>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</si>
  <si>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</si>
  <si>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</si>
  <si>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</si>
  <si>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</si>
  <si>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</si>
  <si>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</si>
  <si>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</si>
  <si>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</si>
  <si>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</si>
  <si>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</si>
  <si>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</si>
  <si>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</si>
  <si>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</si>
  <si>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</si>
  <si>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</si>
  <si>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</si>
  <si>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</si>
  <si>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</si>
  <si>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</si>
  <si>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</si>
  <si>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</si>
  <si>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</si>
  <si>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</si>
  <si>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</si>
  <si>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</si>
  <si>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</si>
  <si>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</si>
  <si>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</si>
  <si>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</si>
  <si>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</si>
  <si>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</si>
  <si>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</si>
  <si>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</si>
  <si>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</si>
  <si>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</si>
  <si>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</si>
  <si>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</si>
  <si>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</si>
  <si>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</si>
  <si>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</si>
  <si>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</si>
  <si>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</si>
  <si>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</si>
  <si>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</si>
  <si>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</si>
  <si>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</si>
  <si>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</si>
  <si>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</si>
  <si>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</si>
  <si>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</si>
  <si>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</si>
  <si>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</si>
  <si>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</si>
  <si>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</si>
  <si>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</si>
  <si>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</si>
  <si>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</si>
  <si>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</si>
  <si>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</si>
  <si>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</si>
  <si>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</si>
  <si>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</si>
  <si>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</si>
  <si>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</si>
  <si>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</si>
  <si>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</si>
  <si>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</si>
  <si>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</si>
  <si>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</si>
  <si>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</si>
  <si>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</si>
  <si>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</si>
  <si>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</si>
  <si>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</si>
  <si>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</si>
  <si>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</si>
  <si>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</si>
  <si>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</si>
  <si>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</si>
  <si>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</si>
  <si>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</si>
  <si>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</si>
  <si>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</si>
  <si>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</si>
  <si>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</si>
  <si>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</si>
  <si>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</si>
  <si>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</si>
  <si>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</si>
  <si>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</si>
  <si>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</si>
  <si>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</si>
  <si>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</si>
  <si>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</si>
  <si>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</si>
  <si>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</si>
  <si>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</si>
  <si>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</si>
  <si>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</si>
  <si>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</si>
  <si>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</si>
  <si>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</si>
  <si>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</si>
  <si>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</si>
  <si>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</si>
  <si>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</si>
  <si>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</si>
  <si>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</si>
  <si>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</si>
  <si>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</si>
  <si>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</si>
  <si>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</si>
  <si>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</si>
  <si>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</si>
  <si>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</si>
  <si>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</si>
  <si>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</si>
  <si>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</si>
  <si>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</si>
  <si>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</si>
  <si>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</si>
  <si>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</si>
  <si>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</si>
  <si>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</si>
  <si>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</si>
  <si>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</si>
  <si>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</si>
  <si>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</si>
  <si>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</si>
  <si>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</si>
  <si>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</si>
  <si>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</si>
  <si>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</si>
  <si>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</si>
  <si>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</si>
  <si>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</si>
  <si>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</si>
  <si>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</si>
  <si>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</si>
  <si>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</si>
  <si>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</si>
  <si>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</si>
  <si>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</si>
  <si>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</si>
  <si>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</si>
  <si>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</si>
  <si>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</si>
  <si>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</si>
  <si>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</si>
  <si>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</si>
  <si>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</si>
  <si>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</si>
  <si>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</si>
  <si>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</si>
  <si>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</si>
  <si>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</si>
  <si>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</si>
  <si>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</si>
  <si>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</si>
  <si>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</si>
  <si>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</si>
  <si>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</si>
  <si>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</si>
  <si>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</si>
  <si>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</si>
  <si>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</si>
  <si>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</si>
  <si>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</si>
  <si>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</si>
  <si>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</si>
  <si>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</si>
  <si>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</si>
  <si>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</si>
  <si>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</si>
  <si>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</si>
  <si>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</si>
  <si>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</si>
  <si>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</si>
  <si>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</si>
  <si>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</si>
  <si>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</si>
  <si>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</si>
  <si>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</si>
  <si>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</si>
  <si>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</si>
  <si>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</si>
  <si>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</si>
  <si>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</si>
  <si>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</si>
  <si>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</si>
  <si>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</si>
  <si>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</si>
  <si>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</si>
  <si>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</si>
  <si>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</si>
  <si>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</si>
  <si>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</si>
  <si>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</si>
  <si>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</si>
  <si>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</si>
  <si>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</si>
  <si>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</si>
  <si>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</si>
  <si>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</si>
  <si>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</si>
  <si>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</si>
  <si>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</si>
  <si>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</si>
  <si>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</si>
  <si>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</si>
  <si>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</si>
  <si>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</si>
  <si>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</si>
  <si>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</si>
  <si>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</si>
  <si>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</si>
  <si>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</si>
  <si>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</si>
  <si>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</si>
  <si>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</si>
  <si>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</si>
  <si>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</si>
  <si>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</si>
  <si>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</si>
  <si>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</si>
  <si>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</si>
  <si>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</si>
  <si>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</si>
  <si>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</si>
  <si>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</si>
  <si>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</si>
  <si>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</si>
  <si>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</si>
  <si>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</si>
  <si>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</si>
  <si>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</si>
  <si>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</si>
  <si>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</si>
  <si>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</si>
  <si>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</si>
  <si>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</si>
  <si>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</si>
  <si>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</si>
  <si>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</si>
  <si>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</si>
  <si>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</si>
  <si>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</si>
  <si>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</si>
  <si>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</si>
  <si>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</si>
  <si>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</si>
  <si>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</si>
  <si>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</si>
  <si>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</si>
  <si>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</si>
  <si>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</si>
  <si>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</si>
  <si>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</si>
  <si>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</si>
  <si>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</si>
  <si>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</si>
  <si>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</si>
  <si>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</si>
  <si>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</si>
  <si>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</si>
  <si>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</si>
  <si>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</si>
  <si>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</si>
  <si>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</si>
  <si>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</si>
  <si>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</si>
  <si>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</si>
  <si>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</si>
  <si>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</si>
  <si>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</si>
  <si>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</si>
  <si>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</si>
  <si>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</si>
  <si>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</si>
  <si>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</si>
  <si>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</si>
  <si>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</si>
  <si>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</si>
  <si>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</si>
  <si>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</si>
  <si>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</si>
  <si>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</si>
  <si>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</si>
  <si>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</si>
  <si>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</si>
  <si>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</si>
  <si>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</si>
  <si>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</si>
  <si>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</si>
  <si>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</si>
  <si>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</si>
  <si>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</si>
  <si>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</si>
  <si>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</si>
  <si>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</si>
  <si>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</si>
  <si>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</si>
  <si>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</si>
  <si>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</si>
  <si>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</si>
  <si>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</si>
  <si>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</si>
  <si>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</si>
  <si>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</si>
  <si>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</si>
  <si>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</si>
  <si>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</si>
  <si>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</si>
  <si>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</si>
  <si>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</si>
  <si>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</si>
  <si>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</si>
  <si>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</si>
  <si>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</si>
  <si>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</si>
  <si>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</si>
  <si>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</si>
  <si>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</si>
  <si>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</si>
  <si>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</si>
  <si>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</si>
  <si>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</si>
  <si>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</si>
  <si>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</si>
  <si>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</si>
  <si>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</si>
  <si>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</si>
  <si>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</si>
  <si>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</si>
  <si>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</si>
  <si>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</si>
  <si>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</si>
  <si>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</si>
  <si>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</si>
  <si>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</si>
  <si>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</si>
  <si>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</si>
  <si>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</si>
  <si>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</si>
  <si>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</si>
  <si>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</si>
  <si>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</si>
  <si>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</si>
  <si>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</si>
  <si>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</si>
  <si>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</si>
  <si>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</si>
  <si>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</si>
  <si>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</si>
  <si>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</si>
  <si>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</si>
  <si>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</si>
  <si>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</si>
  <si>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</si>
  <si>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</si>
  <si>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</si>
  <si>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</si>
  <si>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</si>
  <si>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</si>
  <si>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</si>
  <si>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</si>
  <si>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</si>
  <si>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</si>
  <si>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</si>
  <si>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</si>
  <si>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</si>
  <si>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</si>
  <si>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</si>
  <si>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</si>
  <si>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</si>
  <si>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</si>
  <si>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</si>
  <si>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</si>
  <si>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</si>
  <si>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</si>
  <si>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</si>
  <si>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</si>
  <si>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</si>
  <si>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</si>
  <si>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</si>
  <si>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</si>
  <si>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</si>
  <si>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</si>
  <si>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</si>
  <si>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</si>
  <si>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</si>
  <si>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</si>
  <si>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</si>
  <si>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</si>
  <si>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</si>
  <si>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</si>
  <si>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</si>
  <si>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</si>
  <si>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</si>
  <si>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</si>
  <si>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</si>
  <si>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</si>
  <si>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</si>
  <si>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</si>
  <si>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</si>
  <si>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</si>
  <si>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</si>
  <si>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</si>
  <si>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</si>
  <si>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</si>
  <si>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</si>
  <si>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</si>
  <si>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</si>
  <si>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</si>
  <si>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</si>
  <si>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</si>
  <si>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</si>
  <si>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</si>
  <si>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</si>
  <si>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</si>
  <si>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</si>
  <si>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</si>
  <si>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</si>
  <si>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</si>
  <si>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</si>
  <si>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</si>
  <si>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</si>
  <si>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</si>
  <si>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</si>
  <si>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</si>
  <si>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</si>
  <si>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</si>
  <si>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</si>
  <si>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</si>
  <si>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</si>
  <si>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</si>
  <si>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</si>
  <si>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</si>
  <si>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</si>
  <si>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</si>
  <si>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</si>
  <si>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</si>
  <si>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</si>
  <si>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</si>
  <si>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</si>
  <si>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</si>
  <si>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</si>
  <si>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</si>
  <si>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</si>
  <si>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</si>
  <si>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</si>
  <si>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</si>
  <si>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</si>
  <si>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</si>
  <si>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</si>
  <si>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</si>
  <si>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</si>
  <si>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</si>
  <si>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</si>
  <si>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</si>
  <si>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</si>
  <si>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</si>
  <si>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</si>
  <si>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</si>
  <si>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</si>
  <si>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</si>
  <si>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</si>
  <si>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</si>
  <si>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</si>
  <si>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</si>
  <si>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</si>
  <si>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</si>
  <si>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</si>
  <si>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</si>
  <si>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</si>
  <si>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</si>
  <si>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</si>
  <si>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</si>
  <si>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</si>
  <si>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</si>
  <si>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</si>
  <si>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</si>
  <si>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</si>
  <si>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</si>
  <si>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</si>
  <si>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</si>
  <si>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</si>
  <si>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</si>
  <si>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</si>
  <si>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</si>
  <si>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</si>
  <si>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</si>
  <si>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</si>
  <si>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</si>
  <si>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</si>
  <si>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</si>
  <si>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</si>
  <si>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</si>
  <si>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</si>
  <si>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</si>
  <si>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</si>
  <si>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</si>
  <si>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</si>
  <si>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</si>
  <si>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</si>
  <si>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</si>
  <si>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</si>
  <si>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</si>
  <si>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</si>
  <si>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</si>
  <si>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</si>
  <si>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</si>
  <si>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</si>
  <si>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</si>
  <si>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</si>
  <si>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</si>
  <si>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</si>
  <si>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</si>
  <si>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</si>
  <si>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</si>
  <si>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</si>
  <si>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</si>
  <si>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</si>
  <si>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</si>
  <si>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</si>
  <si>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</si>
  <si>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</si>
  <si>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</si>
  <si>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</si>
  <si>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</si>
  <si>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</si>
  <si>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</si>
  <si>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</si>
  <si>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</si>
  <si>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</si>
  <si>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</si>
  <si>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</si>
  <si>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</si>
  <si>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</si>
  <si>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</si>
  <si>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</si>
  <si>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</si>
  <si>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</si>
  <si>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</si>
  <si>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</si>
  <si>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</si>
  <si>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</si>
  <si>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</si>
  <si>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</si>
  <si>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</si>
  <si>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</si>
  <si>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</si>
  <si>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</si>
  <si>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</si>
  <si>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</si>
  <si>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</si>
  <si>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</si>
  <si>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</si>
  <si>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</si>
  <si>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</si>
  <si>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</si>
  <si>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</si>
  <si>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</si>
  <si>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</si>
  <si>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</si>
  <si>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</si>
  <si>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</si>
  <si>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</si>
  <si>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</si>
  <si>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</si>
  <si>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</si>
  <si>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</si>
  <si>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</si>
  <si>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</si>
  <si>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</si>
  <si>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</si>
  <si>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</si>
  <si>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</si>
  <si>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</si>
  <si>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</si>
  <si>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</si>
  <si>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</si>
  <si>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</si>
  <si>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</si>
  <si>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</si>
  <si>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</si>
  <si>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</si>
  <si>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</si>
  <si>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</si>
  <si>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</si>
  <si>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</si>
  <si>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</si>
  <si>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</si>
  <si>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</si>
  <si>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</si>
  <si>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</si>
  <si>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</si>
  <si>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</si>
  <si>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</si>
  <si>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</si>
  <si>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</si>
  <si>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</si>
  <si>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</si>
  <si>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</si>
  <si>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</si>
  <si>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</si>
  <si>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</si>
  <si>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</si>
  <si>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</si>
  <si>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</si>
  <si>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</si>
  <si>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</si>
  <si>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</si>
  <si>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</si>
  <si>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</si>
  <si>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</si>
  <si>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</si>
  <si>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</si>
  <si>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</si>
  <si>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</si>
  <si>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</si>
  <si>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</si>
  <si>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</si>
  <si>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</si>
  <si>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</si>
  <si>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</si>
  <si>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</si>
  <si>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</si>
  <si>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</si>
  <si>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</si>
  <si>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</si>
  <si>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</si>
  <si>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</si>
  <si>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</si>
  <si>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</si>
  <si>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</si>
  <si>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</si>
  <si>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</si>
  <si>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</si>
  <si>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</si>
  <si>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</si>
  <si>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</si>
  <si>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</si>
  <si>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</si>
  <si>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</si>
  <si>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</si>
  <si>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</si>
  <si>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</si>
  <si>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</si>
  <si>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</si>
  <si>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</si>
  <si>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</si>
  <si>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</si>
  <si>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</si>
  <si>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</si>
  <si>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</si>
  <si>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</si>
  <si>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</si>
  <si>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</si>
  <si>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</si>
  <si>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</si>
  <si>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</si>
  <si>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</si>
  <si>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</si>
  <si>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</si>
  <si>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</si>
  <si>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</si>
  <si>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</si>
  <si>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</si>
  <si>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</si>
  <si>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</si>
  <si>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</si>
  <si>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</si>
  <si>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</si>
  <si>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</si>
  <si>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</si>
  <si>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</si>
  <si>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</si>
  <si>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</si>
  <si>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</si>
  <si>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</si>
  <si>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</si>
  <si>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</si>
  <si>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</si>
  <si>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</si>
  <si>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</si>
  <si>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</si>
  <si>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</si>
  <si>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</si>
  <si>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</si>
  <si>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</si>
  <si>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</si>
  <si>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</si>
  <si>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</si>
  <si>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</si>
  <si>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</si>
  <si>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</si>
  <si>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</si>
  <si>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</si>
  <si>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</si>
  <si>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</si>
  <si>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</si>
  <si>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</si>
  <si>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</si>
  <si>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</si>
  <si>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</si>
  <si>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</si>
  <si>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</si>
  <si>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</si>
  <si>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</si>
  <si>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</si>
  <si>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</si>
  <si>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</si>
  <si>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</si>
  <si>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</si>
  <si>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</si>
  <si>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</si>
  <si>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</si>
  <si>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</si>
  <si>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</si>
  <si>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</si>
  <si>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</si>
  <si>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</si>
  <si>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</si>
  <si>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</si>
  <si>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</si>
  <si>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</si>
  <si>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</si>
  <si>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</si>
  <si>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</si>
  <si>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</si>
  <si>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</si>
  <si>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</si>
  <si>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</si>
  <si>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</si>
  <si>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</si>
  <si>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</si>
  <si>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</si>
  <si>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</si>
  <si>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</si>
  <si>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</si>
  <si>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</si>
  <si>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</si>
  <si>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</si>
  <si>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</si>
  <si>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</si>
  <si>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</si>
  <si>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</si>
  <si>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</si>
  <si>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</si>
  <si>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</si>
  <si>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</si>
  <si>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</si>
  <si>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</si>
  <si>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</si>
  <si>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</si>
  <si>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</si>
  <si>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</si>
  <si>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</si>
  <si>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</si>
  <si>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</si>
  <si>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</si>
  <si>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</si>
  <si>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</si>
  <si>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</si>
  <si>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</si>
  <si>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</si>
  <si>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</si>
  <si>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</si>
  <si>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</si>
  <si>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</si>
  <si>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</si>
  <si>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</si>
  <si>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</si>
  <si>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</si>
  <si>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</si>
  <si>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</si>
  <si>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</si>
  <si>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</si>
  <si>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</si>
  <si>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</si>
  <si>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</si>
  <si>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</si>
  <si>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</si>
  <si>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</si>
  <si>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</si>
  <si>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</si>
  <si>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</si>
  <si>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</si>
  <si>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</si>
  <si>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</si>
  <si>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</si>
  <si>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</si>
  <si>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</si>
  <si>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</si>
  <si>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</si>
  <si>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</si>
  <si>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</si>
  <si>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</si>
  <si>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</si>
  <si>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</si>
  <si>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</si>
  <si>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</si>
  <si>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</si>
  <si>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</si>
  <si>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</si>
  <si>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</si>
  <si>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</si>
  <si>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</si>
  <si>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</si>
  <si>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</si>
  <si>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</si>
  <si>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</si>
  <si>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</si>
  <si>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</si>
  <si>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</si>
  <si>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</si>
  <si>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</si>
  <si>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</si>
  <si>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</si>
  <si>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</si>
  <si>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</si>
  <si>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</si>
  <si>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</si>
  <si>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</si>
  <si>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</si>
  <si>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</si>
  <si>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</si>
  <si>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</si>
  <si>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</si>
  <si>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</si>
  <si>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</si>
  <si>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</si>
  <si>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</si>
  <si>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</si>
  <si>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</si>
  <si>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</si>
  <si>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</si>
  <si>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</si>
  <si>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</si>
  <si>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</si>
  <si>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</si>
  <si>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</si>
  <si>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</si>
  <si>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</si>
  <si>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</si>
  <si>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</si>
  <si>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</si>
  <si>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</si>
  <si>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</si>
  <si>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</si>
  <si>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</si>
  <si>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</si>
  <si>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</si>
  <si>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</si>
  <si>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</si>
  <si>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</si>
  <si>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</si>
  <si>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</si>
  <si>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</si>
  <si>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</si>
  <si>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</si>
  <si>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</si>
  <si>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</si>
  <si>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</si>
  <si>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</si>
  <si>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</si>
  <si>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</si>
  <si>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</si>
  <si>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</si>
  <si>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</si>
  <si>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</si>
  <si>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</si>
  <si>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</si>
  <si>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</si>
  <si>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</si>
  <si>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</si>
  <si>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</si>
  <si>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</si>
  <si>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</si>
  <si>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</si>
  <si>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</si>
  <si>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</si>
  <si>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</si>
  <si>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</si>
  <si>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</si>
  <si>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</si>
  <si>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</si>
  <si>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</si>
  <si>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</si>
  <si>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</si>
  <si>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</si>
  <si>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</si>
  <si>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</si>
  <si>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</si>
  <si>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</si>
  <si>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</si>
  <si>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</si>
  <si>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</si>
  <si>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</si>
  <si>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</si>
  <si>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</si>
  <si>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</si>
  <si>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</si>
  <si>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</si>
  <si>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</si>
  <si>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</si>
  <si>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</si>
  <si>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</si>
  <si>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</si>
  <si>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</si>
  <si>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</si>
  <si>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</si>
  <si>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</si>
  <si>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</si>
  <si>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</si>
  <si>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</si>
  <si>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</si>
  <si>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</si>
  <si>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</si>
  <si>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</si>
  <si>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</si>
  <si>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</si>
  <si>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</si>
  <si>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</si>
  <si>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</si>
  <si>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</si>
  <si>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</si>
  <si>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</si>
  <si>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</si>
  <si>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</si>
  <si>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</si>
  <si>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</si>
  <si>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</si>
  <si>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</si>
  <si>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</si>
  <si>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</si>
  <si>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</si>
  <si>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</si>
  <si>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</si>
  <si>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</si>
  <si>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</si>
  <si>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</si>
  <si>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</si>
  <si>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</si>
  <si>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</si>
  <si>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</si>
  <si>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</si>
  <si>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</si>
  <si>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</si>
  <si>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</si>
  <si>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</si>
  <si>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</si>
  <si>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</si>
  <si>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</si>
  <si>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</si>
  <si>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</si>
  <si>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</si>
  <si>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</si>
  <si>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</si>
  <si>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</si>
  <si>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</si>
  <si>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</si>
  <si>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</si>
  <si>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</si>
  <si>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</si>
  <si>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</si>
  <si>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</si>
  <si>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</si>
  <si>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</si>
  <si>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</si>
  <si>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</si>
  <si>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</si>
  <si>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</si>
  <si>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</si>
  <si>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</si>
  <si>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</si>
  <si>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</si>
  <si>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</si>
  <si>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</si>
  <si>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</si>
  <si>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</si>
  <si>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</si>
  <si>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</si>
  <si>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</si>
  <si>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</si>
  <si>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</si>
  <si>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</si>
  <si>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</si>
  <si>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</si>
  <si>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</si>
  <si>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</si>
  <si>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</si>
  <si>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</si>
  <si>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</si>
  <si>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</si>
  <si>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</si>
  <si>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</si>
  <si>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</si>
  <si>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</si>
  <si>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</si>
  <si>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</si>
  <si>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</si>
  <si>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</si>
  <si>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</si>
  <si>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</si>
  <si>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</si>
  <si>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</si>
  <si>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</si>
  <si>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</si>
  <si>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</si>
  <si>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</si>
  <si>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</si>
  <si>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</si>
  <si>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</si>
  <si>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</si>
  <si>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</si>
  <si>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</si>
  <si>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</si>
  <si>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</si>
  <si>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</si>
  <si>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</si>
  <si>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</si>
  <si>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</si>
  <si>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</si>
  <si>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</si>
  <si>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</si>
  <si>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</si>
  <si>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</si>
  <si>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</si>
  <si>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</si>
  <si>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</si>
  <si>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</si>
  <si>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</si>
  <si>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</si>
  <si>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</si>
  <si>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</si>
  <si>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</si>
  <si>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</si>
  <si>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</si>
  <si>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</si>
  <si>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</si>
  <si>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</si>
  <si>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</si>
  <si>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</si>
  <si>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</si>
  <si>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</si>
  <si>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</si>
  <si>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</si>
  <si>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</si>
  <si>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</si>
  <si>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</si>
  <si>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</si>
  <si>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</si>
  <si>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</si>
  <si>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</si>
  <si>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</si>
  <si>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</si>
  <si>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</si>
  <si>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</si>
  <si>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</si>
  <si>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</si>
  <si>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</si>
  <si>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</si>
  <si>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</si>
  <si>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</si>
  <si>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</si>
  <si>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</si>
  <si>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</si>
  <si>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</si>
  <si>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</si>
  <si>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</si>
  <si>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</si>
  <si>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</si>
  <si>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</si>
  <si>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</si>
  <si>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</si>
  <si>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</si>
  <si>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</si>
  <si>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</si>
  <si>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</si>
  <si>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</si>
  <si>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</si>
  <si>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</si>
  <si>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</si>
  <si>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</si>
  <si>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</si>
  <si>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</si>
  <si>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</si>
  <si>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</si>
  <si>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</si>
  <si>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</si>
  <si>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</si>
  <si>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</si>
  <si>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</si>
  <si>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</si>
  <si>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</si>
  <si>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</si>
  <si>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</si>
  <si>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</si>
  <si>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</si>
  <si>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</si>
  <si>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</si>
  <si>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</si>
  <si>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</si>
  <si>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</si>
  <si>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</si>
  <si>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</si>
  <si>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</si>
  <si>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</si>
  <si>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</si>
  <si>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</si>
  <si>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</si>
  <si>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</si>
  <si>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</si>
  <si>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</si>
  <si>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</si>
  <si>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</si>
  <si>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</si>
  <si>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</si>
  <si>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</si>
  <si>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</si>
  <si>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</si>
  <si>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</si>
  <si>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</si>
  <si>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</si>
  <si>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</si>
  <si>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</si>
  <si>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</si>
  <si>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</si>
  <si>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</si>
  <si>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</si>
  <si>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</si>
  <si>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</si>
  <si>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</si>
  <si>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</si>
  <si>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</si>
  <si>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</si>
  <si>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</si>
  <si>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</si>
  <si>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</si>
  <si>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</si>
  <si>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</si>
  <si>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</si>
  <si>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</si>
  <si>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</si>
  <si>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</si>
  <si>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</si>
  <si>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</si>
  <si>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</si>
  <si>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</si>
  <si>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</si>
  <si>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</si>
  <si>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</si>
  <si>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</si>
  <si>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</si>
  <si>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</si>
  <si>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</si>
  <si>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</si>
  <si>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</si>
  <si>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</si>
  <si>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</si>
  <si>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</si>
  <si>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</si>
  <si>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</si>
  <si>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</si>
  <si>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</si>
  <si>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</si>
  <si>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</si>
  <si>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</si>
  <si>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</si>
  <si>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</si>
  <si>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</si>
  <si>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</si>
  <si>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</si>
  <si>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</si>
  <si>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</si>
  <si>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</si>
  <si>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</si>
  <si>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</si>
  <si>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</si>
  <si>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</si>
  <si>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</si>
  <si>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</si>
  <si>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</si>
  <si>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</si>
  <si>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</si>
  <si>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</si>
  <si>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</si>
  <si>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</si>
  <si>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</si>
  <si>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</si>
  <si>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</si>
  <si>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</si>
  <si>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</si>
  <si>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</si>
  <si>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</si>
  <si>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</si>
  <si>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</si>
  <si>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</si>
  <si>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</si>
  <si>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</si>
  <si>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</si>
  <si>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</si>
  <si>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</si>
  <si>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</si>
  <si>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</si>
  <si>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</si>
  <si>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</si>
  <si>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</si>
  <si>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</si>
  <si>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</si>
  <si>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</si>
  <si>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</si>
  <si>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</si>
  <si>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</si>
  <si>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</si>
  <si>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</si>
  <si>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</si>
  <si>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</si>
  <si>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</si>
  <si>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</si>
  <si>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</si>
  <si>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</si>
  <si>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</si>
  <si>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</si>
  <si>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</si>
  <si>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</si>
  <si>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</si>
  <si>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</si>
  <si>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</si>
  <si>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</si>
  <si>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</si>
  <si>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</si>
  <si>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</si>
  <si>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</si>
  <si>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</si>
  <si>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</si>
  <si>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</si>
  <si>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</si>
  <si>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</si>
  <si>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</si>
  <si>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</si>
  <si>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</si>
  <si>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</si>
  <si>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</si>
  <si>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</si>
  <si>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</si>
  <si>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</si>
  <si>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</si>
  <si>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</si>
  <si>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</si>
  <si>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</si>
  <si>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</si>
  <si>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</si>
  <si>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</si>
  <si>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</si>
  <si>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</si>
  <si>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</si>
  <si>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</si>
  <si>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</si>
  <si>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</si>
  <si>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</si>
  <si>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</si>
  <si>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</si>
  <si>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</si>
  <si>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</si>
  <si>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</si>
  <si>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</si>
  <si>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</si>
  <si>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</si>
  <si>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</si>
  <si>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</si>
  <si>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</si>
  <si>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</si>
  <si>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</si>
  <si>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</si>
  <si>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</si>
  <si>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</si>
  <si>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</si>
  <si>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</si>
  <si>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</si>
  <si>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</si>
  <si>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</si>
  <si>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</si>
  <si>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</si>
  <si>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</si>
  <si>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</si>
  <si>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</si>
  <si>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</si>
  <si>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</si>
  <si>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</si>
  <si>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</si>
  <si>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</si>
  <si>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</si>
  <si>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</si>
  <si>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</si>
  <si>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</si>
  <si>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</si>
  <si>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</si>
  <si>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</si>
  <si>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</si>
  <si>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</si>
  <si>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</si>
  <si>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</si>
  <si>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</si>
  <si>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</si>
  <si>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</si>
  <si>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</si>
  <si>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</si>
  <si>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</si>
  <si>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</si>
  <si>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</si>
  <si>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</si>
  <si>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</si>
  <si>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</si>
  <si>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</si>
  <si>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</si>
  <si>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</si>
  <si>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</si>
  <si>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</si>
  <si>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</si>
  <si>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</si>
  <si>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</si>
  <si>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</si>
  <si>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</si>
  <si>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</si>
  <si>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</si>
  <si>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</si>
  <si>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</si>
  <si>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</si>
  <si>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</si>
  <si>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</si>
  <si>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</si>
  <si>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</si>
  <si>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</si>
  <si>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</si>
  <si>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</si>
  <si>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</si>
  <si>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</si>
  <si>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</si>
  <si>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</si>
  <si>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</si>
  <si>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</si>
  <si>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</si>
  <si>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</si>
  <si>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</si>
  <si>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</si>
  <si>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</si>
  <si>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</si>
  <si>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</si>
  <si>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</si>
  <si>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</si>
  <si>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</si>
  <si>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</si>
  <si>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</si>
  <si>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</si>
  <si>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</si>
  <si>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</si>
  <si>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</si>
  <si>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</si>
  <si>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</si>
  <si>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</si>
  <si>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</si>
  <si>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</si>
  <si>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</si>
  <si>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</si>
  <si>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</si>
  <si>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</si>
  <si>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</si>
  <si>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</si>
  <si>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</si>
  <si>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</si>
  <si>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</si>
  <si>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</si>
  <si>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</si>
  <si>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</si>
  <si>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</si>
  <si>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</si>
  <si>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</si>
  <si>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</si>
  <si>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</si>
  <si>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</si>
  <si>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</si>
  <si>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</si>
  <si>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</si>
  <si>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</si>
  <si>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</si>
  <si>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</si>
  <si>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</si>
  <si>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</si>
  <si>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</si>
  <si>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</si>
  <si>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</si>
  <si>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</si>
  <si>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</si>
  <si>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</si>
  <si>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</si>
  <si>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</si>
  <si>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</si>
  <si>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</si>
  <si>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</si>
  <si>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</si>
  <si>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</si>
  <si>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</si>
  <si>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</si>
  <si>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</si>
  <si>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</si>
  <si>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</si>
  <si>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</si>
  <si>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</si>
  <si>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</si>
  <si>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</si>
  <si>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</si>
  <si>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</si>
  <si>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</si>
  <si>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</si>
  <si>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</si>
  <si>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</si>
  <si>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</si>
  <si>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</si>
  <si>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</si>
  <si>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</si>
  <si>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</si>
  <si>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</si>
  <si>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</si>
  <si>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</si>
  <si>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</si>
  <si>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</si>
  <si>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</si>
  <si>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</si>
  <si>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</si>
  <si>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</si>
  <si>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</si>
  <si>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</si>
  <si>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</si>
  <si>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</si>
  <si>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</si>
  <si>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</si>
  <si>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</si>
  <si>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</si>
  <si>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</si>
  <si>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</si>
  <si>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</si>
  <si>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</si>
  <si>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</si>
  <si>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</si>
  <si>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</si>
  <si>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</si>
  <si>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</si>
  <si>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</si>
  <si>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</si>
  <si>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</si>
  <si>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</si>
  <si>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</si>
  <si>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</si>
  <si>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</si>
  <si>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</si>
  <si>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</si>
  <si>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</si>
  <si>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</si>
  <si>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</si>
  <si>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</si>
  <si>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</si>
  <si>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</si>
  <si>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</si>
  <si>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</si>
  <si>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</si>
  <si>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</si>
  <si>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</si>
  <si>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</si>
  <si>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</si>
  <si>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</si>
  <si>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</si>
  <si>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</si>
  <si>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</si>
  <si>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</si>
  <si>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</si>
  <si>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</si>
  <si>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</si>
  <si>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</si>
  <si>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</si>
  <si>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</si>
  <si>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</si>
  <si>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</si>
  <si>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</si>
  <si>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</si>
  <si>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</si>
  <si>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</si>
  <si>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</si>
  <si>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</si>
  <si>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</si>
  <si>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</si>
  <si>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</si>
  <si>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</si>
  <si>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</si>
  <si>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</si>
  <si>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</si>
  <si>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</si>
  <si>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</si>
  <si>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</si>
  <si>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</si>
  <si>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</si>
  <si>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</si>
  <si>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</si>
  <si>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</si>
  <si>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</si>
  <si>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</si>
  <si>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</si>
  <si>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</si>
  <si>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</si>
  <si>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</si>
  <si>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</si>
  <si>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</si>
  <si>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</si>
  <si>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</si>
  <si>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</si>
  <si>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</si>
  <si>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</si>
  <si>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</si>
  <si>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</si>
  <si>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</si>
  <si>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</si>
  <si>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</si>
  <si>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</si>
  <si>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</si>
  <si>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</si>
  <si>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</si>
  <si>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</si>
  <si>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</si>
  <si>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</si>
  <si>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</si>
  <si>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</si>
  <si>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</si>
  <si>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</si>
  <si>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</si>
  <si>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</si>
  <si>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</si>
  <si>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</si>
  <si>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</si>
  <si>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</si>
  <si>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</si>
  <si>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</si>
  <si>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</si>
  <si>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</si>
  <si>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</si>
  <si>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</si>
  <si>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</si>
  <si>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</si>
  <si>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</si>
  <si>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</si>
  <si>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</si>
  <si>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</si>
  <si>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</si>
  <si>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</si>
  <si>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</si>
  <si>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</si>
  <si>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</si>
  <si>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</si>
  <si>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</si>
  <si>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</si>
  <si>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</si>
  <si>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</si>
  <si>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</si>
  <si>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</si>
  <si>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</si>
  <si>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</si>
  <si>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</si>
  <si>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</si>
  <si>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</si>
  <si>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</si>
  <si>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</si>
  <si>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</si>
  <si>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</si>
  <si>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</si>
  <si>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</si>
  <si>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</si>
  <si>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</si>
  <si>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</si>
  <si>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</si>
  <si>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</si>
  <si>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</si>
  <si>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</si>
  <si>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</si>
  <si>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Shelby and Fayette</t>
  </si>
  <si>
    <t>633 County Highway 22</t>
  </si>
  <si>
    <t xml:space="preserve">Cowden </t>
  </si>
  <si>
    <t>sschuler@cowdenherrick.org</t>
  </si>
  <si>
    <t>Seth Schuler</t>
  </si>
  <si>
    <t>217-783-2126</t>
  </si>
  <si>
    <t>McGuire, Yuhas, Huffman &amp; Buckley, P.C.</t>
  </si>
  <si>
    <t>Kevin Buckley</t>
  </si>
  <si>
    <t>334 W. Eldorado St.</t>
  </si>
  <si>
    <t>Decatur</t>
  </si>
  <si>
    <t>IL</t>
  </si>
  <si>
    <t>217-428-2127</t>
  </si>
  <si>
    <t>217-428-5915</t>
  </si>
  <si>
    <t>066-005286</t>
  </si>
  <si>
    <t>kbuckley@myhbcpa.com</t>
  </si>
  <si>
    <t>Qualified opinion on regulatory basis of accounting based on the following: detailed property records showing historic cost are not presently maintained. Disclosures required by GASB Statement 75 are omitted.</t>
  </si>
  <si>
    <t>Working Cash Fund Bonds</t>
  </si>
  <si>
    <t>Bus Lease</t>
  </si>
  <si>
    <t>Lease</t>
  </si>
  <si>
    <t xml:space="preserve">Statement of Revenues Received/Revenues: </t>
  </si>
  <si>
    <t>Other Restricted Revenue from State Sources (Acct #3999) - Library grants</t>
  </si>
  <si>
    <t>Other Restricted Grants-in-Aid Received Directly from the Federal Gov't (Acct #4090) - REAP grant</t>
  </si>
  <si>
    <t>Other Flow-Through (Acct #2300) - E-Rate reimbursement</t>
  </si>
  <si>
    <t>Other Local Revenues (Acct #1999) - Educational Fund-Sale of supplies: 1,630; Vocational education grant pass-through from EIEFES: 50,253;</t>
  </si>
  <si>
    <t xml:space="preserve">   Donations: 4,566; Reimbursements &amp; refunds: 4,877</t>
  </si>
  <si>
    <t>Operations &amp; Maintenance Fund-Parking lot fees: 1,260; Other income: 324</t>
  </si>
  <si>
    <t xml:space="preserve">Transportation Fund-Project Help transportation reimbursement: 21,320; Insurance claim: 1,806; Donation: 301; Reimbursements: 768; </t>
  </si>
  <si>
    <t xml:space="preserve">   Sale of bus: 1,200</t>
  </si>
  <si>
    <t>Capital Projects Fund-Insurance claims</t>
  </si>
  <si>
    <t>Tort Fund-Insurance refunds</t>
  </si>
  <si>
    <t>Statement of Expenditures Disbursed/Expenditures, Budget to Actual:</t>
  </si>
  <si>
    <t>Other Support Services (Acct #2900) - School and hygiene supplies for homeless children</t>
  </si>
  <si>
    <t>Other Payments to In-State Gov't Units (Acct #4190) - Apex licenses</t>
  </si>
  <si>
    <t>Other Changes in Fund Balances - Increases (Decreases) - Rounding</t>
  </si>
  <si>
    <t>Statement of Revenues Received/Revenues, Expenditures/Disbursed/Expenditures, Other Sources (Uses) and Changes in Fund Balance:</t>
  </si>
  <si>
    <t>Kendra Barding</t>
  </si>
  <si>
    <t>Ed-Support Services-Purchased Services</t>
  </si>
  <si>
    <t>Ed-Instruction-Purchased Services</t>
  </si>
  <si>
    <t>QNS</t>
  </si>
  <si>
    <t>Illinois Heartland Library System</t>
  </si>
  <si>
    <t>Great America Financial</t>
  </si>
  <si>
    <t>TAPS Copier</t>
  </si>
  <si>
    <t>Technology Management Revolving</t>
  </si>
  <si>
    <t>TAMES</t>
  </si>
  <si>
    <t>Bushue HR</t>
  </si>
  <si>
    <t>Eastern IL Education for Employment</t>
  </si>
  <si>
    <t>McGuire, Yuhas, Huffman &amp; Buckley</t>
  </si>
  <si>
    <t>JoAnn Davis</t>
  </si>
  <si>
    <t>Tyler Technologies</t>
  </si>
  <si>
    <t>Power School</t>
  </si>
  <si>
    <t>10-2560-300</t>
  </si>
  <si>
    <t>Summit Financial</t>
  </si>
  <si>
    <t>O&amp;M-Business-Purchased Services</t>
  </si>
  <si>
    <t>20-2540-300</t>
  </si>
  <si>
    <t>Doty Sanitation</t>
  </si>
  <si>
    <t>Doty &amp; Sons Mowing</t>
  </si>
  <si>
    <t>Jill Dare</t>
  </si>
  <si>
    <t>Arab Termite &amp; Pest</t>
  </si>
  <si>
    <t>Medcom, Inc</t>
  </si>
  <si>
    <t>Carlisle Repair</t>
  </si>
  <si>
    <t>40-2550-300</t>
  </si>
  <si>
    <t>Transportation-Business-Purchased Services</t>
  </si>
  <si>
    <t>Ed-Business-Purchased Services</t>
  </si>
  <si>
    <t>10-2620-300</t>
  </si>
  <si>
    <t>Error message for page 24, total long-term debt (principal) retired (P18, Cells H170) must = debt service - long-term debt (principal) retired</t>
  </si>
  <si>
    <t>(P24, Cells H49). Balancing schedule does not take into account lease payments paid from Transportation Fund.</t>
  </si>
  <si>
    <t>10-2100-300</t>
  </si>
  <si>
    <t>10-2200-300</t>
  </si>
  <si>
    <t>10-2300-300</t>
  </si>
  <si>
    <t>Cowden-Herrick CUSD 3A</t>
  </si>
  <si>
    <t>11087003A26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</si>
</sst>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cellStyleXfs>
  <cellXfs count="2488">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5" xfId="12" applyNumberFormat="1" applyFont="1" applyBorder="1" applyAlignment="1" applyProtection="1">
      <alignment horizontal="right" vertical="center"/>
    </xf>
    <xf numFmtId="0" fontId="13" fillId="0" borderId="125" xfId="12" applyFont="1" applyBorder="1" applyAlignment="1" applyProtection="1">
      <alignment vertical="center"/>
    </xf>
    <xf numFmtId="0" fontId="16" fillId="0" borderId="128" xfId="12" applyFont="1" applyBorder="1" applyAlignment="1" applyProtection="1">
      <alignment vertical="center"/>
    </xf>
    <xf numFmtId="0" fontId="16" fillId="0" borderId="126" xfId="12" applyFont="1" applyBorder="1" applyAlignment="1" applyProtection="1">
      <alignment vertical="center"/>
    </xf>
    <xf numFmtId="1" fontId="12" fillId="0" borderId="0" xfId="0" applyNumberFormat="1" applyFont="1" applyAlignment="1">
      <alignment horizontal="center" vertical="center"/>
    </xf>
    <xf numFmtId="0" fontId="13" fillId="0" borderId="135"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21" xfId="0" applyFont="1" applyFill="1" applyBorder="1" applyAlignment="1" applyProtection="1">
      <alignment horizontal="left" vertical="center"/>
    </xf>
    <xf numFmtId="164" fontId="56" fillId="17" borderId="121" xfId="0" applyNumberFormat="1" applyFont="1" applyFill="1" applyBorder="1" applyAlignment="1" applyProtection="1">
      <alignment horizontal="center" vertical="center"/>
    </xf>
    <xf numFmtId="164" fontId="66" fillId="17" borderId="121" xfId="0" applyNumberFormat="1" applyFont="1" applyFill="1" applyBorder="1" applyAlignment="1" applyProtection="1">
      <alignment vertical="center"/>
    </xf>
    <xf numFmtId="0" fontId="79" fillId="10" borderId="122"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80" fillId="11" borderId="103" xfId="0" applyFont="1" applyFill="1" applyBorder="1" applyAlignment="1">
      <alignment vertical="center"/>
    </xf>
    <xf numFmtId="164" fontId="56" fillId="13" borderId="117" xfId="0" applyNumberFormat="1" applyFont="1" applyFill="1" applyBorder="1" applyAlignment="1" applyProtection="1">
      <alignment horizontal="center" vertical="center"/>
    </xf>
    <xf numFmtId="164" fontId="66" fillId="13" borderId="110" xfId="0" applyNumberFormat="1" applyFont="1" applyFill="1" applyBorder="1" applyAlignment="1" applyProtection="1">
      <alignment vertical="center"/>
    </xf>
    <xf numFmtId="0" fontId="59" fillId="13" borderId="103" xfId="0" applyFont="1" applyFill="1" applyBorder="1" applyAlignment="1" applyProtection="1">
      <alignment vertical="center"/>
    </xf>
    <xf numFmtId="38" fontId="51" fillId="11" borderId="120" xfId="0" applyNumberFormat="1" applyFont="1" applyFill="1" applyBorder="1" applyAlignment="1" applyProtection="1">
      <alignment horizontal="right"/>
      <protection locked="0"/>
    </xf>
    <xf numFmtId="38" fontId="51" fillId="11" borderId="103" xfId="0" applyNumberFormat="1" applyFont="1" applyFill="1" applyBorder="1" applyAlignment="1" applyProtection="1">
      <alignment horizontal="right"/>
      <protection locked="0"/>
    </xf>
    <xf numFmtId="38" fontId="51" fillId="11" borderId="110" xfId="0" applyNumberFormat="1" applyFont="1" applyFill="1" applyBorder="1" applyAlignment="1" applyProtection="1">
      <alignment horizontal="right"/>
      <protection locked="0"/>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7" xfId="0" applyFont="1" applyFill="1" applyBorder="1" applyAlignment="1" applyProtection="1">
      <alignment horizontal="left" vertical="center"/>
    </xf>
    <xf numFmtId="164" fontId="56" fillId="13" borderId="110"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6" fillId="13" borderId="118" xfId="0" applyFont="1" applyFill="1" applyBorder="1" applyAlignment="1" applyProtection="1">
      <alignment horizontal="center" vertical="center"/>
    </xf>
    <xf numFmtId="164" fontId="56" fillId="13" borderId="119" xfId="0" applyNumberFormat="1" applyFont="1" applyFill="1" applyBorder="1" applyAlignment="1" applyProtection="1">
      <alignment horizontal="center" vertical="center"/>
    </xf>
    <xf numFmtId="164" fontId="66" fillId="13" borderId="119" xfId="0" applyNumberFormat="1" applyFont="1" applyFill="1" applyBorder="1" applyAlignment="1" applyProtection="1">
      <alignment vertical="center"/>
    </xf>
    <xf numFmtId="38" fontId="51" fillId="11" borderId="110" xfId="0" applyNumberFormat="1" applyFont="1" applyFill="1" applyBorder="1" applyAlignment="1">
      <alignment horizontal="right"/>
    </xf>
    <xf numFmtId="0" fontId="79" fillId="10" borderId="104" xfId="0" applyFont="1" applyFill="1" applyBorder="1" applyAlignment="1">
      <alignment horizontal="left" vertical="center"/>
    </xf>
    <xf numFmtId="38" fontId="51" fillId="10" borderId="104"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14" xfId="0" applyNumberFormat="1" applyFont="1" applyBorder="1" applyAlignment="1" applyProtection="1">
      <alignment horizontal="right"/>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3" xfId="0" applyNumberFormat="1" applyFont="1" applyBorder="1" applyAlignment="1" applyProtection="1">
      <alignment horizontal="right"/>
      <protection locked="0"/>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0" borderId="14" xfId="0" applyNumberFormat="1" applyFont="1" applyFill="1" applyBorder="1" applyAlignment="1" applyProtection="1">
      <alignment horizontal="right"/>
      <protection locked="0"/>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38" fontId="57" fillId="0" borderId="26" xfId="0" applyNumberFormat="1" applyFont="1" applyBorder="1" applyAlignment="1" applyProtection="1">
      <alignment horizontal="right"/>
      <protection locked="0"/>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38" fontId="57" fillId="0" borderId="29" xfId="0" applyNumberFormat="1" applyFont="1" applyFill="1" applyBorder="1" applyAlignment="1" applyProtection="1">
      <alignment horizontal="right"/>
      <protection locked="0"/>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38" fontId="57" fillId="0" borderId="0" xfId="0" applyNumberFormat="1" applyFont="1" applyAlignment="1" applyProtection="1">
      <alignment horizontal="right"/>
      <protection locked="0"/>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7" fillId="0" borderId="13" xfId="0" applyNumberFormat="1" applyFont="1" applyBorder="1" applyAlignment="1" applyProtection="1">
      <alignment horizontal="right"/>
      <protection locked="0"/>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0" borderId="19" xfId="0" applyNumberFormat="1" applyFont="1" applyFill="1" applyBorder="1" applyAlignment="1" applyProtection="1">
      <alignment horizontal="right"/>
      <protection locked="0"/>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7" xfId="0" applyNumberFormat="1" applyFont="1" applyBorder="1" applyAlignment="1" applyProtection="1">
      <alignment horizontal="center" vertical="center"/>
    </xf>
    <xf numFmtId="38" fontId="57" fillId="0" borderId="127" xfId="0" applyNumberFormat="1" applyFont="1" applyBorder="1" applyAlignment="1" applyProtection="1">
      <alignment horizontal="right"/>
      <protection locked="0"/>
    </xf>
    <xf numFmtId="38" fontId="57" fillId="3" borderId="127"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38" fontId="57" fillId="0" borderId="32" xfId="0" applyNumberFormat="1" applyFont="1" applyBorder="1" applyAlignment="1" applyProtection="1">
      <alignment horizontal="right"/>
      <protection locked="0"/>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27" xfId="0" applyNumberFormat="1" applyFont="1" applyFill="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30" xfId="0" applyFont="1" applyFill="1" applyBorder="1" applyAlignment="1" applyProtection="1">
      <alignment horizontal="center" vertical="center"/>
    </xf>
    <xf numFmtId="38" fontId="57" fillId="0" borderId="124" xfId="0" applyNumberFormat="1" applyFont="1" applyFill="1" applyBorder="1" applyAlignment="1" applyProtection="1">
      <alignment horizontal="right"/>
      <protection locked="0"/>
    </xf>
    <xf numFmtId="0" fontId="64" fillId="0" borderId="100" xfId="0" applyFont="1" applyFill="1" applyBorder="1" applyAlignment="1" applyProtection="1">
      <alignment horizontal="center" vertical="center"/>
    </xf>
    <xf numFmtId="38" fontId="57" fillId="0" borderId="123" xfId="0" applyNumberFormat="1" applyFont="1" applyFill="1" applyBorder="1" applyAlignment="1" applyProtection="1">
      <alignment horizontal="right"/>
      <protection locked="0"/>
    </xf>
    <xf numFmtId="38" fontId="57" fillId="0" borderId="111" xfId="0" applyNumberFormat="1" applyFont="1" applyFill="1" applyBorder="1" applyAlignment="1" applyProtection="1">
      <alignment horizontal="right"/>
      <protection locked="0"/>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7"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7"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5"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38" fontId="57" fillId="5" borderId="4" xfId="0" applyNumberFormat="1" applyFont="1" applyFill="1" applyBorder="1" applyAlignment="1" applyProtection="1">
      <alignment horizontal="right"/>
      <protection locked="0"/>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7" xfId="0" applyFont="1" applyFill="1" applyBorder="1" applyAlignment="1">
      <alignment horizontal="center" vertical="center"/>
    </xf>
    <xf numFmtId="38" fontId="57" fillId="0" borderId="127" xfId="0" applyNumberFormat="1" applyFont="1" applyFill="1" applyBorder="1" applyAlignment="1" applyProtection="1">
      <alignment horizontal="right"/>
      <protection locked="0"/>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38" fontId="57" fillId="0" borderId="29" xfId="0" applyNumberFormat="1" applyFont="1" applyBorder="1" applyAlignment="1" applyProtection="1">
      <alignment horizontal="right"/>
      <protection locked="0"/>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5"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6" xfId="0" applyNumberFormat="1" applyFont="1" applyFill="1" applyBorder="1" applyAlignment="1">
      <alignment horizontal="center" vertical="center"/>
    </xf>
    <xf numFmtId="49" fontId="64" fillId="0" borderId="127"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7"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5"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38" fontId="57" fillId="0" borderId="2" xfId="8" applyNumberFormat="1" applyFont="1" applyFill="1" applyBorder="1" applyAlignment="1" applyProtection="1">
      <alignment horizontal="right"/>
      <protection locked="0"/>
    </xf>
    <xf numFmtId="38" fontId="57" fillId="0" borderId="2" xfId="6" applyNumberFormat="1" applyFont="1" applyBorder="1" applyProtection="1">
      <protection locked="0"/>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38" fontId="57" fillId="0" borderId="2" xfId="9" quotePrefix="1" applyNumberFormat="1" applyFont="1" applyFill="1" applyBorder="1" applyAlignment="1" applyProtection="1">
      <alignment horizontal="right"/>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3" xfId="3" applyNumberFormat="1" applyFont="1" applyBorder="1" applyAlignment="1">
      <alignment horizontal="center" vertical="center"/>
    </xf>
    <xf numFmtId="0" fontId="59" fillId="0" borderId="133"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3"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2" xfId="0" applyFont="1" applyBorder="1"/>
    <xf numFmtId="0" fontId="57" fillId="0" borderId="13" xfId="0" applyFont="1" applyBorder="1"/>
    <xf numFmtId="0" fontId="57" fillId="0" borderId="125" xfId="0" applyFont="1" applyBorder="1" applyAlignment="1">
      <alignment horizontal="left" vertical="top"/>
    </xf>
    <xf numFmtId="164" fontId="115" fillId="0" borderId="128" xfId="0" applyNumberFormat="1" applyFont="1" applyBorder="1" applyAlignment="1">
      <alignment horizontal="right" vertical="top"/>
    </xf>
    <xf numFmtId="0" fontId="57" fillId="0" borderId="128" xfId="0" applyNumberFormat="1" applyFont="1" applyBorder="1" applyAlignment="1">
      <alignment horizontal="left" vertical="center" wrapText="1" indent="1"/>
    </xf>
    <xf numFmtId="0" fontId="87" fillId="0" borderId="127" xfId="0" applyFont="1" applyBorder="1" applyAlignment="1">
      <alignment horizontal="left" vertical="center" wrapText="1"/>
    </xf>
    <xf numFmtId="0" fontId="57" fillId="0" borderId="128" xfId="0" applyFont="1" applyBorder="1" applyAlignment="1">
      <alignment horizontal="left" vertical="top"/>
    </xf>
    <xf numFmtId="0" fontId="57" fillId="0" borderId="0" xfId="0" applyFont="1" applyBorder="1" applyAlignment="1">
      <alignment vertical="top"/>
    </xf>
    <xf numFmtId="0" fontId="117" fillId="0" borderId="128" xfId="0" applyNumberFormat="1" applyFont="1" applyBorder="1" applyAlignment="1">
      <alignment horizontal="left" vertical="center"/>
    </xf>
    <xf numFmtId="0" fontId="115" fillId="0" borderId="128" xfId="0" applyFont="1" applyBorder="1" applyAlignment="1">
      <alignment vertical="top"/>
    </xf>
    <xf numFmtId="0" fontId="115" fillId="0" borderId="128" xfId="0" applyFont="1" applyBorder="1" applyAlignment="1">
      <alignment horizontal="left" vertical="top"/>
    </xf>
    <xf numFmtId="0" fontId="57" fillId="0" borderId="125" xfId="0" applyFont="1" applyBorder="1" applyAlignment="1"/>
    <xf numFmtId="164" fontId="115" fillId="0" borderId="128" xfId="0" applyNumberFormat="1" applyFont="1" applyBorder="1" applyAlignment="1"/>
    <xf numFmtId="0" fontId="57" fillId="0" borderId="128" xfId="0" applyFont="1" applyBorder="1" applyAlignment="1"/>
    <xf numFmtId="0" fontId="64" fillId="0" borderId="126"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4"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5" xfId="0" applyFont="1" applyFill="1" applyBorder="1" applyAlignment="1"/>
    <xf numFmtId="0" fontId="56" fillId="0" borderId="128" xfId="0" applyFont="1" applyFill="1" applyBorder="1" applyAlignment="1">
      <alignment horizontal="left" vertical="top"/>
    </xf>
    <xf numFmtId="0" fontId="56" fillId="0" borderId="126"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6"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3" xfId="3" quotePrefix="1" applyNumberFormat="1" applyFont="1" applyBorder="1" applyAlignment="1" applyProtection="1">
      <alignment horizontal="left"/>
    </xf>
    <xf numFmtId="0" fontId="64" fillId="0" borderId="144" xfId="3" applyNumberFormat="1" applyFont="1" applyBorder="1" applyAlignment="1" applyProtection="1">
      <alignment horizontal="center"/>
    </xf>
    <xf numFmtId="0" fontId="64" fillId="0" borderId="144" xfId="3" applyNumberFormat="1" applyFont="1" applyBorder="1" applyProtection="1"/>
    <xf numFmtId="0" fontId="57" fillId="0" borderId="143" xfId="3" applyNumberFormat="1" applyFont="1" applyBorder="1" applyAlignment="1" applyProtection="1"/>
    <xf numFmtId="0" fontId="64" fillId="0" borderId="145" xfId="3" applyNumberFormat="1" applyFont="1" applyBorder="1" applyAlignment="1" applyProtection="1">
      <alignment horizontal="centerContinuous"/>
    </xf>
    <xf numFmtId="0" fontId="57" fillId="0" borderId="143" xfId="3" applyNumberFormat="1" applyFont="1" applyBorder="1" applyAlignment="1" applyProtection="1">
      <alignment horizontal="left"/>
    </xf>
    <xf numFmtId="0" fontId="64" fillId="0" borderId="145" xfId="3" applyNumberFormat="1" applyFont="1" applyBorder="1" applyProtection="1"/>
    <xf numFmtId="0" fontId="64" fillId="0" borderId="144"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3"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7"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4"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8"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6" xfId="3" applyFont="1" applyBorder="1" applyProtection="1"/>
    <xf numFmtId="0" fontId="57" fillId="0" borderId="147" xfId="3" applyFont="1" applyBorder="1" applyProtection="1">
      <protection locked="0"/>
    </xf>
    <xf numFmtId="0" fontId="57" fillId="0" borderId="146"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5" xfId="3" applyNumberFormat="1" applyFont="1" applyBorder="1" applyAlignment="1" applyProtection="1">
      <alignment horizontal="center"/>
    </xf>
    <xf numFmtId="0" fontId="66" fillId="0" borderId="144" xfId="3" applyFont="1" applyBorder="1" applyAlignment="1" applyProtection="1">
      <alignment horizontal="centerContinuous"/>
    </xf>
    <xf numFmtId="0" fontId="66" fillId="0" borderId="145"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5"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169" fontId="64" fillId="0" borderId="8" xfId="3" applyNumberFormat="1" applyFont="1" applyBorder="1" applyAlignment="1" applyProtection="1">
      <alignment horizontal="center"/>
      <protection locked="0"/>
    </xf>
    <xf numFmtId="1" fontId="64" fillId="0" borderId="8"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4" xfId="3" applyFont="1" applyBorder="1" applyProtection="1"/>
    <xf numFmtId="0" fontId="59" fillId="0" borderId="144" xfId="3" applyFont="1" applyBorder="1" applyProtection="1"/>
    <xf numFmtId="0" fontId="59" fillId="0" borderId="144"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4" xfId="3" quotePrefix="1" applyFont="1" applyBorder="1" applyAlignment="1" applyProtection="1">
      <alignment horizontal="left"/>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4" xfId="3" applyFont="1" applyBorder="1" applyProtection="1"/>
    <xf numFmtId="0" fontId="59" fillId="0" borderId="0" xfId="3" applyFont="1" applyBorder="1" applyAlignment="1" applyProtection="1">
      <alignment horizontal="left"/>
    </xf>
    <xf numFmtId="0" fontId="66" fillId="0" borderId="144"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4"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9"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1" xfId="3" applyFont="1" applyBorder="1" applyAlignment="1" applyProtection="1">
      <alignment horizontal="left"/>
    </xf>
    <xf numFmtId="0" fontId="59" fillId="0" borderId="151" xfId="3" applyFont="1" applyBorder="1" applyProtection="1"/>
    <xf numFmtId="0" fontId="59" fillId="0" borderId="151"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8"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9"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7" xfId="0" applyNumberFormat="1" applyFont="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7"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7" xfId="0" applyNumberFormat="1" applyFont="1" applyFill="1" applyBorder="1" applyAlignment="1" applyProtection="1">
      <alignment horizontal="right" vertical="center"/>
      <protection locked="0"/>
    </xf>
    <xf numFmtId="38" fontId="56" fillId="6" borderId="155" xfId="0" applyNumberFormat="1" applyFont="1" applyFill="1" applyBorder="1" applyAlignment="1">
      <alignment horizontal="center" vertical="center" wrapText="1"/>
    </xf>
    <xf numFmtId="38" fontId="56" fillId="6" borderId="155" xfId="0" applyNumberFormat="1" applyFont="1" applyFill="1" applyBorder="1" applyAlignment="1">
      <alignment horizontal="center" vertical="top" wrapText="1"/>
    </xf>
    <xf numFmtId="38" fontId="66" fillId="6" borderId="155"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40" xfId="17" applyFont="1" applyBorder="1" applyAlignment="1">
      <alignment horizontal="left" vertical="top"/>
    </xf>
    <xf numFmtId="0" fontId="128" fillId="0" borderId="141" xfId="17" applyFont="1" applyBorder="1" applyAlignment="1">
      <alignment horizontal="center" vertical="top"/>
    </xf>
    <xf numFmtId="0" fontId="128" fillId="0" borderId="142" xfId="17" applyFont="1" applyBorder="1" applyAlignment="1">
      <alignment horizontal="center" vertical="top"/>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38" fontId="9" fillId="22" borderId="157" xfId="17" applyNumberFormat="1" applyFill="1" applyBorder="1" applyAlignment="1">
      <alignment horizontal="right" vertical="top"/>
    </xf>
    <xf numFmtId="38" fontId="9" fillId="22" borderId="158"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3" borderId="156" xfId="17" applyFont="1" applyFill="1" applyBorder="1" applyAlignment="1">
      <alignment horizontal="center" vertical="center" wrapText="1"/>
    </xf>
    <xf numFmtId="38" fontId="127" fillId="23" borderId="156" xfId="17" applyNumberFormat="1" applyFont="1" applyFill="1" applyBorder="1" applyAlignment="1">
      <alignment horizontal="center" vertical="center" wrapText="1"/>
    </xf>
    <xf numFmtId="3" fontId="57" fillId="23" borderId="131" xfId="0" applyNumberFormat="1" applyFont="1" applyFill="1" applyBorder="1" applyAlignment="1">
      <alignment horizontal="center"/>
    </xf>
    <xf numFmtId="3" fontId="57" fillId="23" borderId="131" xfId="0" applyNumberFormat="1" applyFont="1" applyFill="1" applyBorder="1" applyAlignment="1">
      <alignment horizontal="right"/>
    </xf>
    <xf numFmtId="3" fontId="57" fillId="23" borderId="132" xfId="0" applyNumberFormat="1" applyFont="1" applyFill="1" applyBorder="1" applyAlignment="1">
      <alignment horizontal="center"/>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3" fontId="67" fillId="23" borderId="125" xfId="0" applyNumberFormat="1" applyFont="1" applyFill="1" applyBorder="1" applyAlignment="1">
      <alignment horizontal="center" vertical="center" wrapText="1"/>
    </xf>
    <xf numFmtId="49" fontId="64" fillId="23" borderId="11" xfId="0" applyNumberFormat="1" applyFont="1" applyFill="1" applyBorder="1" applyAlignment="1">
      <alignment horizontal="center" vertical="center"/>
    </xf>
    <xf numFmtId="38" fontId="57" fillId="23" borderId="13" xfId="0" applyNumberFormat="1" applyFont="1" applyFill="1" applyBorder="1" applyAlignment="1">
      <alignment horizontal="right"/>
    </xf>
    <xf numFmtId="38" fontId="57" fillId="23" borderId="21" xfId="0" applyNumberFormat="1" applyFont="1" applyFill="1" applyBorder="1" applyAlignment="1">
      <alignment horizontal="right"/>
    </xf>
    <xf numFmtId="38" fontId="57" fillId="23" borderId="14" xfId="0" applyNumberFormat="1" applyFont="1" applyFill="1" applyBorder="1" applyAlignment="1">
      <alignment horizontal="right"/>
    </xf>
    <xf numFmtId="38" fontId="56" fillId="23" borderId="13"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21" xfId="1"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38" fontId="57" fillId="23" borderId="19" xfId="0" applyNumberFormat="1" applyFont="1" applyFill="1" applyBorder="1" applyAlignment="1" applyProtection="1">
      <alignment horizontal="right"/>
    </xf>
    <xf numFmtId="38" fontId="57" fillId="23" borderId="20" xfId="0" applyNumberFormat="1" applyFont="1" applyFill="1" applyBorder="1" applyAlignment="1" applyProtection="1">
      <alignment horizontal="right"/>
    </xf>
    <xf numFmtId="38" fontId="57" fillId="23" borderId="21" xfId="0" applyNumberFormat="1" applyFont="1" applyFill="1" applyBorder="1" applyAlignment="1" applyProtection="1">
      <alignment horizontal="right"/>
    </xf>
    <xf numFmtId="38" fontId="57" fillId="23" borderId="14" xfId="0" applyNumberFormat="1" applyFont="1" applyFill="1" applyBorder="1" applyAlignment="1" applyProtection="1">
      <alignment horizontal="right"/>
    </xf>
    <xf numFmtId="0" fontId="59" fillId="23" borderId="31" xfId="0" applyFont="1" applyFill="1" applyBorder="1" applyAlignment="1">
      <alignment horizontal="center" vertical="center"/>
    </xf>
    <xf numFmtId="38" fontId="57" fillId="23" borderId="13" xfId="0" applyNumberFormat="1" applyFont="1" applyFill="1" applyBorder="1" applyAlignment="1" applyProtection="1">
      <alignment horizontal="right"/>
    </xf>
    <xf numFmtId="38" fontId="57" fillId="23" borderId="11" xfId="0" applyNumberFormat="1" applyFont="1" applyFill="1" applyBorder="1" applyAlignment="1" applyProtection="1">
      <alignment horizontal="right"/>
    </xf>
    <xf numFmtId="38" fontId="57" fillId="23" borderId="49" xfId="0" applyNumberFormat="1" applyFont="1" applyFill="1" applyBorder="1" applyAlignment="1" applyProtection="1">
      <alignment horizontal="right"/>
    </xf>
    <xf numFmtId="38" fontId="57" fillId="23" borderId="34" xfId="0" applyNumberFormat="1" applyFont="1" applyFill="1" applyBorder="1" applyAlignment="1" applyProtection="1">
      <alignment horizontal="right"/>
    </xf>
    <xf numFmtId="38" fontId="57" fillId="23" borderId="31" xfId="0" applyNumberFormat="1" applyFont="1" applyFill="1" applyBorder="1" applyAlignment="1" applyProtection="1">
      <alignment horizontal="right"/>
    </xf>
    <xf numFmtId="3" fontId="56" fillId="23" borderId="13" xfId="0" applyNumberFormat="1" applyFont="1" applyFill="1" applyBorder="1" applyAlignment="1" applyProtection="1">
      <alignment horizontal="right" vertical="center"/>
    </xf>
    <xf numFmtId="3" fontId="56" fillId="23" borderId="21" xfId="0" applyNumberFormat="1" applyFont="1" applyFill="1" applyBorder="1" applyAlignment="1" applyProtection="1">
      <alignment horizontal="right" vertical="center"/>
    </xf>
    <xf numFmtId="3" fontId="56" fillId="23"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3" borderId="13" xfId="0" applyNumberFormat="1" applyFont="1" applyFill="1" applyBorder="1" applyAlignment="1" applyProtection="1">
      <alignment horizontal="center" vertical="center"/>
    </xf>
    <xf numFmtId="49" fontId="66" fillId="23" borderId="21" xfId="0" applyNumberFormat="1" applyFont="1" applyFill="1" applyBorder="1" applyAlignment="1" applyProtection="1">
      <alignment horizontal="center" vertical="center"/>
    </xf>
    <xf numFmtId="3" fontId="57" fillId="23" borderId="21" xfId="0" applyNumberFormat="1" applyFont="1" applyFill="1" applyBorder="1" applyAlignment="1" applyProtection="1">
      <alignment horizontal="center"/>
    </xf>
    <xf numFmtId="3" fontId="59" fillId="23" borderId="21" xfId="0" applyNumberFormat="1" applyFont="1" applyFill="1" applyBorder="1" applyAlignment="1" applyProtection="1">
      <alignment horizontal="center"/>
    </xf>
    <xf numFmtId="38" fontId="59" fillId="23" borderId="21" xfId="0" applyNumberFormat="1" applyFont="1" applyFill="1" applyBorder="1" applyAlignment="1" applyProtection="1">
      <alignment horizontal="center"/>
    </xf>
    <xf numFmtId="3" fontId="59" fillId="23" borderId="14" xfId="0" applyNumberFormat="1" applyFont="1" applyFill="1" applyBorder="1" applyAlignment="1" applyProtection="1">
      <alignment horizontal="center"/>
    </xf>
    <xf numFmtId="0" fontId="56" fillId="23" borderId="49" xfId="0" applyFont="1" applyFill="1" applyBorder="1" applyAlignment="1" applyProtection="1">
      <alignment horizontal="center" vertical="center" wrapText="1"/>
    </xf>
    <xf numFmtId="0" fontId="57" fillId="23" borderId="34"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wrapText="1"/>
    </xf>
    <xf numFmtId="0" fontId="59" fillId="23" borderId="31" xfId="0" applyFont="1" applyFill="1" applyBorder="1" applyAlignment="1">
      <alignment horizontal="center" vertical="center" wrapText="1"/>
    </xf>
    <xf numFmtId="164" fontId="56" fillId="23"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7"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5" xfId="0" applyNumberFormat="1" applyFont="1" applyFill="1" applyBorder="1" applyAlignment="1">
      <alignment horizontal="left" vertical="center" wrapText="1"/>
    </xf>
    <xf numFmtId="49" fontId="66" fillId="17" borderId="127"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5"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7" xfId="0" applyFont="1" applyFill="1" applyBorder="1" applyAlignment="1">
      <alignment horizontal="left" vertical="center" wrapText="1"/>
    </xf>
    <xf numFmtId="3" fontId="66" fillId="17" borderId="127" xfId="0" applyNumberFormat="1" applyFont="1" applyFill="1" applyBorder="1" applyAlignment="1">
      <alignment horizontal="left" vertical="center" wrapText="1"/>
    </xf>
    <xf numFmtId="38" fontId="57" fillId="24" borderId="19" xfId="0" applyNumberFormat="1" applyFont="1" applyFill="1" applyBorder="1" applyAlignment="1">
      <alignment horizontal="right"/>
    </xf>
    <xf numFmtId="38" fontId="57" fillId="24" borderId="20" xfId="0" applyNumberFormat="1" applyFont="1" applyFill="1" applyBorder="1" applyAlignment="1">
      <alignment horizontal="right"/>
    </xf>
    <xf numFmtId="38" fontId="57" fillId="24"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3" borderId="13" xfId="0" applyFont="1" applyFill="1" applyBorder="1" applyAlignment="1">
      <alignment horizontal="left" vertical="center"/>
    </xf>
    <xf numFmtId="0" fontId="67" fillId="23" borderId="21" xfId="0" applyFont="1" applyFill="1" applyBorder="1" applyAlignment="1">
      <alignment horizontal="left" vertical="center"/>
    </xf>
    <xf numFmtId="0" fontId="67" fillId="23"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9" xfId="0" applyFont="1" applyBorder="1" applyAlignment="1">
      <alignment horizontal="centerContinuous" vertical="center"/>
    </xf>
    <xf numFmtId="0" fontId="57" fillId="0" borderId="160" xfId="0" applyFont="1" applyBorder="1" applyAlignment="1">
      <alignment horizontal="centerContinuous" vertical="center"/>
    </xf>
    <xf numFmtId="0" fontId="59" fillId="0" borderId="160" xfId="0" applyFont="1" applyBorder="1" applyAlignment="1">
      <alignment horizontal="centerContinuous" vertical="center"/>
    </xf>
    <xf numFmtId="0" fontId="66" fillId="0" borderId="105" xfId="0" applyFont="1" applyBorder="1" applyAlignment="1">
      <alignment horizontal="center"/>
    </xf>
    <xf numFmtId="0" fontId="59" fillId="23" borderId="16" xfId="3" applyFont="1" applyFill="1" applyBorder="1" applyAlignment="1">
      <alignment horizontal="left" vertical="center"/>
    </xf>
    <xf numFmtId="0" fontId="59" fillId="23" borderId="10" xfId="3" applyFont="1" applyFill="1" applyBorder="1" applyAlignment="1">
      <alignment horizontal="left" vertical="center"/>
    </xf>
    <xf numFmtId="0" fontId="59" fillId="23" borderId="19" xfId="3" applyNumberFormat="1" applyFont="1" applyFill="1" applyBorder="1" applyAlignment="1">
      <alignment vertical="center"/>
    </xf>
    <xf numFmtId="0" fontId="59" fillId="23" borderId="20" xfId="3" applyNumberFormat="1" applyFont="1" applyFill="1" applyBorder="1" applyAlignment="1">
      <alignment vertical="center"/>
    </xf>
    <xf numFmtId="0" fontId="59" fillId="23" borderId="11" xfId="3" applyNumberFormat="1" applyFont="1" applyFill="1" applyBorder="1" applyAlignment="1">
      <alignment vertical="center"/>
    </xf>
    <xf numFmtId="0" fontId="8" fillId="0" borderId="0" xfId="17" quotePrefix="1" applyNumberFormat="1" applyFont="1"/>
    <xf numFmtId="0" fontId="129" fillId="20" borderId="157" xfId="17" applyFont="1" applyFill="1" applyBorder="1" applyAlignment="1" applyProtection="1">
      <alignment horizontal="left" vertical="top" wrapText="1"/>
    </xf>
    <xf numFmtId="49" fontId="129" fillId="20" borderId="157" xfId="17" applyNumberFormat="1" applyFont="1" applyFill="1" applyBorder="1" applyAlignment="1" applyProtection="1">
      <alignment horizontal="center" vertical="top"/>
    </xf>
    <xf numFmtId="0" fontId="129" fillId="20" borderId="157" xfId="17" applyFont="1" applyFill="1" applyBorder="1" applyAlignment="1" applyProtection="1">
      <alignment vertical="top"/>
    </xf>
    <xf numFmtId="38" fontId="129" fillId="20" borderId="157" xfId="17" applyNumberFormat="1" applyFont="1" applyFill="1" applyBorder="1" applyAlignment="1" applyProtection="1">
      <alignment horizontal="right" vertical="top"/>
    </xf>
    <xf numFmtId="38" fontId="129" fillId="20" borderId="157" xfId="17" applyNumberFormat="1" applyFont="1" applyFill="1" applyBorder="1" applyAlignment="1" applyProtection="1">
      <alignment vertical="top"/>
    </xf>
    <xf numFmtId="0" fontId="9" fillId="0" borderId="157" xfId="17" applyBorder="1" applyAlignment="1" applyProtection="1">
      <alignment horizontal="left" vertical="top" wrapText="1"/>
      <protection locked="0"/>
    </xf>
    <xf numFmtId="0" fontId="9" fillId="0" borderId="157" xfId="17" applyBorder="1" applyAlignment="1" applyProtection="1">
      <alignment vertical="top"/>
      <protection locked="0"/>
    </xf>
    <xf numFmtId="0" fontId="8" fillId="0" borderId="157" xfId="17" applyFont="1" applyBorder="1" applyAlignment="1" applyProtection="1">
      <alignment horizontal="left" vertical="top" wrapText="1"/>
      <protection locked="0"/>
    </xf>
    <xf numFmtId="0" fontId="8" fillId="0" borderId="157"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8" xfId="17" applyFont="1" applyBorder="1" applyAlignment="1">
      <alignment horizontal="left" vertical="top"/>
    </xf>
    <xf numFmtId="0" fontId="129" fillId="0" borderId="78" xfId="17" applyFont="1" applyBorder="1" applyAlignment="1">
      <alignment horizontal="left" vertical="top"/>
    </xf>
    <xf numFmtId="0" fontId="129" fillId="0" borderId="99" xfId="17" applyFont="1" applyBorder="1" applyAlignment="1">
      <alignment horizontal="left" vertical="top"/>
    </xf>
    <xf numFmtId="0" fontId="35" fillId="0" borderId="0" xfId="2" applyNumberFormat="1" applyAlignment="1" applyProtection="1">
      <alignment vertical="center"/>
    </xf>
    <xf numFmtId="0" fontId="66" fillId="0" borderId="5" xfId="3" applyFont="1" applyFill="1" applyBorder="1" applyAlignment="1" applyProtection="1"/>
    <xf numFmtId="49" fontId="9" fillId="0" borderId="157" xfId="17" applyNumberFormat="1" applyBorder="1" applyAlignment="1" applyProtection="1">
      <alignment horizontal="center" vertical="center"/>
      <protection locked="0"/>
    </xf>
    <xf numFmtId="49" fontId="7" fillId="0" borderId="157"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7"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7"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7" xfId="17" applyNumberFormat="1" applyFill="1" applyBorder="1" applyAlignment="1" applyProtection="1">
      <alignment vertical="top"/>
    </xf>
    <xf numFmtId="38" fontId="9" fillId="16" borderId="158" xfId="17" applyNumberFormat="1" applyFill="1" applyBorder="1" applyAlignment="1" applyProtection="1">
      <alignment horizontal="right" vertical="top"/>
    </xf>
    <xf numFmtId="38" fontId="9" fillId="16" borderId="158" xfId="17" applyNumberFormat="1" applyFill="1" applyBorder="1" applyAlignment="1" applyProtection="1">
      <alignment vertical="top"/>
    </xf>
    <xf numFmtId="0" fontId="9" fillId="16" borderId="158" xfId="17" applyFill="1" applyBorder="1" applyAlignment="1" applyProtection="1">
      <alignment horizontal="left" vertical="top" wrapText="1"/>
    </xf>
    <xf numFmtId="49" fontId="9" fillId="16" borderId="158" xfId="17" applyNumberFormat="1" applyFill="1" applyBorder="1" applyAlignment="1" applyProtection="1">
      <alignment vertical="top"/>
    </xf>
    <xf numFmtId="0" fontId="9" fillId="16" borderId="158" xfId="17" applyFill="1" applyBorder="1" applyAlignment="1" applyProtection="1">
      <alignment vertical="top"/>
    </xf>
    <xf numFmtId="0" fontId="57" fillId="16" borderId="126" xfId="0" applyFont="1" applyFill="1" applyBorder="1"/>
    <xf numFmtId="37" fontId="57" fillId="16" borderId="126" xfId="0" applyNumberFormat="1" applyFont="1" applyFill="1" applyBorder="1"/>
    <xf numFmtId="37" fontId="57" fillId="16" borderId="128"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5"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7"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6"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7"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1"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7"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3" borderId="0" xfId="18" applyFont="1" applyFill="1" applyAlignment="1">
      <alignment horizontal="centerContinuous" vertical="center"/>
    </xf>
    <xf numFmtId="0" fontId="102" fillId="23" borderId="0" xfId="18" applyFont="1" applyFill="1" applyAlignment="1">
      <alignment horizontal="centerContinuous"/>
    </xf>
    <xf numFmtId="0" fontId="90" fillId="0" borderId="137"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2"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4"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9" xfId="18" applyFont="1" applyBorder="1" applyAlignment="1">
      <alignment horizontal="left" vertical="center" wrapText="1"/>
    </xf>
    <xf numFmtId="0" fontId="106" fillId="0" borderId="160"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2" xfId="18" applyFont="1" applyFill="1" applyBorder="1" applyAlignment="1">
      <alignment horizontal="left" vertical="center" wrapText="1"/>
    </xf>
    <xf numFmtId="49" fontId="135" fillId="0" borderId="105" xfId="18" applyNumberFormat="1" applyFont="1" applyBorder="1" applyAlignment="1" applyProtection="1">
      <alignment horizontal="center" vertical="center"/>
      <protection locked="0"/>
    </xf>
    <xf numFmtId="49" fontId="135"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5" fillId="0" borderId="107"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40" xfId="18" applyFont="1" applyBorder="1" applyAlignment="1">
      <alignment vertical="top"/>
    </xf>
    <xf numFmtId="0" fontId="50" fillId="0" borderId="141" xfId="18" applyFont="1" applyBorder="1" applyAlignment="1">
      <alignment vertical="top"/>
    </xf>
    <xf numFmtId="0" fontId="51" fillId="15" borderId="76" xfId="18" applyFont="1" applyFill="1" applyBorder="1" applyAlignment="1">
      <alignment vertical="top"/>
    </xf>
    <xf numFmtId="0" fontId="50" fillId="0" borderId="140" xfId="18" applyFont="1" applyBorder="1" applyAlignment="1">
      <alignment vertical="top" wrapText="1"/>
    </xf>
    <xf numFmtId="0" fontId="50" fillId="0" borderId="141"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3" borderId="0" xfId="18" applyFont="1" applyFill="1" applyAlignment="1">
      <alignment horizontal="centerContinuous" vertical="center"/>
    </xf>
    <xf numFmtId="0" fontId="106" fillId="23" borderId="138" xfId="18" applyFont="1" applyFill="1" applyBorder="1" applyAlignment="1">
      <alignment horizontal="center" vertical="center" wrapText="1"/>
    </xf>
    <xf numFmtId="0" fontId="106" fillId="23" borderId="163" xfId="18" applyFont="1" applyFill="1" applyBorder="1" applyAlignment="1">
      <alignment horizontal="center" vertical="center" wrapText="1"/>
    </xf>
    <xf numFmtId="0" fontId="106" fillId="17" borderId="139"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9" xfId="18" applyFont="1" applyFill="1" applyBorder="1" applyAlignment="1" applyProtection="1">
      <alignment horizontal="right"/>
    </xf>
    <xf numFmtId="0" fontId="67" fillId="23"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7"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7"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7" xfId="17" applyNumberFormat="1" applyFont="1" applyFill="1" applyBorder="1" applyAlignment="1" applyProtection="1">
      <alignment horizontal="right" vertical="top"/>
    </xf>
    <xf numFmtId="38" fontId="5" fillId="16" borderId="158" xfId="17" applyNumberFormat="1" applyFont="1" applyFill="1" applyBorder="1" applyAlignment="1" applyProtection="1">
      <alignment horizontal="right" vertical="top"/>
    </xf>
    <xf numFmtId="49" fontId="5" fillId="0" borderId="157" xfId="17" applyNumberFormat="1" applyFont="1" applyBorder="1" applyAlignment="1" applyProtection="1">
      <alignment horizontal="center" vertical="center"/>
      <protection locked="0"/>
    </xf>
    <xf numFmtId="0" fontId="59" fillId="0" borderId="77" xfId="3" applyNumberFormat="1" applyFont="1" applyBorder="1" applyAlignment="1" applyProtection="1">
      <alignment horizontal="center"/>
      <protection locked="0"/>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3" fillId="0" borderId="157" xfId="17" applyFont="1" applyBorder="1" applyAlignment="1" applyProtection="1">
      <alignment horizontal="left" vertical="top" wrapText="1"/>
      <protection locked="0"/>
    </xf>
    <xf numFmtId="0" fontId="2" fillId="0" borderId="157" xfId="17" applyFont="1" applyBorder="1" applyAlignment="1" applyProtection="1">
      <alignment horizontal="left" vertical="top" wrapText="1"/>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center"/>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8" xfId="12" applyFont="1" applyBorder="1" applyAlignment="1" applyProtection="1">
      <alignment horizontal="center" vertical="center" wrapText="1"/>
    </xf>
    <xf numFmtId="0" fontId="137" fillId="0" borderId="126"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9" xfId="12" applyNumberFormat="1"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6" xfId="12"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8"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5" xfId="12" applyNumberFormat="1" applyFont="1" applyBorder="1" applyAlignment="1" applyProtection="1">
      <alignment horizontal="left" vertical="center" indent="1"/>
      <protection locked="0"/>
    </xf>
    <xf numFmtId="0" fontId="15" fillId="0" borderId="128"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180" fontId="15" fillId="0" borderId="128"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7" fillId="0" borderId="128"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6" fillId="0" borderId="134"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57" fillId="0" borderId="128"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6" xfId="0" applyFont="1" applyFill="1" applyBorder="1" applyAlignment="1" applyProtection="1">
      <alignment horizontal="center" vertical="center" wrapText="1"/>
    </xf>
    <xf numFmtId="3" fontId="66" fillId="23" borderId="13" xfId="0" applyNumberFormat="1" applyFont="1" applyFill="1" applyBorder="1" applyAlignment="1" applyProtection="1">
      <alignment horizontal="left" vertical="center"/>
    </xf>
    <xf numFmtId="3" fontId="66" fillId="23" borderId="14" xfId="0" applyNumberFormat="1" applyFont="1" applyFill="1" applyBorder="1" applyAlignment="1" applyProtection="1">
      <alignment horizontal="left" vertical="center"/>
    </xf>
    <xf numFmtId="164" fontId="66" fillId="23" borderId="49" xfId="0" applyNumberFormat="1" applyFont="1" applyFill="1" applyBorder="1" applyAlignment="1" applyProtection="1">
      <alignment horizontal="left" vertical="center"/>
    </xf>
    <xf numFmtId="164" fontId="66" fillId="23" borderId="31" xfId="0" applyNumberFormat="1" applyFont="1" applyFill="1" applyBorder="1" applyAlignment="1" applyProtection="1">
      <alignment horizontal="left" vertical="center"/>
    </xf>
    <xf numFmtId="0" fontId="66" fillId="23" borderId="34" xfId="0" applyFont="1" applyFill="1" applyBorder="1" applyAlignment="1" applyProtection="1">
      <alignment horizontal="left" vertical="center"/>
    </xf>
    <xf numFmtId="0" fontId="66" fillId="23" borderId="31" xfId="0" applyFont="1" applyFill="1" applyBorder="1" applyAlignment="1" applyProtection="1">
      <alignment horizontal="left" vertical="center"/>
    </xf>
    <xf numFmtId="164" fontId="66" fillId="23" borderId="13" xfId="0" applyNumberFormat="1" applyFont="1" applyFill="1" applyBorder="1" applyAlignment="1" applyProtection="1">
      <alignment horizontal="left" vertical="center"/>
    </xf>
    <xf numFmtId="164" fontId="66" fillId="23"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6"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5" borderId="13" xfId="0" applyNumberFormat="1" applyFont="1" applyFill="1" applyBorder="1" applyAlignment="1" applyProtection="1">
      <alignment horizontal="left" vertical="center" wrapText="1" indent="1"/>
    </xf>
    <xf numFmtId="164" fontId="66" fillId="25"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3" borderId="13" xfId="0" applyNumberFormat="1" applyFont="1" applyFill="1" applyBorder="1" applyAlignment="1" applyProtection="1">
      <alignment horizontal="left" vertical="center"/>
    </xf>
    <xf numFmtId="49" fontId="66" fillId="23" borderId="14" xfId="0" applyNumberFormat="1" applyFont="1" applyFill="1" applyBorder="1" applyAlignment="1" applyProtection="1">
      <alignment horizontal="left" vertical="center"/>
    </xf>
    <xf numFmtId="0" fontId="66" fillId="23" borderId="13" xfId="0" applyFont="1" applyFill="1" applyBorder="1" applyAlignment="1" applyProtection="1">
      <alignment vertical="center"/>
    </xf>
    <xf numFmtId="0" fontId="66" fillId="23"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3" borderId="19" xfId="0" applyFont="1" applyFill="1" applyBorder="1" applyAlignment="1">
      <alignment horizontal="center" vertical="center"/>
    </xf>
    <xf numFmtId="0" fontId="59" fillId="23" borderId="11" xfId="0" applyFont="1" applyFill="1" applyBorder="1" applyAlignment="1">
      <alignment horizontal="center" vertical="center"/>
    </xf>
    <xf numFmtId="0" fontId="67" fillId="24" borderId="20" xfId="0" applyFont="1" applyFill="1" applyBorder="1" applyAlignment="1">
      <alignment horizontal="center" vertical="center"/>
    </xf>
    <xf numFmtId="0" fontId="67" fillId="24" borderId="11" xfId="0" applyFont="1" applyFill="1" applyBorder="1" applyAlignment="1">
      <alignment horizontal="center" vertical="center"/>
    </xf>
    <xf numFmtId="0" fontId="59" fillId="24" borderId="11" xfId="0" applyFont="1" applyFill="1" applyBorder="1" applyAlignment="1">
      <alignment horizontal="center" vertical="center"/>
    </xf>
    <xf numFmtId="0" fontId="67" fillId="23" borderId="107" xfId="0" applyFont="1" applyFill="1" applyBorder="1" applyAlignment="1">
      <alignment horizontal="center" vertical="center"/>
    </xf>
    <xf numFmtId="0" fontId="59" fillId="23" borderId="131" xfId="0" applyFont="1" applyFill="1" applyBorder="1" applyAlignment="1">
      <alignment horizontal="center" vertical="center"/>
    </xf>
    <xf numFmtId="0" fontId="67" fillId="23"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3" borderId="20" xfId="0" applyFont="1" applyFill="1" applyBorder="1" applyAlignment="1">
      <alignment horizontal="center" vertical="center" wrapText="1"/>
    </xf>
    <xf numFmtId="0" fontId="59" fillId="23" borderId="11" xfId="0" applyFont="1" applyFill="1" applyBorder="1" applyAlignment="1">
      <alignment horizontal="center" vertical="center" wrapText="1"/>
    </xf>
    <xf numFmtId="3" fontId="67" fillId="23" borderId="13" xfId="0" applyNumberFormat="1" applyFont="1" applyFill="1" applyBorder="1" applyAlignment="1">
      <alignment horizontal="center" vertical="center"/>
    </xf>
    <xf numFmtId="0" fontId="59" fillId="23" borderId="14" xfId="0" applyFont="1" applyFill="1" applyBorder="1" applyAlignment="1">
      <alignment horizontal="center" vertical="center"/>
    </xf>
    <xf numFmtId="0" fontId="67" fillId="23"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6"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7" xfId="0" applyFont="1" applyBorder="1" applyAlignment="1" applyProtection="1">
      <alignment horizontal="left" vertical="center" wrapText="1" indent="1"/>
    </xf>
    <xf numFmtId="0" fontId="64" fillId="0" borderId="148"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7"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3" borderId="147" xfId="0" applyFont="1" applyFill="1" applyBorder="1" applyAlignment="1" applyProtection="1">
      <alignment horizontal="left" vertical="center"/>
    </xf>
    <xf numFmtId="0" fontId="66" fillId="3" borderId="148"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3" borderId="146" xfId="0" applyFont="1" applyFill="1" applyBorder="1" applyAlignment="1" applyProtection="1">
      <alignment horizontal="left" vertical="center" indent="1"/>
    </xf>
    <xf numFmtId="0" fontId="67" fillId="23" borderId="147" xfId="0" applyFont="1" applyFill="1" applyBorder="1" applyAlignment="1" applyProtection="1">
      <alignment horizontal="left" vertical="center" indent="1"/>
    </xf>
    <xf numFmtId="0" fontId="67" fillId="23" borderId="148"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3" borderId="92" xfId="10" applyFont="1" applyFill="1" applyBorder="1" applyAlignment="1">
      <alignment horizontal="center" vertical="center" wrapText="1"/>
    </xf>
    <xf numFmtId="0" fontId="67" fillId="23" borderId="25" xfId="0" applyFont="1" applyFill="1" applyBorder="1" applyAlignment="1">
      <alignment horizontal="center" vertical="center" wrapText="1"/>
    </xf>
    <xf numFmtId="0" fontId="67" fillId="23" borderId="93" xfId="0" applyFont="1" applyFill="1" applyBorder="1" applyAlignment="1">
      <alignment horizontal="center" vertical="center" wrapText="1"/>
    </xf>
    <xf numFmtId="0" fontId="132" fillId="23" borderId="94" xfId="10" applyFont="1" applyFill="1" applyBorder="1" applyAlignment="1">
      <alignment horizontal="center" vertical="center"/>
    </xf>
    <xf numFmtId="0" fontId="57" fillId="23" borderId="47" xfId="0" applyFont="1" applyFill="1" applyBorder="1" applyAlignment="1">
      <alignment horizontal="center" vertical="center"/>
    </xf>
    <xf numFmtId="0" fontId="57" fillId="23"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7" applyFont="1" applyBorder="1" applyAlignment="1">
      <alignment horizontal="left" vertical="top" wrapText="1"/>
    </xf>
    <xf numFmtId="0" fontId="129" fillId="0" borderId="0" xfId="17" applyFont="1" applyBorder="1" applyAlignment="1">
      <alignment horizontal="left" vertical="top" wrapText="1"/>
    </xf>
    <xf numFmtId="0" fontId="129" fillId="0" borderId="97" xfId="17" applyFont="1" applyBorder="1" applyAlignment="1">
      <alignment horizontal="left" vertical="top" wrapText="1"/>
    </xf>
    <xf numFmtId="0" fontId="128" fillId="23" borderId="140" xfId="17" applyFont="1" applyFill="1" applyBorder="1" applyAlignment="1">
      <alignment horizontal="center" vertical="center"/>
    </xf>
    <xf numFmtId="0" fontId="128" fillId="23" borderId="141" xfId="17" applyFont="1" applyFill="1" applyBorder="1" applyAlignment="1">
      <alignment horizontal="center" vertical="center"/>
    </xf>
    <xf numFmtId="0" fontId="128" fillId="23" borderId="142" xfId="17" applyFont="1" applyFill="1" applyBorder="1" applyAlignment="1">
      <alignment horizontal="center" vertical="center"/>
    </xf>
    <xf numFmtId="0" fontId="128" fillId="23" borderId="98" xfId="17" applyFont="1" applyFill="1" applyBorder="1" applyAlignment="1">
      <alignment horizontal="center" vertical="center"/>
    </xf>
    <xf numFmtId="0" fontId="128" fillId="23" borderId="78" xfId="17" applyFont="1" applyFill="1" applyBorder="1" applyAlignment="1">
      <alignment horizontal="center" vertical="center"/>
    </xf>
    <xf numFmtId="0" fontId="128" fillId="23" borderId="99" xfId="17" applyFont="1" applyFill="1" applyBorder="1" applyAlignment="1">
      <alignment horizontal="center" vertical="center"/>
    </xf>
    <xf numFmtId="0" fontId="129" fillId="0" borderId="96" xfId="17" applyFont="1" applyBorder="1" applyAlignment="1">
      <alignment vertical="top" wrapText="1"/>
    </xf>
    <xf numFmtId="0" fontId="129" fillId="0" borderId="0" xfId="17" applyFont="1" applyBorder="1" applyAlignment="1">
      <alignment vertical="top" wrapText="1"/>
    </xf>
    <xf numFmtId="0" fontId="129" fillId="0" borderId="97" xfId="17" applyFont="1" applyBorder="1" applyAlignment="1">
      <alignment vertical="top" wrapText="1"/>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51" fillId="0" borderId="141" xfId="18" applyFont="1" applyBorder="1" applyAlignment="1" applyProtection="1">
      <alignment horizontal="center" vertical="top" wrapText="1"/>
      <protection locked="0"/>
    </xf>
    <xf numFmtId="0" fontId="51" fillId="0" borderId="142"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3" borderId="0" xfId="18" applyFont="1" applyFill="1" applyAlignment="1">
      <alignment horizontal="center" vertical="center"/>
    </xf>
    <xf numFmtId="0" fontId="75" fillId="0" borderId="137"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6" fillId="0" borderId="141" xfId="18" applyFont="1" applyBorder="1" applyAlignment="1" applyProtection="1">
      <alignment horizontal="center" vertical="top" wrapText="1"/>
      <protection locked="0"/>
    </xf>
    <xf numFmtId="0" fontId="6" fillId="0" borderId="142" xfId="18" applyFont="1" applyBorder="1" applyAlignment="1" applyProtection="1">
      <alignment horizontal="center"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3" borderId="17" xfId="3" applyNumberFormat="1" applyFont="1" applyFill="1" applyBorder="1" applyAlignment="1">
      <alignment horizontal="left" vertical="top" wrapText="1"/>
    </xf>
    <xf numFmtId="0" fontId="57" fillId="23" borderId="0" xfId="3" applyFont="1" applyFill="1" applyBorder="1" applyAlignment="1">
      <alignment vertical="top"/>
    </xf>
    <xf numFmtId="0" fontId="57" fillId="23"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3" xfId="3" applyFont="1" applyBorder="1" applyAlignment="1">
      <alignment horizontal="center" vertical="center" wrapText="1"/>
    </xf>
    <xf numFmtId="0" fontId="75" fillId="0" borderId="133" xfId="3" applyNumberFormat="1" applyFont="1" applyBorder="1" applyAlignment="1">
      <alignment horizontal="center"/>
    </xf>
    <xf numFmtId="0" fontId="59" fillId="0" borderId="134" xfId="3" applyNumberFormat="1" applyFont="1" applyBorder="1" applyAlignment="1" applyProtection="1">
      <alignment horizontal="center"/>
      <protection locked="0"/>
    </xf>
    <xf numFmtId="171" fontId="59" fillId="0" borderId="134" xfId="3" applyNumberFormat="1" applyFont="1" applyBorder="1" applyAlignment="1" applyProtection="1">
      <alignment horizontal="center"/>
      <protection locked="0"/>
    </xf>
    <xf numFmtId="0" fontId="59" fillId="0" borderId="134"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5" xfId="0" applyFont="1" applyFill="1" applyBorder="1" applyAlignment="1">
      <alignment horizontal="center" vertical="center"/>
    </xf>
    <xf numFmtId="0" fontId="114" fillId="12" borderId="128" xfId="0" applyFont="1" applyFill="1" applyBorder="1" applyAlignment="1">
      <alignment horizontal="center" vertical="center"/>
    </xf>
    <xf numFmtId="0" fontId="114" fillId="12" borderId="153"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5" xfId="0" applyNumberFormat="1" applyFont="1" applyFill="1" applyBorder="1" applyAlignment="1">
      <alignment horizontal="center" vertical="top"/>
    </xf>
    <xf numFmtId="164" fontId="115" fillId="12" borderId="128" xfId="0" applyNumberFormat="1" applyFont="1" applyFill="1" applyBorder="1" applyAlignment="1">
      <alignment horizontal="center" vertical="top"/>
    </xf>
    <xf numFmtId="164" fontId="115" fillId="12" borderId="153"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8" xfId="0" applyNumberFormat="1" applyFont="1" applyBorder="1" applyAlignment="1">
      <alignment horizontal="left" vertical="center" wrapText="1"/>
    </xf>
    <xf numFmtId="0" fontId="59" fillId="0" borderId="126"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6" xfId="3" applyNumberFormat="1" applyFont="1" applyBorder="1" applyProtection="1"/>
    <xf numFmtId="0" fontId="57" fillId="0" borderId="147"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7" xfId="3" applyNumberFormat="1"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67" fillId="0" borderId="148" xfId="3" applyFont="1" applyBorder="1" applyAlignment="1" applyProtection="1">
      <alignment horizontal="left" indent="1"/>
      <protection locked="0"/>
    </xf>
    <xf numFmtId="0" fontId="59" fillId="0" borderId="0" xfId="3" applyFont="1" applyAlignment="1">
      <alignment horizontal="center" vertical="center"/>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9" xfId="3" applyNumberFormat="1" applyFont="1" applyBorder="1" applyAlignment="1" applyProtection="1">
      <protection locked="0"/>
    </xf>
    <xf numFmtId="0" fontId="67" fillId="0" borderId="150" xfId="3" applyFont="1" applyBorder="1" applyAlignment="1" applyProtection="1">
      <protection locked="0"/>
    </xf>
    <xf numFmtId="0" fontId="64" fillId="0" borderId="0" xfId="3" applyFont="1" applyBorder="1" applyAlignment="1" applyProtection="1">
      <alignment horizontal="left" vertical="top" wrapText="1"/>
    </xf>
    <xf numFmtId="0" fontId="64" fillId="0" borderId="149"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50"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9" xfId="3" applyFont="1" applyBorder="1" applyAlignment="1" applyProtection="1">
      <alignment horizontal="center"/>
    </xf>
    <xf numFmtId="0" fontId="64" fillId="0" borderId="76" xfId="3" applyFont="1" applyBorder="1" applyAlignment="1" applyProtection="1">
      <alignment horizontal="center"/>
    </xf>
    <xf numFmtId="0" fontId="64" fillId="0" borderId="150" xfId="3" applyFont="1" applyBorder="1" applyAlignment="1" applyProtection="1">
      <alignment horizontal="center"/>
    </xf>
    <xf numFmtId="38" fontId="64" fillId="0" borderId="149"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50" xfId="3" applyNumberFormat="1" applyFont="1" applyBorder="1" applyAlignment="1" applyProtection="1">
      <alignment horizontal="right" vertical="center"/>
      <protection locked="0"/>
    </xf>
    <xf numFmtId="0" fontId="66" fillId="0" borderId="149"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50"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9" xfId="3" applyNumberFormat="1" applyFont="1" applyBorder="1" applyProtection="1">
      <protection locked="0"/>
    </xf>
    <xf numFmtId="6" fontId="64" fillId="0" borderId="150"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4"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xf numFmtId="0" fontId="12" fillId="0" borderId="0" xfId="0" applyFont="1" applyAlignment="1">
      <alignment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23</xdr:col>
          <xdr:colOff>0</xdr:colOff>
          <xdr:row>25</xdr:row>
          <xdr:rowOff>0</xdr:rowOff>
        </xdr:from>
        <xdr:to>
          <xdr:col>30</xdr:col>
          <xdr:colOff>304800</xdr:colOff>
          <xdr:row>62</xdr:row>
          <xdr:rowOff>123825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4</xdr:row>
          <xdr:rowOff>10391</xdr:rowOff>
        </xdr:from>
        <xdr:to>
          <xdr:col>1</xdr:col>
          <xdr:colOff>1016577</xdr:colOff>
          <xdr:row>9</xdr:row>
          <xdr:rowOff>99580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topLeftCell="A4"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3" t="s">
        <v>405</v>
      </c>
      <c r="J1" s="1984"/>
      <c r="K1" s="1984"/>
      <c r="L1" s="1984"/>
      <c r="M1" s="1984"/>
      <c r="N1" s="1984"/>
      <c r="O1" s="1984"/>
      <c r="P1" s="1984"/>
      <c r="Q1" s="1984"/>
      <c r="R1" s="1984"/>
      <c r="S1" s="1984"/>
    </row>
    <row r="2" spans="1:28" ht="12" customHeight="1" x14ac:dyDescent="0.2">
      <c r="A2" s="47" t="s">
        <v>1993</v>
      </c>
      <c r="D2" s="48"/>
      <c r="I2" s="1985" t="s">
        <v>979</v>
      </c>
      <c r="J2" s="1984"/>
      <c r="K2" s="1984"/>
      <c r="L2" s="1984"/>
      <c r="M2" s="1984"/>
      <c r="N2" s="1984"/>
      <c r="O2" s="1984"/>
      <c r="P2" s="1984"/>
      <c r="Q2" s="1984"/>
      <c r="R2" s="1984"/>
      <c r="S2" s="1984"/>
    </row>
    <row r="3" spans="1:28" ht="12" customHeight="1" x14ac:dyDescent="0.2">
      <c r="A3" s="155" t="s">
        <v>1945</v>
      </c>
      <c r="B3" s="156"/>
      <c r="C3" s="156"/>
      <c r="D3" s="157"/>
      <c r="I3" s="1985" t="s">
        <v>52</v>
      </c>
      <c r="J3" s="1984"/>
      <c r="K3" s="1984"/>
      <c r="L3" s="1984"/>
      <c r="M3" s="1984"/>
      <c r="N3" s="1984"/>
      <c r="O3" s="1984"/>
      <c r="P3" s="1984"/>
      <c r="Q3" s="1984"/>
      <c r="R3" s="1984"/>
      <c r="S3" s="1984"/>
    </row>
    <row r="4" spans="1:28" ht="12" customHeight="1" x14ac:dyDescent="0.2">
      <c r="A4" s="37"/>
      <c r="I4" s="1985" t="s">
        <v>524</v>
      </c>
      <c r="J4" s="1984"/>
      <c r="K4" s="1984"/>
      <c r="L4" s="1984"/>
      <c r="M4" s="1984"/>
      <c r="N4" s="1984"/>
      <c r="O4" s="1984"/>
      <c r="P4" s="1984"/>
      <c r="Q4" s="1984"/>
      <c r="R4" s="1984"/>
      <c r="S4" s="1984"/>
    </row>
    <row r="5" spans="1:28" ht="14.25" customHeight="1" x14ac:dyDescent="0.2">
      <c r="B5" s="104" t="s">
        <v>2064</v>
      </c>
      <c r="C5" s="26" t="s">
        <v>910</v>
      </c>
      <c r="D5" s="84"/>
      <c r="E5" s="84"/>
      <c r="H5" s="38"/>
      <c r="I5" s="1993" t="s">
        <v>680</v>
      </c>
      <c r="J5" s="1992"/>
      <c r="K5" s="1992"/>
      <c r="L5" s="1992"/>
      <c r="M5" s="1992"/>
      <c r="N5" s="1992"/>
      <c r="O5" s="1992"/>
      <c r="P5" s="1992"/>
      <c r="Q5" s="1992"/>
      <c r="R5" s="1992"/>
      <c r="S5" s="1992"/>
    </row>
    <row r="6" spans="1:28" ht="14.25" customHeight="1" x14ac:dyDescent="0.2">
      <c r="B6" s="104"/>
      <c r="C6" s="26" t="s">
        <v>911</v>
      </c>
      <c r="D6" s="84"/>
      <c r="E6" s="84"/>
      <c r="I6" s="1991" t="s">
        <v>883</v>
      </c>
      <c r="J6" s="1992"/>
      <c r="K6" s="1992"/>
      <c r="L6" s="1992"/>
      <c r="M6" s="1992"/>
      <c r="N6" s="1992"/>
      <c r="O6" s="1992"/>
      <c r="P6" s="1992"/>
      <c r="Q6" s="1992"/>
      <c r="R6" s="1992"/>
      <c r="S6" s="1992"/>
    </row>
    <row r="7" spans="1:28" ht="12.4" customHeight="1" x14ac:dyDescent="0.2">
      <c r="I7" s="1986">
        <v>43646</v>
      </c>
      <c r="J7" s="1987"/>
      <c r="K7" s="1987"/>
      <c r="L7" s="1987"/>
      <c r="M7" s="1987"/>
      <c r="N7" s="1987"/>
      <c r="O7" s="1987"/>
      <c r="P7" s="1987"/>
      <c r="Q7" s="1987"/>
      <c r="R7" s="1987"/>
      <c r="S7" s="198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25" customHeight="1" x14ac:dyDescent="0.2">
      <c r="A9" s="68"/>
      <c r="B9" s="45"/>
      <c r="C9" s="45"/>
      <c r="D9" s="45"/>
      <c r="E9" s="45"/>
      <c r="F9" s="45"/>
      <c r="G9" s="45"/>
      <c r="H9" s="46"/>
      <c r="I9" s="1988" t="s">
        <v>674</v>
      </c>
      <c r="J9" s="1989"/>
      <c r="K9" s="1989"/>
      <c r="L9" s="1989"/>
      <c r="M9" s="1989"/>
      <c r="N9" s="1989"/>
      <c r="O9" s="1989"/>
      <c r="P9" s="1989"/>
      <c r="Q9" s="1989"/>
      <c r="R9" s="1989"/>
      <c r="S9" s="1990"/>
      <c r="T9" s="2004" t="s">
        <v>533</v>
      </c>
      <c r="U9" s="2005"/>
      <c r="V9" s="2005"/>
      <c r="W9" s="2005"/>
      <c r="X9" s="2005"/>
      <c r="Y9" s="2005"/>
      <c r="Z9" s="2005"/>
      <c r="AA9" s="2006"/>
    </row>
    <row r="10" spans="1:28" ht="13.5" customHeight="1" x14ac:dyDescent="0.2">
      <c r="A10" s="2011" t="s">
        <v>675</v>
      </c>
      <c r="B10" s="2012"/>
      <c r="C10" s="2012"/>
      <c r="D10" s="2012"/>
      <c r="E10" s="2012"/>
      <c r="F10" s="2012"/>
      <c r="G10" s="2012"/>
      <c r="H10" s="2013"/>
      <c r="I10" s="29"/>
      <c r="J10" s="30"/>
      <c r="K10" s="28"/>
      <c r="R10" s="30"/>
      <c r="S10" s="30"/>
      <c r="T10" s="2007"/>
      <c r="U10" s="1992"/>
      <c r="V10" s="1992"/>
      <c r="W10" s="1992"/>
      <c r="X10" s="1992"/>
      <c r="Y10" s="1992"/>
      <c r="Z10" s="1992"/>
      <c r="AA10" s="1998"/>
    </row>
    <row r="11" spans="1:28" ht="14.25" customHeight="1" x14ac:dyDescent="0.2">
      <c r="A11" s="2014" t="s">
        <v>955</v>
      </c>
      <c r="B11" s="2015"/>
      <c r="C11" s="2015"/>
      <c r="D11" s="2015"/>
      <c r="E11" s="2015"/>
      <c r="F11" s="2015"/>
      <c r="G11" s="2015"/>
      <c r="H11" s="2016"/>
      <c r="I11" s="27"/>
      <c r="J11" s="74"/>
      <c r="K11" s="27"/>
      <c r="O11" s="148" t="s">
        <v>2064</v>
      </c>
      <c r="P11" s="100" t="s">
        <v>201</v>
      </c>
      <c r="Q11" s="30"/>
      <c r="R11" s="28"/>
      <c r="S11" s="27"/>
      <c r="T11" s="2008"/>
      <c r="U11" s="2009"/>
      <c r="V11" s="2009"/>
      <c r="W11" s="2009"/>
      <c r="X11" s="2009"/>
      <c r="Y11" s="2009"/>
      <c r="Z11" s="2009"/>
      <c r="AA11" s="2010"/>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8" t="s">
        <v>2135</v>
      </c>
      <c r="B13" s="2019"/>
      <c r="C13" s="2019"/>
      <c r="D13" s="2019"/>
      <c r="E13" s="2019"/>
      <c r="F13" s="2019"/>
      <c r="G13" s="2019"/>
      <c r="H13" s="2020"/>
      <c r="I13" s="31"/>
      <c r="J13" s="30"/>
      <c r="K13" s="28"/>
      <c r="L13" s="30"/>
      <c r="M13" s="30"/>
      <c r="N13" s="30"/>
      <c r="O13" s="30"/>
      <c r="P13" s="30"/>
      <c r="Q13" s="30"/>
      <c r="R13" s="30"/>
      <c r="S13" s="30"/>
      <c r="T13" s="2023" t="s">
        <v>2071</v>
      </c>
      <c r="U13" s="2024"/>
      <c r="V13" s="2024"/>
      <c r="W13" s="2024"/>
      <c r="X13" s="2024"/>
      <c r="Y13" s="2025"/>
      <c r="Z13" s="2025"/>
      <c r="AA13" s="2026"/>
    </row>
    <row r="14" spans="1:28" ht="14.25"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7" t="s">
        <v>2065</v>
      </c>
      <c r="B15" s="2021"/>
      <c r="C15" s="2021"/>
      <c r="D15" s="2021"/>
      <c r="E15" s="2021"/>
      <c r="F15" s="2021"/>
      <c r="G15" s="2021"/>
      <c r="H15" s="2022"/>
      <c r="T15" s="2027" t="s">
        <v>2072</v>
      </c>
      <c r="U15" s="1971"/>
      <c r="V15" s="1971"/>
      <c r="W15" s="1971"/>
      <c r="X15" s="1971"/>
      <c r="Y15" s="2028"/>
      <c r="Z15" s="2028"/>
      <c r="AA15" s="202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7" t="s">
        <v>2134</v>
      </c>
      <c r="B17" s="1978"/>
      <c r="C17" s="1978"/>
      <c r="D17" s="1978"/>
      <c r="E17" s="1978"/>
      <c r="F17" s="1978"/>
      <c r="G17" s="1978"/>
      <c r="H17" s="2003"/>
      <c r="T17" s="2034" t="s">
        <v>2073</v>
      </c>
      <c r="U17" s="2035"/>
      <c r="V17" s="2035"/>
      <c r="W17" s="2035"/>
      <c r="X17" s="2035"/>
      <c r="Y17" s="2035"/>
      <c r="Z17" s="2035"/>
      <c r="AA17" s="2036"/>
    </row>
    <row r="18" spans="1:27" ht="13.5" customHeight="1" x14ac:dyDescent="0.2">
      <c r="A18" s="85" t="s">
        <v>530</v>
      </c>
      <c r="B18" s="76"/>
      <c r="C18" s="72"/>
      <c r="D18" s="76"/>
      <c r="E18" s="76"/>
      <c r="F18" s="76"/>
      <c r="G18" s="76"/>
      <c r="H18" s="56"/>
      <c r="I18" s="2002" t="s">
        <v>676</v>
      </c>
      <c r="J18" s="1953"/>
      <c r="K18" s="1953"/>
      <c r="L18" s="1953"/>
      <c r="M18" s="1953"/>
      <c r="N18" s="1953"/>
      <c r="O18" s="1953"/>
      <c r="P18" s="1953"/>
      <c r="Q18" s="1953"/>
      <c r="R18" s="1953"/>
      <c r="S18" s="1954"/>
      <c r="T18" s="85" t="s">
        <v>711</v>
      </c>
      <c r="U18" s="51"/>
      <c r="V18" s="72"/>
      <c r="W18" s="50"/>
      <c r="X18" s="85" t="s">
        <v>266</v>
      </c>
      <c r="Y18" s="81"/>
      <c r="Z18" s="159" t="s">
        <v>677</v>
      </c>
      <c r="AA18" s="46"/>
    </row>
    <row r="19" spans="1:27" ht="13.5" customHeight="1" x14ac:dyDescent="0.2">
      <c r="A19" s="2017" t="s">
        <v>2066</v>
      </c>
      <c r="B19" s="1963"/>
      <c r="C19" s="1963"/>
      <c r="D19" s="1963"/>
      <c r="E19" s="1963"/>
      <c r="F19" s="1963"/>
      <c r="G19" s="1963"/>
      <c r="H19" s="1943"/>
      <c r="I19" s="30"/>
      <c r="J19" s="99"/>
      <c r="K19" s="40"/>
      <c r="L19" s="38"/>
      <c r="M19" s="112" t="s">
        <v>315</v>
      </c>
      <c r="P19" s="27"/>
      <c r="Q19" s="27"/>
      <c r="R19" s="27"/>
      <c r="S19" s="31"/>
      <c r="T19" s="2017" t="s">
        <v>2074</v>
      </c>
      <c r="U19" s="1942"/>
      <c r="V19" s="1942"/>
      <c r="W19" s="1943"/>
      <c r="X19" s="2032" t="s">
        <v>2075</v>
      </c>
      <c r="Y19" s="2033"/>
      <c r="Z19" s="2030">
        <v>62522</v>
      </c>
      <c r="AA19" s="203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1" t="s">
        <v>2067</v>
      </c>
      <c r="B21" s="1942"/>
      <c r="C21" s="1942"/>
      <c r="D21" s="1942"/>
      <c r="E21" s="1942"/>
      <c r="F21" s="1942"/>
      <c r="G21" s="1942"/>
      <c r="H21" s="1943"/>
      <c r="I21" s="1997" t="s">
        <v>678</v>
      </c>
      <c r="J21" s="1992"/>
      <c r="K21" s="1992"/>
      <c r="L21" s="1992"/>
      <c r="M21" s="1992"/>
      <c r="N21" s="1992"/>
      <c r="O21" s="1992"/>
      <c r="P21" s="1992"/>
      <c r="Q21" s="1992"/>
      <c r="R21" s="1992"/>
      <c r="S21" s="1998"/>
      <c r="T21" s="2041" t="s">
        <v>2076</v>
      </c>
      <c r="U21" s="2042"/>
      <c r="V21" s="2042"/>
      <c r="W21" s="2042"/>
      <c r="X21" s="2047" t="s">
        <v>2077</v>
      </c>
      <c r="Y21" s="2048"/>
      <c r="Z21" s="2048"/>
      <c r="AA21" s="2049"/>
    </row>
    <row r="22" spans="1:27" ht="13.5" customHeight="1" x14ac:dyDescent="0.2">
      <c r="A22" s="87" t="s">
        <v>531</v>
      </c>
      <c r="B22" s="59"/>
      <c r="C22" s="59"/>
      <c r="D22" s="59"/>
      <c r="E22" s="59"/>
      <c r="F22" s="59"/>
      <c r="G22" s="59"/>
      <c r="H22" s="60"/>
      <c r="I22" s="1999" t="s">
        <v>1429</v>
      </c>
      <c r="J22" s="2000"/>
      <c r="K22" s="2000"/>
      <c r="L22" s="2000"/>
      <c r="M22" s="2000"/>
      <c r="N22" s="2000"/>
      <c r="O22" s="2000"/>
      <c r="P22" s="2000"/>
      <c r="Q22" s="2000"/>
      <c r="R22" s="2000"/>
      <c r="S22" s="2001"/>
      <c r="T22" s="85" t="s">
        <v>1516</v>
      </c>
      <c r="U22" s="51"/>
      <c r="V22" s="72"/>
      <c r="W22" s="51"/>
      <c r="X22" s="160" t="s">
        <v>1318</v>
      </c>
      <c r="Z22" s="45"/>
      <c r="AA22" s="46"/>
    </row>
    <row r="23" spans="1:27" ht="13.5" customHeight="1" x14ac:dyDescent="0.2">
      <c r="A23" s="1994" t="s">
        <v>2068</v>
      </c>
      <c r="B23" s="1995"/>
      <c r="C23" s="1995"/>
      <c r="D23" s="1995"/>
      <c r="E23" s="1995"/>
      <c r="F23" s="1995"/>
      <c r="G23" s="1995"/>
      <c r="H23" s="1996"/>
      <c r="T23" s="1977" t="s">
        <v>2078</v>
      </c>
      <c r="U23" s="2040"/>
      <c r="V23" s="2040"/>
      <c r="W23" s="2040"/>
      <c r="X23" s="2044">
        <v>44530</v>
      </c>
      <c r="Y23" s="2045"/>
      <c r="Z23" s="2045"/>
      <c r="AA23" s="2046"/>
    </row>
    <row r="24" spans="1:27" ht="14.25" customHeight="1" x14ac:dyDescent="0.2">
      <c r="A24" s="88" t="s">
        <v>677</v>
      </c>
      <c r="B24" s="49"/>
      <c r="C24" s="49"/>
      <c r="D24" s="49"/>
      <c r="E24" s="49"/>
      <c r="F24" s="49"/>
      <c r="G24" s="49"/>
      <c r="H24" s="61"/>
      <c r="J24" s="1964">
        <f>IF(B5="x",IF(AUDITCHECK!D29="AFR form Incomplete.","",IF(AUDITCHECK!D29="Deficit reduction plan is required.","School District must complete a deficit reduction plan in the 2019-2020 Budget",)),"")</f>
        <v>0</v>
      </c>
      <c r="K24" s="1964"/>
      <c r="L24" s="1964"/>
      <c r="M24" s="1964"/>
      <c r="N24" s="1964"/>
      <c r="O24" s="1964"/>
      <c r="P24" s="1964"/>
      <c r="Q24" s="1964"/>
      <c r="R24" s="1964"/>
      <c r="S24" s="1965"/>
      <c r="T24" s="105" t="s">
        <v>531</v>
      </c>
      <c r="U24" s="106"/>
      <c r="V24" s="106"/>
      <c r="W24" s="106"/>
      <c r="X24" s="107"/>
      <c r="Y24" s="107"/>
      <c r="Z24" s="107"/>
      <c r="AA24" s="108"/>
    </row>
    <row r="25" spans="1:27" ht="14.25" customHeight="1" x14ac:dyDescent="0.2">
      <c r="A25" s="1941">
        <v>62422</v>
      </c>
      <c r="B25" s="1942"/>
      <c r="C25" s="1942"/>
      <c r="D25" s="1942"/>
      <c r="E25" s="1942"/>
      <c r="F25" s="1942"/>
      <c r="G25" s="1942"/>
      <c r="H25" s="1943"/>
      <c r="I25" s="113"/>
      <c r="J25" s="1966"/>
      <c r="K25" s="1966"/>
      <c r="L25" s="1966"/>
      <c r="M25" s="1966"/>
      <c r="N25" s="1966"/>
      <c r="O25" s="1966"/>
      <c r="P25" s="1966"/>
      <c r="Q25" s="1966"/>
      <c r="R25" s="1966"/>
      <c r="S25" s="1967"/>
      <c r="T25" s="2037" t="s">
        <v>2079</v>
      </c>
      <c r="U25" s="2038"/>
      <c r="V25" s="2038"/>
      <c r="W25" s="2038"/>
      <c r="X25" s="2038"/>
      <c r="Y25" s="2038"/>
      <c r="Z25" s="2038"/>
      <c r="AA25" s="203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25" customHeight="1" x14ac:dyDescent="0.2">
      <c r="A27" s="151"/>
      <c r="B27" s="119"/>
      <c r="C27" s="125" t="s">
        <v>1162</v>
      </c>
      <c r="D27" s="119"/>
      <c r="E27" s="119"/>
      <c r="I27" s="1952" t="s">
        <v>1511</v>
      </c>
      <c r="J27" s="1953"/>
      <c r="K27" s="1953"/>
      <c r="L27" s="1953"/>
      <c r="M27" s="1953"/>
      <c r="N27" s="1953"/>
      <c r="O27" s="1953"/>
      <c r="P27" s="1953"/>
      <c r="Q27" s="1953"/>
      <c r="R27" s="1953"/>
      <c r="S27" s="1954"/>
      <c r="T27" s="130"/>
      <c r="U27" s="131"/>
      <c r="V27" s="131"/>
      <c r="W27" s="131"/>
      <c r="X27" s="131"/>
      <c r="Y27" s="131"/>
      <c r="Z27" s="131"/>
      <c r="AA27" s="132"/>
    </row>
    <row r="28" spans="1:27" ht="14.25"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25"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3"/>
      <c r="Q35" s="1942"/>
      <c r="R35" s="194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7" t="s">
        <v>2069</v>
      </c>
      <c r="B38" s="1978"/>
      <c r="C38" s="1978"/>
      <c r="D38" s="1978"/>
      <c r="E38" s="1978"/>
      <c r="F38" s="1942"/>
      <c r="G38" s="1942"/>
      <c r="H38" s="1943"/>
      <c r="I38" s="1970"/>
      <c r="J38" s="1971"/>
      <c r="K38" s="1971"/>
      <c r="L38" s="1971"/>
      <c r="M38" s="1971"/>
      <c r="N38" s="1971"/>
      <c r="O38" s="1971"/>
      <c r="P38" s="1972"/>
      <c r="Q38" s="1972"/>
      <c r="R38" s="1972"/>
      <c r="S38" s="1973"/>
      <c r="T38" s="2027"/>
      <c r="U38" s="1971"/>
      <c r="V38" s="1971"/>
      <c r="W38" s="1971"/>
      <c r="X38" s="1972"/>
      <c r="Y38" s="1972"/>
      <c r="Z38" s="1972"/>
      <c r="AA38" s="1973"/>
    </row>
    <row r="39" spans="1:27" ht="12" customHeight="1" x14ac:dyDescent="0.2">
      <c r="A39" s="1947" t="s">
        <v>531</v>
      </c>
      <c r="B39" s="1948"/>
      <c r="C39" s="72"/>
      <c r="D39" s="69"/>
      <c r="E39" s="69"/>
      <c r="F39" s="79"/>
      <c r="G39" s="69"/>
      <c r="H39" s="56"/>
      <c r="I39" s="1947" t="s">
        <v>531</v>
      </c>
      <c r="J39" s="1948"/>
      <c r="K39" s="1948"/>
      <c r="L39" s="1948"/>
      <c r="M39" s="1948"/>
      <c r="N39" s="67"/>
      <c r="O39" s="72"/>
      <c r="P39" s="72"/>
      <c r="Q39" s="78"/>
      <c r="R39" s="72"/>
      <c r="S39" s="56"/>
      <c r="T39" s="72" t="s">
        <v>531</v>
      </c>
      <c r="U39" s="51"/>
      <c r="V39" s="72"/>
      <c r="W39" s="50"/>
      <c r="X39" s="78"/>
      <c r="Y39" s="45"/>
      <c r="Z39" s="45"/>
      <c r="AA39" s="46"/>
    </row>
    <row r="40" spans="1:27" ht="13.5" customHeight="1" x14ac:dyDescent="0.2">
      <c r="A40" s="1955" t="s">
        <v>2068</v>
      </c>
      <c r="B40" s="1956"/>
      <c r="C40" s="1957"/>
      <c r="D40" s="1957"/>
      <c r="E40" s="1957"/>
      <c r="F40" s="1958"/>
      <c r="G40" s="1958"/>
      <c r="H40" s="1959"/>
      <c r="I40" s="1980"/>
      <c r="J40" s="1981"/>
      <c r="K40" s="1981"/>
      <c r="L40" s="1981"/>
      <c r="M40" s="1981"/>
      <c r="N40" s="1981"/>
      <c r="O40" s="1981"/>
      <c r="P40" s="1981"/>
      <c r="Q40" s="1981"/>
      <c r="R40" s="1981"/>
      <c r="S40" s="1982"/>
      <c r="T40" s="1980"/>
      <c r="U40" s="2043"/>
      <c r="V40" s="1981"/>
      <c r="W40" s="1981"/>
      <c r="X40" s="1981"/>
      <c r="Y40" s="1981"/>
      <c r="Z40" s="1981"/>
      <c r="AA40" s="198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9" t="s">
        <v>2070</v>
      </c>
      <c r="B42" s="1961"/>
      <c r="C42" s="1962"/>
      <c r="D42" s="1960" t="s">
        <v>2070</v>
      </c>
      <c r="E42" s="1961"/>
      <c r="F42" s="1961"/>
      <c r="G42" s="1961"/>
      <c r="H42" s="1962"/>
      <c r="I42" s="1944"/>
      <c r="J42" s="1945"/>
      <c r="K42" s="1945"/>
      <c r="L42" s="1945"/>
      <c r="M42" s="1945"/>
      <c r="N42" s="1945"/>
      <c r="O42" s="1946"/>
      <c r="P42" s="1979"/>
      <c r="Q42" s="1945"/>
      <c r="R42" s="1945"/>
      <c r="S42" s="1946"/>
      <c r="T42" s="1944"/>
      <c r="U42" s="1945"/>
      <c r="V42" s="1945"/>
      <c r="W42" s="1946"/>
      <c r="X42" s="1979"/>
      <c r="Y42" s="1945"/>
      <c r="Z42" s="1945"/>
      <c r="AA42" s="1946"/>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4"/>
      <c r="B44" s="1975"/>
      <c r="C44" s="1975"/>
      <c r="D44" s="1975"/>
      <c r="E44" s="1975"/>
      <c r="F44" s="1975"/>
      <c r="G44" s="1975"/>
      <c r="H44" s="1976"/>
      <c r="I44" s="1949"/>
      <c r="J44" s="1950"/>
      <c r="K44" s="1950"/>
      <c r="L44" s="1950"/>
      <c r="M44" s="1950"/>
      <c r="N44" s="1950"/>
      <c r="O44" s="1950"/>
      <c r="P44" s="1950"/>
      <c r="Q44" s="1950"/>
      <c r="R44" s="1950"/>
      <c r="S44" s="1951"/>
      <c r="T44" s="1949"/>
      <c r="U44" s="1968"/>
      <c r="V44" s="1968"/>
      <c r="W44" s="1968"/>
      <c r="X44" s="1968"/>
      <c r="Y44" s="1968"/>
      <c r="Z44" s="1950"/>
      <c r="AA44" s="195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X26" sqref="X26"/>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5" t="s">
        <v>1611</v>
      </c>
    </row>
    <row r="23" spans="1:5" x14ac:dyDescent="0.2">
      <c r="A23" s="168"/>
      <c r="B23" s="162" t="s">
        <v>1857</v>
      </c>
      <c r="D23" s="167" t="s">
        <v>637</v>
      </c>
      <c r="E23" s="1835"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3" t="s">
        <v>1065</v>
      </c>
      <c r="B35" s="2053"/>
      <c r="C35" s="2053"/>
      <c r="D35" s="2053"/>
      <c r="E35" s="205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0" t="s">
        <v>691</v>
      </c>
      <c r="B40" s="2050"/>
      <c r="C40" s="2050"/>
      <c r="D40" s="2050"/>
      <c r="E40" s="2050"/>
    </row>
    <row r="41" spans="1:5" x14ac:dyDescent="0.2">
      <c r="A41" s="2051" t="s">
        <v>1608</v>
      </c>
      <c r="B41" s="2051"/>
      <c r="C41" s="2051"/>
      <c r="D41" s="2051"/>
      <c r="E41" s="2051"/>
    </row>
    <row r="42" spans="1:5" ht="12.75" customHeight="1" x14ac:dyDescent="0.2">
      <c r="A42" s="2052" t="s">
        <v>1022</v>
      </c>
      <c r="B42" s="2052"/>
      <c r="C42" s="2052"/>
      <c r="D42" s="2052"/>
      <c r="E42" s="2052"/>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4" t="s">
        <v>1776</v>
      </c>
    </row>
    <row r="60" spans="1:3" x14ac:dyDescent="0.2">
      <c r="A60" s="196"/>
      <c r="B60" s="1484"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6"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5" t="s">
        <v>1619</v>
      </c>
    </row>
    <row r="72" spans="1:9" ht="9.1999999999999993"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4" customHeight="1" x14ac:dyDescent="0.2">
      <c r="A76" s="189" t="s">
        <v>1621</v>
      </c>
      <c r="B76" s="198" t="s">
        <v>1785</v>
      </c>
    </row>
    <row r="77" spans="1:9" ht="12.4" customHeight="1" x14ac:dyDescent="0.2">
      <c r="A77" s="190"/>
      <c r="B77" s="169" t="s">
        <v>1622</v>
      </c>
      <c r="C77" s="179"/>
      <c r="D77" s="180"/>
      <c r="E77" s="181"/>
      <c r="F77" s="181"/>
      <c r="G77" s="181"/>
      <c r="H77" s="181"/>
      <c r="I77" s="181"/>
    </row>
    <row r="78" spans="1:9" ht="11.45" customHeight="1" x14ac:dyDescent="0.2">
      <c r="A78" s="190"/>
      <c r="B78" s="190" t="s">
        <v>1787</v>
      </c>
      <c r="C78" s="179"/>
      <c r="D78" s="182"/>
      <c r="E78" s="182"/>
      <c r="F78" s="182"/>
      <c r="G78" s="182"/>
      <c r="H78" s="182"/>
      <c r="I78" s="181"/>
    </row>
    <row r="79" spans="1:9" ht="12.4" customHeight="1" x14ac:dyDescent="0.2">
      <c r="A79" s="190"/>
      <c r="B79" s="169" t="s">
        <v>1623</v>
      </c>
      <c r="C79" s="179"/>
      <c r="D79" s="182"/>
      <c r="E79" s="182"/>
      <c r="F79" s="182"/>
      <c r="G79" s="182"/>
      <c r="H79" s="182"/>
      <c r="I79" s="181"/>
    </row>
    <row r="80" spans="1:9" ht="11.45" customHeight="1" x14ac:dyDescent="0.2">
      <c r="A80" s="189"/>
      <c r="B80" s="190" t="s">
        <v>1786</v>
      </c>
      <c r="C80" s="179"/>
      <c r="D80" s="182"/>
      <c r="E80" s="182"/>
      <c r="F80" s="182"/>
      <c r="G80" s="182"/>
      <c r="H80" s="182"/>
      <c r="I80" s="181"/>
    </row>
    <row r="81" spans="1:2" ht="12.4" customHeight="1" x14ac:dyDescent="0.2">
      <c r="A81" s="172"/>
    </row>
    <row r="82" spans="1:2" ht="12.4" customHeight="1" x14ac:dyDescent="0.2">
      <c r="A82" s="172"/>
    </row>
    <row r="83" spans="1:2" ht="3.95" customHeight="1" x14ac:dyDescent="0.2">
      <c r="A83" s="172"/>
    </row>
    <row r="84" spans="1:2" ht="12.4"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7" colorId="8" zoomScale="110" zoomScaleNormal="110" workbookViewId="0">
      <selection activeCell="X26" sqref="X2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4" customHeight="1" x14ac:dyDescent="0.2">
      <c r="A2" s="2054" t="s">
        <v>1168</v>
      </c>
      <c r="B2" s="2054"/>
      <c r="C2" s="2054"/>
      <c r="D2" s="2054"/>
      <c r="E2" s="2054"/>
      <c r="F2" s="2054"/>
      <c r="G2" s="2054"/>
      <c r="H2" s="2054"/>
      <c r="I2" s="2054"/>
      <c r="J2" s="205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7"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8" t="s">
        <v>1633</v>
      </c>
      <c r="B35" s="2069"/>
      <c r="C35" s="2069"/>
      <c r="D35" s="2069"/>
      <c r="E35" s="2070"/>
      <c r="F35" s="2070"/>
      <c r="G35" s="2070"/>
      <c r="H35" s="2070"/>
      <c r="I35" s="207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7" customHeight="1" x14ac:dyDescent="0.2">
      <c r="A46" s="219"/>
      <c r="B46" s="229"/>
      <c r="C46" s="227"/>
      <c r="D46" s="239"/>
    </row>
    <row r="47" spans="1:9" s="181" customFormat="1" x14ac:dyDescent="0.2">
      <c r="A47" s="2068" t="s">
        <v>313</v>
      </c>
      <c r="B47" s="2071"/>
      <c r="C47" s="2071"/>
      <c r="D47" s="2071"/>
      <c r="E47" s="2072"/>
      <c r="F47" s="2072"/>
      <c r="G47" s="2072"/>
      <c r="H47" s="2072"/>
      <c r="I47" s="207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2064</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t="s">
        <v>2064</v>
      </c>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5" t="s">
        <v>2080</v>
      </c>
      <c r="C57" s="2076"/>
      <c r="D57" s="2076"/>
      <c r="E57" s="2076"/>
      <c r="F57" s="2076"/>
      <c r="G57" s="2076"/>
      <c r="H57" s="2076"/>
      <c r="I57" s="2076"/>
      <c r="J57" s="2077"/>
    </row>
    <row r="58" spans="1:10" s="181" customFormat="1" x14ac:dyDescent="0.2">
      <c r="A58" s="253"/>
      <c r="B58" s="2078"/>
      <c r="C58" s="2079"/>
      <c r="D58" s="2079"/>
      <c r="E58" s="2079"/>
      <c r="F58" s="2079"/>
      <c r="G58" s="2079"/>
      <c r="H58" s="2079"/>
      <c r="I58" s="2079"/>
      <c r="J58" s="2080"/>
    </row>
    <row r="59" spans="1:10" s="181" customFormat="1" x14ac:dyDescent="0.2">
      <c r="A59" s="253"/>
      <c r="B59" s="2078"/>
      <c r="C59" s="2079"/>
      <c r="D59" s="2079"/>
      <c r="E59" s="2079"/>
      <c r="F59" s="2079"/>
      <c r="G59" s="2079"/>
      <c r="H59" s="2079"/>
      <c r="I59" s="2079"/>
      <c r="J59" s="2080"/>
    </row>
    <row r="60" spans="1:10" s="181" customFormat="1" x14ac:dyDescent="0.2">
      <c r="A60" s="253"/>
      <c r="B60" s="2078"/>
      <c r="C60" s="2079"/>
      <c r="D60" s="2079"/>
      <c r="E60" s="2079"/>
      <c r="F60" s="2079"/>
      <c r="G60" s="2079"/>
      <c r="H60" s="2079"/>
      <c r="I60" s="2079"/>
      <c r="J60" s="2080"/>
    </row>
    <row r="61" spans="1:10" s="181" customFormat="1" x14ac:dyDescent="0.2">
      <c r="A61" s="253"/>
      <c r="B61" s="2078"/>
      <c r="C61" s="2079"/>
      <c r="D61" s="2079"/>
      <c r="E61" s="2079"/>
      <c r="F61" s="2079"/>
      <c r="G61" s="2079"/>
      <c r="H61" s="2079"/>
      <c r="I61" s="2079"/>
      <c r="J61" s="2080"/>
    </row>
    <row r="62" spans="1:10" s="181" customFormat="1" x14ac:dyDescent="0.2">
      <c r="A62" s="253"/>
      <c r="B62" s="2078"/>
      <c r="C62" s="2079"/>
      <c r="D62" s="2079"/>
      <c r="E62" s="2079"/>
      <c r="F62" s="2079"/>
      <c r="G62" s="2079"/>
      <c r="H62" s="2079"/>
      <c r="I62" s="2079"/>
      <c r="J62" s="2080"/>
    </row>
    <row r="63" spans="1:10" s="181" customFormat="1" x14ac:dyDescent="0.2">
      <c r="A63" s="253"/>
      <c r="B63" s="2078"/>
      <c r="C63" s="2079"/>
      <c r="D63" s="2079"/>
      <c r="E63" s="2079"/>
      <c r="F63" s="2079"/>
      <c r="G63" s="2079"/>
      <c r="H63" s="2079"/>
      <c r="I63" s="2079"/>
      <c r="J63" s="2080"/>
    </row>
    <row r="64" spans="1:10" s="181" customFormat="1" x14ac:dyDescent="0.2">
      <c r="A64" s="253"/>
      <c r="B64" s="2078"/>
      <c r="C64" s="2079"/>
      <c r="D64" s="2079"/>
      <c r="E64" s="2079"/>
      <c r="F64" s="2079"/>
      <c r="G64" s="2079"/>
      <c r="H64" s="2079"/>
      <c r="I64" s="2079"/>
      <c r="J64" s="2080"/>
    </row>
    <row r="65" spans="1:10" s="181" customFormat="1" x14ac:dyDescent="0.2">
      <c r="A65" s="253"/>
      <c r="B65" s="2078"/>
      <c r="C65" s="2079"/>
      <c r="D65" s="2079"/>
      <c r="E65" s="2079"/>
      <c r="F65" s="2079"/>
      <c r="G65" s="2079"/>
      <c r="H65" s="2079"/>
      <c r="I65" s="2079"/>
      <c r="J65" s="2080"/>
    </row>
    <row r="66" spans="1:10" s="181" customFormat="1" x14ac:dyDescent="0.2">
      <c r="A66" s="253"/>
      <c r="B66" s="2078"/>
      <c r="C66" s="2079"/>
      <c r="D66" s="2079"/>
      <c r="E66" s="2079"/>
      <c r="F66" s="2079"/>
      <c r="G66" s="2079"/>
      <c r="H66" s="2079"/>
      <c r="I66" s="2079"/>
      <c r="J66" s="2080"/>
    </row>
    <row r="67" spans="1:10" s="181" customFormat="1" ht="9.1999999999999993" customHeight="1" x14ac:dyDescent="0.2">
      <c r="A67" s="254"/>
      <c r="B67" s="2081"/>
      <c r="C67" s="2082"/>
      <c r="D67" s="2082"/>
      <c r="E67" s="2082"/>
      <c r="F67" s="2082"/>
      <c r="G67" s="2082"/>
      <c r="H67" s="2082"/>
      <c r="I67" s="2082"/>
      <c r="J67" s="2083"/>
    </row>
    <row r="68" spans="1:10" s="181" customFormat="1" ht="9.1999999999999993" customHeight="1" x14ac:dyDescent="0.2">
      <c r="A68" s="219"/>
      <c r="B68" s="255"/>
      <c r="C68" s="256"/>
      <c r="D68" s="256"/>
      <c r="E68" s="256"/>
      <c r="F68" s="256"/>
      <c r="G68" s="256"/>
      <c r="H68" s="256"/>
    </row>
    <row r="69" spans="1:10" s="181" customFormat="1" ht="16.7" customHeight="1" x14ac:dyDescent="0.2">
      <c r="A69" s="219"/>
      <c r="B69" s="255"/>
      <c r="C69" s="256"/>
      <c r="D69" s="256"/>
      <c r="E69" s="256"/>
      <c r="F69" s="256"/>
      <c r="G69" s="256"/>
      <c r="H69" s="256"/>
    </row>
    <row r="70" spans="1:10" s="181" customFormat="1" x14ac:dyDescent="0.2">
      <c r="A70" s="2068" t="s">
        <v>1323</v>
      </c>
      <c r="B70" s="2071"/>
      <c r="C70" s="2071"/>
      <c r="D70" s="2071"/>
      <c r="E70" s="2072"/>
      <c r="F70" s="2072"/>
      <c r="G70" s="2072"/>
      <c r="H70" s="2072"/>
      <c r="I70" s="207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3" t="s">
        <v>1320</v>
      </c>
      <c r="B83" s="2073"/>
      <c r="C83" s="2073"/>
      <c r="D83" s="207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7"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9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5"/>
      <c r="C102" s="2056"/>
      <c r="D102" s="2056"/>
      <c r="E102" s="2056"/>
      <c r="F102" s="2056"/>
      <c r="G102" s="2056"/>
      <c r="H102" s="2056"/>
      <c r="I102" s="2057"/>
    </row>
    <row r="103" spans="1:9" s="181" customFormat="1" ht="11.45" customHeight="1" x14ac:dyDescent="0.2">
      <c r="A103" s="316"/>
      <c r="B103" s="2058"/>
      <c r="C103" s="2059"/>
      <c r="D103" s="2059"/>
      <c r="E103" s="2059"/>
      <c r="F103" s="2059"/>
      <c r="G103" s="2059"/>
      <c r="H103" s="2059"/>
      <c r="I103" s="2060"/>
    </row>
    <row r="104" spans="1:9" s="181" customFormat="1" ht="11.45" customHeight="1" x14ac:dyDescent="0.2">
      <c r="A104" s="316"/>
      <c r="B104" s="2058"/>
      <c r="C104" s="2059"/>
      <c r="D104" s="2059"/>
      <c r="E104" s="2059"/>
      <c r="F104" s="2059"/>
      <c r="G104" s="2059"/>
      <c r="H104" s="2059"/>
      <c r="I104" s="2060"/>
    </row>
    <row r="105" spans="1:9" s="181" customFormat="1" x14ac:dyDescent="0.2">
      <c r="A105" s="316"/>
      <c r="B105" s="2058"/>
      <c r="C105" s="2059"/>
      <c r="D105" s="2059"/>
      <c r="E105" s="2059"/>
      <c r="F105" s="2059"/>
      <c r="G105" s="2059"/>
      <c r="H105" s="2059"/>
      <c r="I105" s="2060"/>
    </row>
    <row r="106" spans="1:9" s="181" customFormat="1" ht="11.45" customHeight="1" x14ac:dyDescent="0.2">
      <c r="A106" s="316"/>
      <c r="B106" s="2058"/>
      <c r="C106" s="2059"/>
      <c r="D106" s="2059"/>
      <c r="E106" s="2059"/>
      <c r="F106" s="2059"/>
      <c r="G106" s="2059"/>
      <c r="H106" s="2059"/>
      <c r="I106" s="2060"/>
    </row>
    <row r="107" spans="1:9" s="181" customFormat="1" ht="11.45" customHeight="1" x14ac:dyDescent="0.2">
      <c r="A107" s="316"/>
      <c r="B107" s="2058"/>
      <c r="C107" s="2059"/>
      <c r="D107" s="2059"/>
      <c r="E107" s="2059"/>
      <c r="F107" s="2059"/>
      <c r="G107" s="2059"/>
      <c r="H107" s="2059"/>
      <c r="I107" s="2060"/>
    </row>
    <row r="108" spans="1:9" s="181" customFormat="1" ht="11.45" customHeight="1" x14ac:dyDescent="0.2">
      <c r="A108" s="316"/>
      <c r="B108" s="2058"/>
      <c r="C108" s="2059"/>
      <c r="D108" s="2059"/>
      <c r="E108" s="2059"/>
      <c r="F108" s="2059"/>
      <c r="G108" s="2059"/>
      <c r="H108" s="2059"/>
      <c r="I108" s="2060"/>
    </row>
    <row r="109" spans="1:9" s="181" customFormat="1" ht="11.45" customHeight="1" x14ac:dyDescent="0.2">
      <c r="A109" s="316"/>
      <c r="B109" s="2058"/>
      <c r="C109" s="2059"/>
      <c r="D109" s="2059"/>
      <c r="E109" s="2059"/>
      <c r="F109" s="2059"/>
      <c r="G109" s="2059"/>
      <c r="H109" s="2059"/>
      <c r="I109" s="2060"/>
    </row>
    <row r="110" spans="1:9" s="181" customFormat="1" ht="11.45" customHeight="1" x14ac:dyDescent="0.2">
      <c r="A110" s="316"/>
      <c r="B110" s="2058"/>
      <c r="C110" s="2059"/>
      <c r="D110" s="2059"/>
      <c r="E110" s="2059"/>
      <c r="F110" s="2059"/>
      <c r="G110" s="2059"/>
      <c r="H110" s="2059"/>
      <c r="I110" s="2060"/>
    </row>
    <row r="111" spans="1:9" s="181" customFormat="1" ht="11.45" customHeight="1" x14ac:dyDescent="0.2">
      <c r="A111" s="316"/>
      <c r="B111" s="2058"/>
      <c r="C111" s="2059"/>
      <c r="D111" s="2059"/>
      <c r="E111" s="2059"/>
      <c r="F111" s="2059"/>
      <c r="G111" s="2059"/>
      <c r="H111" s="2059"/>
      <c r="I111" s="2060"/>
    </row>
    <row r="112" spans="1:9" s="181" customFormat="1" ht="11.45" customHeight="1" x14ac:dyDescent="0.2">
      <c r="A112" s="316"/>
      <c r="B112" s="2061"/>
      <c r="C112" s="2062"/>
      <c r="D112" s="2062"/>
      <c r="E112" s="2062"/>
      <c r="F112" s="2062"/>
      <c r="G112" s="2062"/>
      <c r="H112" s="2062"/>
      <c r="I112" s="2063"/>
    </row>
    <row r="113" spans="1:9" s="181" customFormat="1" ht="11.45" customHeight="1" x14ac:dyDescent="0.2">
      <c r="A113" s="317"/>
      <c r="B113" s="311"/>
      <c r="C113" s="311"/>
      <c r="D113" s="311"/>
      <c r="E113" s="304"/>
      <c r="F113" s="304"/>
      <c r="G113" s="304"/>
      <c r="H113" s="304"/>
      <c r="I113" s="304"/>
    </row>
    <row r="114" spans="1:9" s="181" customFormat="1" ht="18" customHeight="1" x14ac:dyDescent="0.2">
      <c r="A114" s="316"/>
      <c r="B114" s="317"/>
      <c r="C114" s="2064" t="s">
        <v>2071</v>
      </c>
      <c r="D114" s="2064"/>
      <c r="E114" s="304"/>
      <c r="F114" s="304"/>
      <c r="G114" s="304"/>
      <c r="H114" s="304"/>
      <c r="I114" s="304"/>
    </row>
    <row r="115" spans="1:9" s="181" customFormat="1" ht="11.4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5" t="s">
        <v>1330</v>
      </c>
      <c r="D117" s="2066"/>
      <c r="E117" s="2067"/>
      <c r="F117" s="2067"/>
      <c r="G117" s="2067"/>
      <c r="H117" s="2067"/>
      <c r="I117" s="304"/>
    </row>
    <row r="118" spans="1:9" s="181" customFormat="1" ht="24" customHeight="1" x14ac:dyDescent="0.2">
      <c r="A118" s="316"/>
      <c r="B118" s="316"/>
      <c r="C118" s="316"/>
      <c r="D118" s="323"/>
      <c r="E118" s="322"/>
      <c r="F118" s="324"/>
      <c r="G118" s="1839"/>
      <c r="H118" s="322"/>
      <c r="I118" s="304"/>
    </row>
    <row r="119" spans="1:9" s="181" customFormat="1" ht="11.45" customHeight="1" x14ac:dyDescent="0.2">
      <c r="A119" s="325"/>
      <c r="B119" s="325"/>
      <c r="C119" s="326"/>
      <c r="D119" s="327" t="s">
        <v>361</v>
      </c>
      <c r="E119" s="310"/>
      <c r="F119" s="1838" t="s">
        <v>1906</v>
      </c>
      <c r="G119" s="328"/>
      <c r="H119" s="328"/>
      <c r="I119" s="304"/>
    </row>
    <row r="120" spans="1:9" x14ac:dyDescent="0.2">
      <c r="A120" s="329"/>
      <c r="B120" s="180"/>
      <c r="C120" s="330"/>
      <c r="D120" s="256"/>
      <c r="E120" s="256"/>
      <c r="F120" s="256"/>
      <c r="G120" s="256"/>
      <c r="H120" s="256"/>
      <c r="I120" s="304"/>
    </row>
    <row r="121" spans="1:9" x14ac:dyDescent="0.2">
      <c r="A121" s="329"/>
      <c r="B121" s="1487"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X26" sqref="X2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4" t="s">
        <v>386</v>
      </c>
      <c r="B1" s="2084"/>
      <c r="C1" s="2084"/>
      <c r="D1" s="2084"/>
      <c r="E1" s="2084"/>
      <c r="F1" s="2084"/>
      <c r="G1" s="2084"/>
      <c r="H1" s="2084"/>
      <c r="I1" s="2084"/>
      <c r="J1" s="2084"/>
      <c r="K1" s="2084"/>
      <c r="L1" s="2084"/>
      <c r="M1" s="208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25395641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2.1000000000000001E-2</v>
      </c>
      <c r="E10" s="356" t="s">
        <v>1005</v>
      </c>
      <c r="F10" s="355">
        <v>5.0000000000000001E-3</v>
      </c>
      <c r="G10" s="356" t="s">
        <v>1005</v>
      </c>
      <c r="H10" s="355">
        <v>2.3999999999999998E-3</v>
      </c>
      <c r="I10" s="356" t="s">
        <v>1006</v>
      </c>
      <c r="J10" s="1731">
        <f>ROUND(D10+F10+H10,5)</f>
        <v>2.8400000000000002E-2</v>
      </c>
      <c r="K10" s="222"/>
      <c r="L10" s="355">
        <v>5.0000000000000001E-4</v>
      </c>
      <c r="M10" s="222"/>
    </row>
    <row r="11" spans="1:14" ht="7.5" customHeight="1" x14ac:dyDescent="0.2">
      <c r="B11" s="222"/>
      <c r="C11" s="222"/>
      <c r="D11" s="2094" t="str">
        <f>IF(SUM(J10)&lt;=0.0999999,"","Enter the Tax Rates by moving the decimal two places to the left.")</f>
        <v/>
      </c>
      <c r="E11" s="2095"/>
      <c r="F11" s="2095"/>
      <c r="G11" s="2095"/>
      <c r="H11" s="2095"/>
      <c r="I11" s="2095"/>
      <c r="J11" s="209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3976542</v>
      </c>
      <c r="E16" s="356"/>
      <c r="F16" s="1732">
        <f>SUM('Acct Summary 7-8'!C17,'Acct Summary 7-8'!D17,'Acct Summary 7-8'!F17)</f>
        <v>3471916</v>
      </c>
      <c r="G16" s="356"/>
      <c r="H16" s="1732">
        <f>SUM(D16-F16)</f>
        <v>504626</v>
      </c>
      <c r="I16" s="222"/>
      <c r="J16" s="1732">
        <f>SUM('Acct Summary 7-8'!C81,'Acct Summary 7-8'!D81,'Acct Summary 7-8'!F81,'Acct Summary 7-8'!I81)</f>
        <v>2449563</v>
      </c>
      <c r="K16" s="222"/>
      <c r="L16" s="222"/>
      <c r="M16" s="222"/>
    </row>
    <row r="17" spans="1:13" ht="12.4" customHeight="1" x14ac:dyDescent="0.2">
      <c r="A17" s="349"/>
      <c r="B17" s="260" t="s">
        <v>8</v>
      </c>
      <c r="C17" s="237" t="s">
        <v>1396</v>
      </c>
      <c r="D17" s="222"/>
      <c r="E17" s="222"/>
      <c r="F17" s="222"/>
      <c r="G17" s="222"/>
      <c r="H17" s="222"/>
      <c r="I17" s="222"/>
      <c r="J17" s="222"/>
      <c r="K17" s="222"/>
      <c r="L17" s="222"/>
      <c r="M17" s="222"/>
    </row>
    <row r="18" spans="1:13" ht="12.4"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45" customHeight="1" x14ac:dyDescent="0.2">
      <c r="A25" s="349"/>
      <c r="B25" s="181" t="s">
        <v>9</v>
      </c>
      <c r="C25" s="237" t="s">
        <v>2063</v>
      </c>
      <c r="D25" s="222"/>
      <c r="E25" s="222"/>
      <c r="F25" s="222"/>
      <c r="G25" s="222"/>
      <c r="H25" s="222"/>
      <c r="I25" s="222"/>
      <c r="J25" s="222"/>
      <c r="K25" s="222"/>
      <c r="L25" s="222"/>
      <c r="M25" s="222"/>
    </row>
    <row r="26" spans="1:13" ht="9.1999999999999993"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4"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4">
        <f>IF(B31="X",(J7*0.069),IF(B32="X",(J7*0.138),"Enter x in a.or b."))</f>
        <v>3504598.4580000001</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4"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150000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4"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5"/>
      <c r="C54" s="2086"/>
      <c r="D54" s="2086"/>
      <c r="E54" s="2086"/>
      <c r="F54" s="2086"/>
      <c r="G54" s="2086"/>
      <c r="H54" s="2086"/>
      <c r="I54" s="2086"/>
      <c r="J54" s="2086"/>
      <c r="K54" s="2086"/>
      <c r="L54" s="2087"/>
      <c r="M54" s="380"/>
    </row>
    <row r="55" spans="1:13" ht="12.75" customHeight="1" x14ac:dyDescent="0.2">
      <c r="B55" s="2088"/>
      <c r="C55" s="2089"/>
      <c r="D55" s="2089"/>
      <c r="E55" s="2089"/>
      <c r="F55" s="2089"/>
      <c r="G55" s="2089"/>
      <c r="H55" s="2089"/>
      <c r="I55" s="2089"/>
      <c r="J55" s="2089"/>
      <c r="K55" s="2089"/>
      <c r="L55" s="2090"/>
      <c r="M55" s="380"/>
    </row>
    <row r="56" spans="1:13" ht="12.75" customHeight="1" x14ac:dyDescent="0.2">
      <c r="B56" s="2088"/>
      <c r="C56" s="2089"/>
      <c r="D56" s="2089"/>
      <c r="E56" s="2089"/>
      <c r="F56" s="2089"/>
      <c r="G56" s="2089"/>
      <c r="H56" s="2089"/>
      <c r="I56" s="2089"/>
      <c r="J56" s="2089"/>
      <c r="K56" s="2089"/>
      <c r="L56" s="2090"/>
      <c r="M56" s="222"/>
    </row>
    <row r="57" spans="1:13" ht="12.75" customHeight="1" x14ac:dyDescent="0.2">
      <c r="B57" s="2088"/>
      <c r="C57" s="2089"/>
      <c r="D57" s="2089"/>
      <c r="E57" s="2089"/>
      <c r="F57" s="2089"/>
      <c r="G57" s="2089"/>
      <c r="H57" s="2089"/>
      <c r="I57" s="2089"/>
      <c r="J57" s="2089"/>
      <c r="K57" s="2089"/>
      <c r="L57" s="2090"/>
      <c r="M57" s="222"/>
    </row>
    <row r="58" spans="1:13" x14ac:dyDescent="0.2">
      <c r="B58" s="2091"/>
      <c r="C58" s="2092"/>
      <c r="D58" s="2092"/>
      <c r="E58" s="2092"/>
      <c r="F58" s="2092"/>
      <c r="G58" s="2092"/>
      <c r="H58" s="2092"/>
      <c r="I58" s="2092"/>
      <c r="J58" s="2092"/>
      <c r="K58" s="2092"/>
      <c r="L58" s="2093"/>
      <c r="M58" s="222"/>
    </row>
    <row r="59" spans="1:13" ht="6" customHeight="1" x14ac:dyDescent="0.2">
      <c r="B59" s="206"/>
      <c r="C59" s="206"/>
      <c r="D59" s="206"/>
      <c r="E59" s="206"/>
      <c r="F59" s="206"/>
      <c r="G59" s="206"/>
      <c r="H59" s="206"/>
      <c r="I59" s="206"/>
      <c r="J59" s="206"/>
      <c r="K59" s="206"/>
      <c r="L59" s="206"/>
      <c r="M59" s="222"/>
    </row>
    <row r="60" spans="1:13" ht="12.4" customHeight="1" x14ac:dyDescent="0.2">
      <c r="B60" s="206"/>
      <c r="C60" s="206"/>
      <c r="D60" s="206"/>
      <c r="E60" s="206"/>
      <c r="F60" s="206"/>
      <c r="G60" s="206"/>
      <c r="H60" s="206"/>
      <c r="I60" s="206"/>
      <c r="J60" s="206"/>
      <c r="K60" s="206"/>
      <c r="L60" s="206"/>
      <c r="M60" s="222"/>
    </row>
    <row r="61" spans="1:13" ht="12.75" customHeight="1" x14ac:dyDescent="0.15">
      <c r="A61" s="247"/>
      <c r="B61" s="381"/>
      <c r="C61" s="2096"/>
      <c r="D61" s="209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4" customHeight="1" x14ac:dyDescent="0.15">
      <c r="A63" s="383"/>
      <c r="B63" s="382"/>
      <c r="C63" s="382"/>
      <c r="D63" s="382"/>
      <c r="E63" s="382"/>
      <c r="F63" s="382"/>
      <c r="G63" s="382"/>
      <c r="H63" s="382"/>
      <c r="I63" s="382"/>
      <c r="J63" s="382"/>
      <c r="K63" s="382"/>
      <c r="L63" s="382"/>
      <c r="M63" s="222"/>
    </row>
    <row r="64" spans="1:13" ht="12.4"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4" customHeight="1" x14ac:dyDescent="0.2">
      <c r="A66" s="383"/>
      <c r="B66" s="364"/>
      <c r="C66" s="364"/>
      <c r="D66" s="364"/>
      <c r="E66" s="364"/>
      <c r="F66" s="364"/>
      <c r="G66" s="364"/>
      <c r="H66" s="364"/>
      <c r="I66" s="364"/>
      <c r="J66" s="364"/>
      <c r="K66" s="364"/>
      <c r="L66" s="364"/>
      <c r="M66" s="222"/>
    </row>
    <row r="67" spans="1:13" ht="12.4" customHeight="1" x14ac:dyDescent="0.2">
      <c r="A67" s="383"/>
      <c r="B67" s="222"/>
      <c r="C67" s="222"/>
      <c r="D67" s="222"/>
      <c r="E67" s="222"/>
      <c r="F67" s="222"/>
      <c r="G67" s="222"/>
      <c r="H67" s="222"/>
      <c r="I67" s="222"/>
      <c r="J67" s="222"/>
      <c r="K67" s="222"/>
      <c r="L67" s="222"/>
      <c r="M67" s="222"/>
    </row>
    <row r="68" spans="1:13" ht="12.4" customHeight="1" x14ac:dyDescent="0.2">
      <c r="B68" s="222"/>
      <c r="C68" s="222"/>
      <c r="D68" s="222"/>
      <c r="E68" s="222"/>
      <c r="F68" s="222"/>
      <c r="G68" s="222"/>
      <c r="H68" s="222"/>
      <c r="I68" s="222"/>
      <c r="J68" s="222"/>
      <c r="K68" s="222"/>
      <c r="L68" s="222"/>
      <c r="M68" s="222"/>
    </row>
    <row r="69" spans="1:13" ht="12.4" customHeight="1" x14ac:dyDescent="0.2">
      <c r="B69" s="222"/>
      <c r="C69" s="222"/>
      <c r="D69" s="222"/>
      <c r="E69" s="222"/>
      <c r="F69" s="222"/>
      <c r="G69" s="222"/>
      <c r="H69" s="222"/>
      <c r="I69" s="222"/>
      <c r="J69" s="222"/>
      <c r="K69" s="222"/>
      <c r="L69" s="222"/>
      <c r="M69" s="222"/>
    </row>
    <row r="70" spans="1:13" ht="12.4"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4"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X26" sqref="X2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9"/>
      <c r="B1" s="2100"/>
      <c r="C1" s="2100"/>
      <c r="D1" s="384"/>
      <c r="E1" s="384"/>
      <c r="F1" s="384"/>
      <c r="G1" s="384"/>
      <c r="H1" s="384"/>
      <c r="I1" s="384"/>
      <c r="J1" s="384"/>
      <c r="K1" s="384"/>
      <c r="L1" s="384"/>
      <c r="M1" s="384"/>
      <c r="N1" s="384"/>
      <c r="O1" s="2099"/>
      <c r="P1" s="2100"/>
      <c r="Q1" s="2100"/>
    </row>
    <row r="2" spans="1:18" ht="15" x14ac:dyDescent="0.2">
      <c r="A2" s="2103" t="s">
        <v>556</v>
      </c>
      <c r="B2" s="2103"/>
      <c r="C2" s="2103"/>
      <c r="D2" s="2103"/>
      <c r="E2" s="2103"/>
      <c r="F2" s="2103"/>
      <c r="G2" s="2103"/>
      <c r="H2" s="2103"/>
      <c r="I2" s="2103"/>
      <c r="J2" s="2103"/>
      <c r="K2" s="2103"/>
      <c r="L2" s="2103"/>
      <c r="M2" s="2103"/>
      <c r="N2" s="2103"/>
      <c r="O2" s="2103"/>
      <c r="P2" s="2103"/>
      <c r="Q2" s="2103"/>
      <c r="R2" s="2103"/>
    </row>
    <row r="3" spans="1:18" ht="12.75" x14ac:dyDescent="0.2">
      <c r="A3" s="2104" t="s">
        <v>1413</v>
      </c>
      <c r="B3" s="2104"/>
      <c r="C3" s="2104"/>
      <c r="D3" s="2104"/>
      <c r="E3" s="2104"/>
      <c r="F3" s="2104"/>
      <c r="G3" s="2104"/>
      <c r="H3" s="2104"/>
      <c r="I3" s="2104"/>
      <c r="J3" s="2104"/>
      <c r="K3" s="2104"/>
      <c r="L3" s="2104"/>
      <c r="M3" s="2104"/>
      <c r="N3" s="2104"/>
      <c r="O3" s="2104"/>
      <c r="P3" s="2104"/>
      <c r="Q3" s="2104"/>
      <c r="R3" s="2104"/>
    </row>
    <row r="4" spans="1:18" x14ac:dyDescent="0.2">
      <c r="A4" s="2105" t="s">
        <v>1554</v>
      </c>
      <c r="B4" s="2105"/>
      <c r="C4" s="2105"/>
      <c r="D4" s="2105"/>
      <c r="E4" s="2105"/>
      <c r="F4" s="2105"/>
      <c r="G4" s="2105"/>
      <c r="H4" s="2105"/>
      <c r="I4" s="2105"/>
      <c r="J4" s="2105"/>
      <c r="K4" s="2105"/>
      <c r="L4" s="2105"/>
      <c r="M4" s="2105"/>
      <c r="N4" s="2105"/>
      <c r="O4" s="2105"/>
      <c r="P4" s="2105"/>
      <c r="Q4" s="2105"/>
      <c r="R4" s="210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Cowden-Herrick CUSD 3A</v>
      </c>
      <c r="E7" s="391"/>
      <c r="G7" s="252"/>
      <c r="H7" s="387"/>
      <c r="I7" s="387"/>
      <c r="J7" s="387"/>
      <c r="K7" s="387"/>
      <c r="L7" s="329"/>
      <c r="M7" s="329"/>
      <c r="N7" s="329"/>
      <c r="O7" s="329"/>
      <c r="P7" s="329"/>
    </row>
    <row r="8" spans="1:18" ht="12.75" x14ac:dyDescent="0.2">
      <c r="A8" s="329"/>
      <c r="B8" s="329"/>
      <c r="C8" s="389" t="s">
        <v>1125</v>
      </c>
      <c r="D8" s="392" t="str">
        <f>COVER!A13</f>
        <v>11087003A26</v>
      </c>
      <c r="E8" s="393"/>
      <c r="G8" s="329"/>
      <c r="H8" s="329"/>
      <c r="I8" s="329"/>
      <c r="J8" s="329"/>
      <c r="K8" s="329"/>
      <c r="L8" s="329"/>
      <c r="M8" s="329"/>
      <c r="N8" s="329"/>
      <c r="O8" s="329"/>
      <c r="P8" s="329"/>
    </row>
    <row r="9" spans="1:18" ht="12.75" x14ac:dyDescent="0.2">
      <c r="A9" s="329"/>
      <c r="B9" s="329"/>
      <c r="C9" s="389" t="s">
        <v>713</v>
      </c>
      <c r="D9" s="394" t="str">
        <f>COVER!A15</f>
        <v>Shelby and Fayette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2449563</v>
      </c>
      <c r="I12" s="404"/>
      <c r="J12" s="404"/>
      <c r="K12" s="405">
        <f>TRUNC((H12/H13*100000),5)/100000</f>
        <v>0.61600330130000003</v>
      </c>
      <c r="L12" s="406"/>
      <c r="M12" s="360" t="s">
        <v>1144</v>
      </c>
      <c r="N12" s="360"/>
      <c r="O12" s="407">
        <v>0.35</v>
      </c>
      <c r="P12" s="218"/>
      <c r="Q12" s="218"/>
    </row>
    <row r="13" spans="1:18" s="408" customFormat="1" ht="12.75" x14ac:dyDescent="0.2">
      <c r="A13" s="218"/>
      <c r="B13" s="401"/>
      <c r="C13" s="2101" t="s">
        <v>1324</v>
      </c>
      <c r="D13" s="2102"/>
      <c r="E13" s="218"/>
      <c r="F13" s="409" t="s">
        <v>793</v>
      </c>
      <c r="G13" s="402"/>
      <c r="H13" s="403">
        <f>SUM('Acct Summary 7-8'!C8+'Acct Summary 7-8'!D8+'Acct Summary 7-8'!F8+'Acct Summary 7-8'!I8)+H14</f>
        <v>3976542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3471916</v>
      </c>
      <c r="I17" s="404"/>
      <c r="J17" s="416"/>
      <c r="K17" s="405">
        <f>TRUNC((H17/H18*100000),5)/100000</f>
        <v>0.87309929070000003</v>
      </c>
      <c r="L17" s="406"/>
      <c r="M17" s="417" t="s">
        <v>1171</v>
      </c>
      <c r="O17" s="418" t="str">
        <f>IF(AND(O16="2", J20 &gt; 2),"1",IF(AND(O16 = "1", J20 &gt; 2),"2",IF(AND(O16="1", J20 &gt;1),"1","0")))</f>
        <v>0</v>
      </c>
      <c r="P17" s="218"/>
    </row>
    <row r="18" spans="1:18" s="408" customFormat="1" ht="11.25" x14ac:dyDescent="0.2">
      <c r="A18" s="218"/>
      <c r="B18" s="401"/>
      <c r="C18" s="2101" t="s">
        <v>1317</v>
      </c>
      <c r="D18" s="2102"/>
      <c r="E18" s="218"/>
      <c r="F18" s="419" t="s">
        <v>794</v>
      </c>
      <c r="G18" s="402"/>
      <c r="H18" s="403">
        <f>SUM('Acct Summary 7-8'!C8+'Acct Summary 7-8'!D8+'Acct Summary 7-8'!F8+'Acct Summary 7-8'!I8)+H19</f>
        <v>3976542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8" t="s">
        <v>1412</v>
      </c>
      <c r="D24" s="2098"/>
      <c r="E24" s="218"/>
      <c r="F24" s="218" t="s">
        <v>445</v>
      </c>
      <c r="G24" s="402"/>
      <c r="H24" s="403">
        <f>SUM('Assets-Liab 5-6'!C4+'Assets-Liab 5-6'!D4+'Assets-Liab 5-6'!F4+'Assets-Liab 5-6'!I4+'Assets-Liab 5-6'!C5+'Assets-Liab 5-6'!D5+'Assets-Liab 5-6'!F5+'Assets-Liab 5-6'!I5)</f>
        <v>2449383</v>
      </c>
      <c r="I24" s="422"/>
      <c r="J24" s="422"/>
      <c r="K24" s="423">
        <f>TRUNC(((H24/H25*100000)/100000),2)</f>
        <v>253.97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9644.2111100000002</v>
      </c>
      <c r="I25" s="425"/>
      <c r="J25" s="425"/>
      <c r="K25" s="410"/>
      <c r="L25" s="218"/>
      <c r="M25" s="360" t="s">
        <v>1145</v>
      </c>
      <c r="N25" s="360"/>
      <c r="O25" s="411">
        <f>O23*O24</f>
        <v>0.4</v>
      </c>
      <c r="P25" s="218"/>
      <c r="R25" s="412"/>
    </row>
    <row r="26" spans="1:18" ht="12.4"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613050.77373999998</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150000</v>
      </c>
      <c r="I32" s="420"/>
      <c r="J32" s="420"/>
      <c r="K32" s="423">
        <f>TRUNC(100-((((H32/H33*100))*100)/100),2)</f>
        <v>95.71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3504598.4580000001</v>
      </c>
      <c r="I33" s="420"/>
      <c r="J33" s="420"/>
      <c r="K33" s="403"/>
      <c r="L33" s="218"/>
      <c r="M33" s="435" t="s">
        <v>1145</v>
      </c>
      <c r="N33" s="435"/>
      <c r="O33" s="434">
        <f>(O31*O32)</f>
        <v>0.4</v>
      </c>
    </row>
    <row r="34" spans="1:17" ht="12.4"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7"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1" colorId="8" zoomScale="110" zoomScaleNormal="110" workbookViewId="0">
      <pane ySplit="2" topLeftCell="A15" activePane="bottomLeft" state="frozen"/>
      <selection activeCell="X26" sqref="X26"/>
      <selection pane="bottomLeft" activeCell="C40" sqref="C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8" t="s">
        <v>973</v>
      </c>
      <c r="B3" s="2109"/>
      <c r="C3" s="1558"/>
      <c r="D3" s="1559"/>
      <c r="E3" s="1559"/>
      <c r="F3" s="1559"/>
      <c r="G3" s="1559"/>
      <c r="H3" s="1559"/>
      <c r="I3" s="1559"/>
      <c r="J3" s="1559"/>
      <c r="K3" s="1559"/>
      <c r="L3" s="1559"/>
      <c r="M3" s="1560"/>
      <c r="N3" s="1561"/>
    </row>
    <row r="4" spans="1:14" ht="13.5" customHeight="1" x14ac:dyDescent="0.2">
      <c r="A4" s="463" t="s">
        <v>1651</v>
      </c>
      <c r="B4" s="464"/>
      <c r="C4" s="465">
        <v>216991</v>
      </c>
      <c r="D4" s="466">
        <v>4107</v>
      </c>
      <c r="E4" s="466">
        <v>909</v>
      </c>
      <c r="F4" s="466">
        <v>297358</v>
      </c>
      <c r="G4" s="466">
        <v>5058</v>
      </c>
      <c r="H4" s="466">
        <v>10728</v>
      </c>
      <c r="I4" s="466">
        <v>157</v>
      </c>
      <c r="J4" s="467">
        <v>1659</v>
      </c>
      <c r="K4" s="466">
        <v>1</v>
      </c>
      <c r="L4" s="466">
        <v>87045</v>
      </c>
      <c r="M4" s="468"/>
      <c r="N4" s="469"/>
    </row>
    <row r="5" spans="1:14" x14ac:dyDescent="0.2">
      <c r="A5" s="463" t="s">
        <v>992</v>
      </c>
      <c r="B5" s="470">
        <v>120</v>
      </c>
      <c r="C5" s="465">
        <v>1694265</v>
      </c>
      <c r="D5" s="466">
        <v>172960</v>
      </c>
      <c r="E5" s="466">
        <v>13161</v>
      </c>
      <c r="F5" s="466">
        <v>35376</v>
      </c>
      <c r="G5" s="466">
        <v>225325</v>
      </c>
      <c r="H5" s="466">
        <v>172899</v>
      </c>
      <c r="I5" s="466">
        <v>28169</v>
      </c>
      <c r="J5" s="467">
        <v>91461</v>
      </c>
      <c r="K5" s="471">
        <v>76319</v>
      </c>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1911256</v>
      </c>
      <c r="D13" s="1736">
        <f t="shared" ref="D13:L13" si="0">SUM(D4:D12)</f>
        <v>177067</v>
      </c>
      <c r="E13" s="1736">
        <f t="shared" si="0"/>
        <v>14070</v>
      </c>
      <c r="F13" s="1736">
        <f t="shared" si="0"/>
        <v>332734</v>
      </c>
      <c r="G13" s="1736">
        <f t="shared" si="0"/>
        <v>230383</v>
      </c>
      <c r="H13" s="1736">
        <f t="shared" si="0"/>
        <v>183627</v>
      </c>
      <c r="I13" s="1736">
        <f t="shared" si="0"/>
        <v>28326</v>
      </c>
      <c r="J13" s="1736">
        <f t="shared" si="0"/>
        <v>93120</v>
      </c>
      <c r="K13" s="1736">
        <f t="shared" si="0"/>
        <v>76320</v>
      </c>
      <c r="L13" s="1736">
        <f t="shared" si="0"/>
        <v>87045</v>
      </c>
      <c r="M13" s="468"/>
      <c r="N13" s="469"/>
    </row>
    <row r="14" spans="1:14" ht="18" customHeight="1" thickTop="1" x14ac:dyDescent="0.2">
      <c r="A14" s="2110" t="s">
        <v>147</v>
      </c>
      <c r="B14" s="2111"/>
      <c r="C14" s="1562"/>
      <c r="D14" s="1563"/>
      <c r="E14" s="1563"/>
      <c r="F14" s="1563"/>
      <c r="G14" s="1563"/>
      <c r="H14" s="1563"/>
      <c r="I14" s="1563"/>
      <c r="J14" s="1563"/>
      <c r="K14" s="1563"/>
      <c r="L14" s="1563"/>
      <c r="M14" s="1564"/>
      <c r="N14" s="1565"/>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42712</v>
      </c>
      <c r="N16" s="484"/>
    </row>
    <row r="17" spans="1:14" s="485" customFormat="1" ht="12.75" customHeight="1" x14ac:dyDescent="0.2">
      <c r="A17" s="482" t="s">
        <v>1403</v>
      </c>
      <c r="B17" s="483">
        <v>230</v>
      </c>
      <c r="C17" s="477"/>
      <c r="D17" s="477"/>
      <c r="E17" s="477"/>
      <c r="F17" s="477"/>
      <c r="G17" s="477"/>
      <c r="H17" s="477"/>
      <c r="I17" s="477"/>
      <c r="J17" s="477"/>
      <c r="K17" s="477"/>
      <c r="L17" s="477"/>
      <c r="M17" s="467">
        <v>5117347</v>
      </c>
      <c r="N17" s="484"/>
    </row>
    <row r="18" spans="1:14" s="485" customFormat="1" ht="12.75" customHeight="1" x14ac:dyDescent="0.2">
      <c r="A18" s="482" t="s">
        <v>1404</v>
      </c>
      <c r="B18" s="483">
        <v>240</v>
      </c>
      <c r="C18" s="477"/>
      <c r="D18" s="477"/>
      <c r="E18" s="477"/>
      <c r="F18" s="477"/>
      <c r="G18" s="477"/>
      <c r="H18" s="477"/>
      <c r="I18" s="477"/>
      <c r="J18" s="477"/>
      <c r="K18" s="477"/>
      <c r="L18" s="477"/>
      <c r="M18" s="467">
        <v>271067</v>
      </c>
      <c r="N18" s="484"/>
    </row>
    <row r="19" spans="1:14" s="485" customFormat="1" ht="12.75" customHeight="1" x14ac:dyDescent="0.2">
      <c r="A19" s="482" t="s">
        <v>1405</v>
      </c>
      <c r="B19" s="483">
        <v>250</v>
      </c>
      <c r="C19" s="477"/>
      <c r="D19" s="477"/>
      <c r="E19" s="477"/>
      <c r="F19" s="477"/>
      <c r="G19" s="477"/>
      <c r="H19" s="477"/>
      <c r="I19" s="477"/>
      <c r="J19" s="477"/>
      <c r="K19" s="477"/>
      <c r="L19" s="477"/>
      <c r="M19" s="467">
        <v>1504444</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14070</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135930</v>
      </c>
    </row>
    <row r="23" spans="1:14" ht="13.5" customHeight="1" thickBot="1" x14ac:dyDescent="0.25">
      <c r="A23" s="1735" t="s">
        <v>643</v>
      </c>
      <c r="B23" s="1740"/>
      <c r="C23" s="468"/>
      <c r="D23" s="468"/>
      <c r="E23" s="468"/>
      <c r="F23" s="468"/>
      <c r="G23" s="468"/>
      <c r="H23" s="468"/>
      <c r="I23" s="468"/>
      <c r="J23" s="468"/>
      <c r="K23" s="468"/>
      <c r="L23" s="468"/>
      <c r="M23" s="1687">
        <f>SUM(M15:M22)</f>
        <v>6935570</v>
      </c>
      <c r="N23" s="1687">
        <f>SUM(N21:N22)</f>
        <v>150000</v>
      </c>
    </row>
    <row r="24" spans="1:14" ht="18" customHeight="1" thickTop="1" x14ac:dyDescent="0.2">
      <c r="A24" s="2112" t="s">
        <v>598</v>
      </c>
      <c r="B24" s="2113"/>
      <c r="C24" s="1567"/>
      <c r="D24" s="1564"/>
      <c r="E24" s="1564"/>
      <c r="F24" s="1564"/>
      <c r="G24" s="1564"/>
      <c r="H24" s="1564"/>
      <c r="I24" s="1564"/>
      <c r="J24" s="1564"/>
      <c r="K24" s="1564"/>
      <c r="L24" s="1564"/>
      <c r="M24" s="1563"/>
      <c r="N24" s="1568"/>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-160</v>
      </c>
      <c r="D31" s="467">
        <v>3</v>
      </c>
      <c r="E31" s="467"/>
      <c r="F31" s="466">
        <v>-23</v>
      </c>
      <c r="G31" s="467"/>
      <c r="H31" s="467"/>
      <c r="I31" s="467"/>
      <c r="J31" s="467">
        <v>-20</v>
      </c>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87045</v>
      </c>
      <c r="M33" s="468"/>
      <c r="N33" s="469"/>
    </row>
    <row r="34" spans="1:14" ht="13.5" customHeight="1" thickBot="1" x14ac:dyDescent="0.25">
      <c r="A34" s="1737" t="s">
        <v>654</v>
      </c>
      <c r="B34" s="1738"/>
      <c r="C34" s="1739">
        <f>SUM(C25:C33)</f>
        <v>-160</v>
      </c>
      <c r="D34" s="1739">
        <f t="shared" ref="D34:K34" si="1">SUM(D25:D33)</f>
        <v>3</v>
      </c>
      <c r="E34" s="1739">
        <f t="shared" si="1"/>
        <v>0</v>
      </c>
      <c r="F34" s="1739">
        <f t="shared" si="1"/>
        <v>-23</v>
      </c>
      <c r="G34" s="1739">
        <f t="shared" si="1"/>
        <v>0</v>
      </c>
      <c r="H34" s="1739">
        <f t="shared" si="1"/>
        <v>0</v>
      </c>
      <c r="I34" s="1739">
        <f t="shared" si="1"/>
        <v>0</v>
      </c>
      <c r="J34" s="1739">
        <f t="shared" si="1"/>
        <v>-20</v>
      </c>
      <c r="K34" s="1739">
        <f t="shared" si="1"/>
        <v>0</v>
      </c>
      <c r="L34" s="1720">
        <f>SUM(L33)</f>
        <v>87045</v>
      </c>
      <c r="M34" s="468"/>
      <c r="N34" s="480"/>
    </row>
    <row r="35" spans="1:14" ht="18" customHeight="1" thickTop="1" x14ac:dyDescent="0.2">
      <c r="A35" s="2114" t="s">
        <v>529</v>
      </c>
      <c r="B35" s="2115"/>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150000</v>
      </c>
    </row>
    <row r="37" spans="1:14" ht="13.5" thickBot="1" x14ac:dyDescent="0.25">
      <c r="A37" s="1735" t="s">
        <v>653</v>
      </c>
      <c r="B37" s="1740"/>
      <c r="C37" s="477"/>
      <c r="D37" s="477"/>
      <c r="E37" s="477"/>
      <c r="F37" s="477"/>
      <c r="G37" s="477"/>
      <c r="H37" s="477"/>
      <c r="I37" s="477"/>
      <c r="J37" s="477"/>
      <c r="K37" s="477"/>
      <c r="L37" s="480"/>
      <c r="M37" s="468"/>
      <c r="N37" s="1687">
        <f>SUM(N36:N36)</f>
        <v>150000</v>
      </c>
    </row>
    <row r="38" spans="1:14" s="329" customFormat="1" ht="13.5" customHeight="1" thickTop="1" x14ac:dyDescent="0.2">
      <c r="A38" s="496" t="s">
        <v>420</v>
      </c>
      <c r="B38" s="483">
        <v>714</v>
      </c>
      <c r="C38" s="466">
        <v>51035</v>
      </c>
      <c r="D38" s="466"/>
      <c r="E38" s="466"/>
      <c r="F38" s="466"/>
      <c r="G38" s="466">
        <v>48690</v>
      </c>
      <c r="H38" s="466">
        <v>180629</v>
      </c>
      <c r="I38" s="466"/>
      <c r="J38" s="467"/>
      <c r="K38" s="466"/>
      <c r="L38" s="481"/>
      <c r="M38" s="497"/>
      <c r="N38" s="497"/>
    </row>
    <row r="39" spans="1:14" s="329" customFormat="1" ht="13.5" customHeight="1" x14ac:dyDescent="0.2">
      <c r="A39" s="496" t="s">
        <v>342</v>
      </c>
      <c r="B39" s="483">
        <v>730</v>
      </c>
      <c r="C39" s="466">
        <v>1860381</v>
      </c>
      <c r="D39" s="466">
        <v>177064</v>
      </c>
      <c r="E39" s="466">
        <v>14070</v>
      </c>
      <c r="F39" s="466">
        <v>332757</v>
      </c>
      <c r="G39" s="466">
        <v>181693</v>
      </c>
      <c r="H39" s="466">
        <v>2998</v>
      </c>
      <c r="I39" s="466">
        <v>28326</v>
      </c>
      <c r="J39" s="467">
        <v>93140</v>
      </c>
      <c r="K39" s="466">
        <v>76320</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6935570</v>
      </c>
      <c r="N40" s="497"/>
    </row>
    <row r="41" spans="1:14" ht="13.5" customHeight="1" thickBot="1" x14ac:dyDescent="0.25">
      <c r="A41" s="1735" t="s">
        <v>655</v>
      </c>
      <c r="B41" s="1705"/>
      <c r="C41" s="1687">
        <f>(SUM(C34,C37,C38,C39))</f>
        <v>1911256</v>
      </c>
      <c r="D41" s="1687">
        <f t="shared" ref="D41:L41" si="2">SUM(D34,D37,D38:D39)</f>
        <v>177067</v>
      </c>
      <c r="E41" s="1687">
        <f t="shared" si="2"/>
        <v>14070</v>
      </c>
      <c r="F41" s="1687">
        <f t="shared" si="2"/>
        <v>332734</v>
      </c>
      <c r="G41" s="1687">
        <f t="shared" si="2"/>
        <v>230383</v>
      </c>
      <c r="H41" s="1687">
        <f t="shared" si="2"/>
        <v>183627</v>
      </c>
      <c r="I41" s="1687">
        <f t="shared" si="2"/>
        <v>28326</v>
      </c>
      <c r="J41" s="1687">
        <f t="shared" si="2"/>
        <v>93120</v>
      </c>
      <c r="K41" s="1687">
        <f t="shared" si="2"/>
        <v>76320</v>
      </c>
      <c r="L41" s="1687">
        <f t="shared" si="2"/>
        <v>87045</v>
      </c>
      <c r="M41" s="1687">
        <f>SUM(M40)</f>
        <v>6935570</v>
      </c>
      <c r="N41" s="1687">
        <f>SUM(N37)</f>
        <v>150000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&amp;L&amp;8Notes to Financial Statements are an integral part of this statement.
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0" activePane="bottomLeft" state="frozen"/>
      <selection activeCell="X26" sqref="X26"/>
      <selection pane="bottomLeft" activeCell="X26" sqref="X26"/>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6" t="s">
        <v>1175</v>
      </c>
      <c r="B3" s="2137"/>
      <c r="C3" s="1572"/>
      <c r="D3" s="1573"/>
      <c r="E3" s="1573"/>
      <c r="F3" s="1573"/>
      <c r="G3" s="1573"/>
      <c r="H3" s="1573"/>
      <c r="I3" s="1573"/>
      <c r="J3" s="1573"/>
      <c r="K3" s="1574"/>
      <c r="L3" s="506"/>
    </row>
    <row r="4" spans="1:13" ht="15.75" customHeight="1" x14ac:dyDescent="0.2">
      <c r="A4" s="1927" t="s">
        <v>1499</v>
      </c>
      <c r="B4" s="1928">
        <v>1000</v>
      </c>
      <c r="C4" s="1741">
        <f>'Revenues 9-14'!C109</f>
        <v>749128</v>
      </c>
      <c r="D4" s="1741">
        <f>'Revenues 9-14'!D109</f>
        <v>120473</v>
      </c>
      <c r="E4" s="1741">
        <f>'Revenues 9-14'!E109</f>
        <v>43778</v>
      </c>
      <c r="F4" s="1741">
        <f>'Revenues 9-14'!F109</f>
        <v>82475</v>
      </c>
      <c r="G4" s="1741">
        <f>'Revenues 9-14'!G109</f>
        <v>135994</v>
      </c>
      <c r="H4" s="1741">
        <f>'Revenues 9-14'!H109</f>
        <v>114609</v>
      </c>
      <c r="I4" s="1741">
        <f>'Revenues 9-14'!I109</f>
        <v>11940</v>
      </c>
      <c r="J4" s="1741">
        <f>'Revenues 9-14'!J109</f>
        <v>177381</v>
      </c>
      <c r="K4" s="1741">
        <f>'Revenues 9-14'!K109</f>
        <v>23887</v>
      </c>
      <c r="L4" s="347"/>
    </row>
    <row r="5" spans="1:13" ht="15.75" customHeight="1" x14ac:dyDescent="0.2">
      <c r="A5" s="1575" t="s">
        <v>1500</v>
      </c>
      <c r="B5" s="1576">
        <v>2000</v>
      </c>
      <c r="C5" s="1742">
        <f>'Revenues 9-14'!C114</f>
        <v>0</v>
      </c>
      <c r="D5" s="1742">
        <f>'Revenues 9-14'!D114</f>
        <v>6570</v>
      </c>
      <c r="E5" s="508"/>
      <c r="F5" s="1742">
        <f>'Revenues 9-14'!F114</f>
        <v>0</v>
      </c>
      <c r="G5" s="1742">
        <f>'Revenues 9-14'!G114</f>
        <v>0</v>
      </c>
      <c r="H5" s="509" t="s">
        <v>1169</v>
      </c>
      <c r="I5" s="510" t="s">
        <v>1169</v>
      </c>
      <c r="J5" s="511" t="s">
        <v>1169</v>
      </c>
      <c r="K5" s="512" t="s">
        <v>1169</v>
      </c>
      <c r="L5" s="347"/>
    </row>
    <row r="6" spans="1:13" ht="15.75" customHeight="1" x14ac:dyDescent="0.2">
      <c r="A6" s="1575" t="s">
        <v>1501</v>
      </c>
      <c r="B6" s="1577">
        <v>3000</v>
      </c>
      <c r="C6" s="1742">
        <f>'Revenues 9-14'!C170</f>
        <v>1934368</v>
      </c>
      <c r="D6" s="1742">
        <f>'Revenues 9-14'!D170</f>
        <v>300000</v>
      </c>
      <c r="E6" s="1742">
        <f>'Revenues 9-14'!E170</f>
        <v>0</v>
      </c>
      <c r="F6" s="1742">
        <f>'Revenues 9-14'!F170</f>
        <v>313958</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1502</v>
      </c>
      <c r="B7" s="1577">
        <v>4000</v>
      </c>
      <c r="C7" s="1742">
        <f>'Revenues 9-14'!C267</f>
        <v>373445</v>
      </c>
      <c r="D7" s="1742">
        <f>'Revenues 9-14'!D267</f>
        <v>0</v>
      </c>
      <c r="E7" s="1742">
        <f>'Revenues 9-14'!E267</f>
        <v>0</v>
      </c>
      <c r="F7" s="1742">
        <f>'Revenues 9-14'!F267</f>
        <v>84185</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3056941</v>
      </c>
      <c r="D8" s="1687">
        <f t="shared" ref="D8:K8" si="0">SUM(D4:D7)</f>
        <v>427043</v>
      </c>
      <c r="E8" s="1687">
        <f t="shared" si="0"/>
        <v>43778</v>
      </c>
      <c r="F8" s="1687">
        <f t="shared" si="0"/>
        <v>480618</v>
      </c>
      <c r="G8" s="1687">
        <f t="shared" si="0"/>
        <v>135994</v>
      </c>
      <c r="H8" s="1687">
        <f t="shared" si="0"/>
        <v>114609</v>
      </c>
      <c r="I8" s="1687">
        <f t="shared" si="0"/>
        <v>11940</v>
      </c>
      <c r="J8" s="1687">
        <f t="shared" si="0"/>
        <v>177381</v>
      </c>
      <c r="K8" s="1687">
        <f t="shared" si="0"/>
        <v>23887</v>
      </c>
      <c r="L8" s="347"/>
    </row>
    <row r="9" spans="1:13" ht="15.75" thickTop="1" x14ac:dyDescent="0.2">
      <c r="A9" s="514" t="s">
        <v>1653</v>
      </c>
      <c r="B9" s="515">
        <v>3998</v>
      </c>
      <c r="C9" s="481">
        <v>1278297</v>
      </c>
      <c r="D9" s="516"/>
      <c r="E9" s="481"/>
      <c r="F9" s="481"/>
      <c r="G9" s="517"/>
      <c r="H9" s="481"/>
      <c r="I9" s="509" t="s">
        <v>1169</v>
      </c>
      <c r="J9" s="478"/>
      <c r="K9" s="481"/>
      <c r="L9" s="347"/>
    </row>
    <row r="10" spans="1:13" s="519" customFormat="1" ht="13.5" thickBot="1" x14ac:dyDescent="0.25">
      <c r="A10" s="1735" t="s">
        <v>1173</v>
      </c>
      <c r="B10" s="1708"/>
      <c r="C10" s="1687">
        <f>SUM(C8:C9)</f>
        <v>4335238</v>
      </c>
      <c r="D10" s="1687">
        <f t="shared" ref="D10:K10" si="1">SUM(D8:D9)</f>
        <v>427043</v>
      </c>
      <c r="E10" s="1687">
        <f t="shared" si="1"/>
        <v>43778</v>
      </c>
      <c r="F10" s="1687">
        <f t="shared" si="1"/>
        <v>480618</v>
      </c>
      <c r="G10" s="1687">
        <f t="shared" si="1"/>
        <v>135994</v>
      </c>
      <c r="H10" s="1687">
        <f t="shared" si="1"/>
        <v>114609</v>
      </c>
      <c r="I10" s="1687">
        <f t="shared" si="1"/>
        <v>11940</v>
      </c>
      <c r="J10" s="1687">
        <f t="shared" si="1"/>
        <v>177381</v>
      </c>
      <c r="K10" s="1687">
        <f t="shared" si="1"/>
        <v>23887</v>
      </c>
      <c r="L10" s="518"/>
    </row>
    <row r="11" spans="1:13" s="519" customFormat="1" ht="16.7" customHeight="1" thickTop="1" x14ac:dyDescent="0.2">
      <c r="A11" s="2110" t="s">
        <v>1176</v>
      </c>
      <c r="B11" s="2111"/>
      <c r="C11" s="1569"/>
      <c r="D11" s="1570"/>
      <c r="E11" s="1570"/>
      <c r="F11" s="1570"/>
      <c r="G11" s="1570"/>
      <c r="H11" s="1570"/>
      <c r="I11" s="1570"/>
      <c r="J11" s="1570"/>
      <c r="K11" s="1571"/>
      <c r="L11" s="518"/>
    </row>
    <row r="12" spans="1:13" ht="15.75" customHeight="1" x14ac:dyDescent="0.2">
      <c r="A12" s="1575" t="s">
        <v>456</v>
      </c>
      <c r="B12" s="1577">
        <v>1000</v>
      </c>
      <c r="C12" s="1741">
        <f>'Expenditures 15-22'!K33</f>
        <v>1925179</v>
      </c>
      <c r="D12" s="520" t="s">
        <v>1169</v>
      </c>
      <c r="E12" s="468" t="s">
        <v>1169</v>
      </c>
      <c r="F12" s="468" t="s">
        <v>1169</v>
      </c>
      <c r="G12" s="1741">
        <f>'Expenditures 15-22'!K229</f>
        <v>30560</v>
      </c>
      <c r="H12" s="521"/>
      <c r="I12" s="468" t="s">
        <v>1169</v>
      </c>
      <c r="J12" s="468" t="s">
        <v>1169</v>
      </c>
      <c r="K12" s="521" t="s">
        <v>1169</v>
      </c>
      <c r="L12" s="347"/>
    </row>
    <row r="13" spans="1:13" ht="15.75" customHeight="1" x14ac:dyDescent="0.2">
      <c r="A13" s="1575" t="s">
        <v>457</v>
      </c>
      <c r="B13" s="1577">
        <v>2000</v>
      </c>
      <c r="C13" s="1742">
        <f>'Expenditures 15-22'!K74</f>
        <v>884849</v>
      </c>
      <c r="D13" s="1742">
        <f>'Expenditures 15-22'!K129</f>
        <v>326412</v>
      </c>
      <c r="E13" s="469" t="s">
        <v>1169</v>
      </c>
      <c r="F13" s="1742">
        <f>'Expenditures 15-22'!K184</f>
        <v>295187</v>
      </c>
      <c r="G13" s="1742">
        <f>'Expenditures 15-22'!K279</f>
        <v>92356</v>
      </c>
      <c r="H13" s="1742">
        <f>'Expenditures 15-22'!K303</f>
        <v>110412</v>
      </c>
      <c r="I13" s="468" t="s">
        <v>1169</v>
      </c>
      <c r="J13" s="1742">
        <f>'Expenditures 15-22'!K330</f>
        <v>176977</v>
      </c>
      <c r="K13" s="1746">
        <f>'Expenditures 15-22'!K352</f>
        <v>0</v>
      </c>
      <c r="L13" s="347"/>
    </row>
    <row r="14" spans="1:13" ht="15.75" customHeight="1" x14ac:dyDescent="0.2">
      <c r="A14" s="1575" t="s">
        <v>449</v>
      </c>
      <c r="B14" s="1577">
        <v>3000</v>
      </c>
      <c r="C14" s="1742">
        <f>'Expenditures 15-22'!K75</f>
        <v>1160</v>
      </c>
      <c r="D14" s="1742">
        <f>'Expenditures 15-22'!K130</f>
        <v>0</v>
      </c>
      <c r="E14" s="520" t="s">
        <v>1169</v>
      </c>
      <c r="F14" s="1742">
        <f>'Expenditures 15-22'!K185</f>
        <v>0</v>
      </c>
      <c r="G14" s="1742">
        <f>'Expenditures 15-22'!K280</f>
        <v>0</v>
      </c>
      <c r="H14" s="512"/>
      <c r="I14" s="468" t="s">
        <v>1169</v>
      </c>
      <c r="J14" s="468" t="s">
        <v>1169</v>
      </c>
      <c r="K14" s="512" t="s">
        <v>1169</v>
      </c>
      <c r="L14" s="347"/>
    </row>
    <row r="15" spans="1:13" ht="15.75" customHeight="1" x14ac:dyDescent="0.2">
      <c r="A15" s="1575" t="s">
        <v>107</v>
      </c>
      <c r="B15" s="1577">
        <v>4000</v>
      </c>
      <c r="C15" s="1742">
        <f>'Expenditures 15-22'!K102</f>
        <v>39129</v>
      </c>
      <c r="D15" s="1742">
        <f>'Expenditures 15-22'!K139</f>
        <v>0</v>
      </c>
      <c r="E15" s="1742">
        <f>'Expenditures 15-22'!K160</f>
        <v>0</v>
      </c>
      <c r="F15" s="1742">
        <f>'Expenditures 15-22'!K196</f>
        <v>0</v>
      </c>
      <c r="G15" s="1742">
        <f>'Expenditures 15-22'!K285</f>
        <v>0</v>
      </c>
      <c r="H15" s="1742">
        <f>'Expenditures 15-22'!K310</f>
        <v>0</v>
      </c>
      <c r="I15" s="468" t="s">
        <v>1169</v>
      </c>
      <c r="J15" s="1834">
        <f>'Expenditures 15-22'!K334</f>
        <v>0</v>
      </c>
      <c r="K15" s="1742">
        <f>'Expenditures 15-22'!K357</f>
        <v>0</v>
      </c>
      <c r="L15" s="347"/>
    </row>
    <row r="16" spans="1:13" ht="15.75" customHeight="1" x14ac:dyDescent="0.2">
      <c r="A16" s="1575" t="s">
        <v>450</v>
      </c>
      <c r="B16" s="1577">
        <v>5000</v>
      </c>
      <c r="C16" s="1742">
        <f>'Expenditures 15-22'!K112</f>
        <v>0</v>
      </c>
      <c r="D16" s="1742">
        <f>'Expenditures 15-22'!K149</f>
        <v>0</v>
      </c>
      <c r="E16" s="1742">
        <f>'Expenditures 15-22'!K172</f>
        <v>44033</v>
      </c>
      <c r="F16" s="1742">
        <f>'Expenditures 15-22'!K208</f>
        <v>0</v>
      </c>
      <c r="G16" s="1742">
        <f>'Expenditures 15-22'!K293</f>
        <v>0</v>
      </c>
      <c r="H16" s="523"/>
      <c r="I16" s="468" t="s">
        <v>1169</v>
      </c>
      <c r="J16" s="1747">
        <f>'Expenditures 15-22'!K340</f>
        <v>0</v>
      </c>
      <c r="K16" s="1742">
        <f>'Expenditures 15-22'!K365</f>
        <v>0</v>
      </c>
      <c r="L16" s="347"/>
    </row>
    <row r="17" spans="1:12" ht="13.5" thickBot="1" x14ac:dyDescent="0.25">
      <c r="A17" s="1707" t="s">
        <v>48</v>
      </c>
      <c r="B17" s="1708"/>
      <c r="C17" s="1687">
        <f t="shared" ref="C17:H17" si="2">SUM(C12:C16)</f>
        <v>2850317</v>
      </c>
      <c r="D17" s="1687">
        <f t="shared" si="2"/>
        <v>326412</v>
      </c>
      <c r="E17" s="1687">
        <f t="shared" si="2"/>
        <v>44033</v>
      </c>
      <c r="F17" s="1687">
        <f t="shared" si="2"/>
        <v>295187</v>
      </c>
      <c r="G17" s="1687">
        <f t="shared" si="2"/>
        <v>122916</v>
      </c>
      <c r="H17" s="1687">
        <f t="shared" si="2"/>
        <v>110412</v>
      </c>
      <c r="I17" s="468"/>
      <c r="J17" s="1687">
        <f>SUM(J12:J16)</f>
        <v>176977</v>
      </c>
      <c r="K17" s="1687">
        <f>SUM(K12:K16)</f>
        <v>0</v>
      </c>
      <c r="L17" s="347"/>
    </row>
    <row r="18" spans="1:12" ht="15" customHeight="1" thickTop="1" x14ac:dyDescent="0.2">
      <c r="A18" s="1743" t="s">
        <v>1654</v>
      </c>
      <c r="B18" s="1744">
        <v>4180</v>
      </c>
      <c r="C18" s="1741">
        <f t="shared" ref="C18:H18" si="3">C9</f>
        <v>1278297</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4128614</v>
      </c>
      <c r="D19" s="1687">
        <f t="shared" si="4"/>
        <v>326412</v>
      </c>
      <c r="E19" s="1687">
        <f t="shared" si="4"/>
        <v>44033</v>
      </c>
      <c r="F19" s="1687">
        <f t="shared" si="4"/>
        <v>295187</v>
      </c>
      <c r="G19" s="1687">
        <f t="shared" si="4"/>
        <v>122916</v>
      </c>
      <c r="H19" s="1687">
        <f t="shared" si="4"/>
        <v>110412</v>
      </c>
      <c r="I19" s="468"/>
      <c r="J19" s="1687">
        <f>SUM(J17:J18)</f>
        <v>176977</v>
      </c>
      <c r="K19" s="1687">
        <f>SUM(K17:K18)</f>
        <v>0</v>
      </c>
      <c r="L19" s="347"/>
    </row>
    <row r="20" spans="1:12" ht="16.5" thickTop="1" thickBot="1" x14ac:dyDescent="0.25">
      <c r="A20" s="2126" t="s">
        <v>1655</v>
      </c>
      <c r="B20" s="2127"/>
      <c r="C20" s="1745">
        <f>C8-C17</f>
        <v>206624</v>
      </c>
      <c r="D20" s="1745">
        <f t="shared" ref="D20:K20" si="5">D8-D17</f>
        <v>100631</v>
      </c>
      <c r="E20" s="1745">
        <f t="shared" si="5"/>
        <v>-255</v>
      </c>
      <c r="F20" s="1745">
        <f t="shared" si="5"/>
        <v>185431</v>
      </c>
      <c r="G20" s="1745">
        <f t="shared" si="5"/>
        <v>13078</v>
      </c>
      <c r="H20" s="1745">
        <f t="shared" si="5"/>
        <v>4197</v>
      </c>
      <c r="I20" s="1745">
        <f t="shared" si="5"/>
        <v>11940</v>
      </c>
      <c r="J20" s="1745">
        <f t="shared" si="5"/>
        <v>404</v>
      </c>
      <c r="K20" s="1745">
        <f t="shared" si="5"/>
        <v>23887</v>
      </c>
      <c r="L20" s="347"/>
    </row>
    <row r="21" spans="1:12" ht="16.7" customHeight="1" thickTop="1" x14ac:dyDescent="0.2">
      <c r="A21" s="2138" t="s">
        <v>595</v>
      </c>
      <c r="B21" s="2139"/>
      <c r="C21" s="1569"/>
      <c r="D21" s="1570"/>
      <c r="E21" s="1570"/>
      <c r="F21" s="1570"/>
      <c r="G21" s="1570"/>
      <c r="H21" s="1570"/>
      <c r="I21" s="1570"/>
      <c r="J21" s="1570"/>
      <c r="K21" s="1571"/>
      <c r="L21" s="524"/>
    </row>
    <row r="22" spans="1:12" ht="15.75" customHeight="1" collapsed="1" x14ac:dyDescent="0.2">
      <c r="A22" s="2134" t="s">
        <v>596</v>
      </c>
      <c r="B22" s="2135"/>
      <c r="C22" s="477"/>
      <c r="D22" s="477"/>
      <c r="E22" s="477"/>
      <c r="F22" s="477"/>
      <c r="G22" s="477"/>
      <c r="H22" s="477"/>
      <c r="I22" s="477"/>
      <c r="J22" s="477"/>
      <c r="K22" s="477"/>
      <c r="L22" s="347"/>
    </row>
    <row r="23" spans="1:12" s="485" customFormat="1" ht="15.75" customHeight="1" x14ac:dyDescent="0.2">
      <c r="A23" s="2130" t="s">
        <v>293</v>
      </c>
      <c r="B23" s="2131"/>
      <c r="C23" s="480"/>
      <c r="D23" s="477"/>
      <c r="E23" s="477"/>
      <c r="F23" s="477"/>
      <c r="G23" s="477"/>
      <c r="H23" s="477"/>
      <c r="I23" s="477"/>
      <c r="J23" s="477"/>
      <c r="K23" s="477"/>
      <c r="L23" s="524"/>
    </row>
    <row r="24" spans="1:12" s="485" customFormat="1" ht="13.5" customHeight="1" x14ac:dyDescent="0.2">
      <c r="A24" s="1488" t="s">
        <v>1656</v>
      </c>
      <c r="B24" s="525">
        <v>7110</v>
      </c>
      <c r="C24" s="467"/>
      <c r="D24" s="477"/>
      <c r="E24" s="477"/>
      <c r="F24" s="477"/>
      <c r="G24" s="477"/>
      <c r="H24" s="477"/>
      <c r="I24" s="477"/>
      <c r="J24" s="477"/>
      <c r="K24" s="477"/>
      <c r="L24" s="524"/>
    </row>
    <row r="25" spans="1:12" s="485" customFormat="1" ht="13.5" customHeight="1" x14ac:dyDescent="0.2">
      <c r="A25" s="1488" t="s">
        <v>1657</v>
      </c>
      <c r="B25" s="525">
        <v>7110</v>
      </c>
      <c r="C25" s="467"/>
      <c r="D25" s="467">
        <v>45000</v>
      </c>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1398</v>
      </c>
      <c r="B28" s="483">
        <v>7140</v>
      </c>
      <c r="C28" s="467"/>
      <c r="D28" s="467"/>
      <c r="E28" s="467"/>
      <c r="F28" s="467"/>
      <c r="G28" s="467"/>
      <c r="H28" s="467"/>
      <c r="I28" s="467"/>
      <c r="J28" s="467"/>
      <c r="K28" s="467"/>
      <c r="L28" s="524"/>
    </row>
    <row r="29" spans="1:12" s="485" customFormat="1" ht="13.5" customHeight="1" x14ac:dyDescent="0.2">
      <c r="A29" s="1488" t="s">
        <v>294</v>
      </c>
      <c r="B29" s="483">
        <v>7150</v>
      </c>
      <c r="C29" s="475"/>
      <c r="D29" s="467"/>
      <c r="E29" s="475"/>
      <c r="F29" s="475"/>
      <c r="G29" s="475"/>
      <c r="H29" s="475"/>
      <c r="I29" s="475"/>
      <c r="J29" s="475"/>
      <c r="K29" s="475"/>
      <c r="L29" s="524"/>
    </row>
    <row r="30" spans="1:12" s="485" customFormat="1" ht="26.25" x14ac:dyDescent="0.2">
      <c r="A30" s="1488" t="s">
        <v>1794</v>
      </c>
      <c r="B30" s="527">
        <v>7160</v>
      </c>
      <c r="C30" s="477"/>
      <c r="D30" s="467"/>
      <c r="E30" s="477"/>
      <c r="F30" s="477"/>
      <c r="G30" s="477"/>
      <c r="H30" s="477"/>
      <c r="I30" s="477"/>
      <c r="J30" s="477"/>
      <c r="K30" s="477"/>
      <c r="L30" s="524"/>
    </row>
    <row r="31" spans="1:12" s="485" customFormat="1" ht="26.25" x14ac:dyDescent="0.2">
      <c r="A31" s="1488" t="s">
        <v>1798</v>
      </c>
      <c r="B31" s="527">
        <v>7170</v>
      </c>
      <c r="C31" s="477"/>
      <c r="D31" s="477"/>
      <c r="E31" s="474"/>
      <c r="F31" s="477"/>
      <c r="G31" s="477"/>
      <c r="H31" s="477"/>
      <c r="I31" s="477"/>
      <c r="J31" s="477"/>
      <c r="K31" s="477"/>
      <c r="L31" s="524"/>
    </row>
    <row r="32" spans="1:12" s="485" customFormat="1" ht="15.75" customHeight="1" x14ac:dyDescent="0.2">
      <c r="A32" s="2132" t="s">
        <v>981</v>
      </c>
      <c r="B32" s="2133"/>
      <c r="C32" s="477"/>
      <c r="D32" s="477"/>
      <c r="E32" s="475"/>
      <c r="F32" s="477"/>
      <c r="G32" s="477"/>
      <c r="H32" s="477"/>
      <c r="I32" s="477"/>
      <c r="J32" s="477"/>
      <c r="K32" s="477"/>
      <c r="L32" s="524"/>
    </row>
    <row r="33" spans="1:12" s="485" customFormat="1" x14ac:dyDescent="0.2">
      <c r="A33" s="1488" t="s">
        <v>412</v>
      </c>
      <c r="B33" s="525">
        <v>7210</v>
      </c>
      <c r="C33" s="467"/>
      <c r="D33" s="467"/>
      <c r="E33" s="467"/>
      <c r="F33" s="467"/>
      <c r="G33" s="477"/>
      <c r="H33" s="467"/>
      <c r="I33" s="467"/>
      <c r="J33" s="467"/>
      <c r="K33" s="467"/>
      <c r="L33" s="524"/>
    </row>
    <row r="34" spans="1:12" s="485" customFormat="1" x14ac:dyDescent="0.2">
      <c r="A34" s="1488" t="s">
        <v>1001</v>
      </c>
      <c r="B34" s="525">
        <v>7220</v>
      </c>
      <c r="C34" s="467"/>
      <c r="D34" s="467"/>
      <c r="E34" s="467"/>
      <c r="F34" s="467"/>
      <c r="G34" s="477"/>
      <c r="H34" s="478"/>
      <c r="I34" s="478"/>
      <c r="J34" s="478"/>
      <c r="K34" s="478"/>
      <c r="L34" s="524"/>
    </row>
    <row r="35" spans="1:12" s="485" customFormat="1" x14ac:dyDescent="0.2">
      <c r="A35" s="1488" t="s">
        <v>990</v>
      </c>
      <c r="B35" s="525">
        <v>7230</v>
      </c>
      <c r="C35" s="467"/>
      <c r="D35" s="467"/>
      <c r="E35" s="467"/>
      <c r="F35" s="467"/>
      <c r="G35" s="480"/>
      <c r="H35" s="467"/>
      <c r="I35" s="467"/>
      <c r="J35" s="467"/>
      <c r="K35" s="467"/>
      <c r="L35" s="524"/>
    </row>
    <row r="36" spans="1:12" s="485" customFormat="1" ht="15" x14ac:dyDescent="0.2">
      <c r="A36" s="1488" t="s">
        <v>1658</v>
      </c>
      <c r="B36" s="525">
        <v>7300</v>
      </c>
      <c r="C36" s="467"/>
      <c r="D36" s="467"/>
      <c r="E36" s="467"/>
      <c r="F36" s="467"/>
      <c r="G36" s="467"/>
      <c r="H36" s="467"/>
      <c r="I36" s="475"/>
      <c r="J36" s="467"/>
      <c r="K36" s="467"/>
      <c r="L36" s="524"/>
    </row>
    <row r="37" spans="1:12" s="485" customFormat="1" x14ac:dyDescent="0.2">
      <c r="A37" s="1488" t="s">
        <v>441</v>
      </c>
      <c r="B37" s="525">
        <v>7400</v>
      </c>
      <c r="C37" s="475"/>
      <c r="D37" s="475"/>
      <c r="E37" s="1742">
        <f>SUM(C54:D57,H54:H57)</f>
        <v>0</v>
      </c>
      <c r="F37" s="475"/>
      <c r="G37" s="475"/>
      <c r="H37" s="475"/>
      <c r="I37" s="477"/>
      <c r="J37" s="475"/>
      <c r="K37" s="475"/>
      <c r="L37" s="524"/>
    </row>
    <row r="38" spans="1:12" s="485" customFormat="1" x14ac:dyDescent="0.2">
      <c r="A38" s="1488" t="s">
        <v>442</v>
      </c>
      <c r="B38" s="525">
        <v>7500</v>
      </c>
      <c r="C38" s="477"/>
      <c r="D38" s="477"/>
      <c r="E38" s="1742">
        <f>SUM(C58:D61,H58:H61)</f>
        <v>0</v>
      </c>
      <c r="F38" s="477"/>
      <c r="G38" s="477"/>
      <c r="H38" s="477"/>
      <c r="I38" s="477"/>
      <c r="J38" s="477"/>
      <c r="K38" s="477"/>
      <c r="L38" s="524"/>
    </row>
    <row r="39" spans="1:12" s="485" customFormat="1" x14ac:dyDescent="0.2">
      <c r="A39" s="1488" t="s">
        <v>443</v>
      </c>
      <c r="B39" s="525">
        <v>7600</v>
      </c>
      <c r="C39" s="477"/>
      <c r="D39" s="477"/>
      <c r="E39" s="1742">
        <f>SUM(C62:D65)</f>
        <v>0</v>
      </c>
      <c r="F39" s="477"/>
      <c r="G39" s="477"/>
      <c r="H39" s="477"/>
      <c r="I39" s="477"/>
      <c r="J39" s="477"/>
      <c r="K39" s="477"/>
      <c r="L39" s="524"/>
    </row>
    <row r="40" spans="1:12" s="485" customFormat="1" ht="13.5" customHeight="1" x14ac:dyDescent="0.2">
      <c r="A40" s="1488" t="s">
        <v>642</v>
      </c>
      <c r="B40" s="483">
        <v>7700</v>
      </c>
      <c r="C40" s="477"/>
      <c r="D40" s="477"/>
      <c r="E40" s="1742">
        <f>SUM(C66:D69)</f>
        <v>0</v>
      </c>
      <c r="F40" s="477"/>
      <c r="G40" s="477"/>
      <c r="H40" s="480"/>
      <c r="I40" s="477"/>
      <c r="J40" s="477"/>
      <c r="K40" s="477"/>
      <c r="L40" s="524"/>
    </row>
    <row r="41" spans="1:12" s="485" customFormat="1" ht="13.5" customHeight="1" x14ac:dyDescent="0.2">
      <c r="A41" s="1488" t="s">
        <v>640</v>
      </c>
      <c r="B41" s="483">
        <v>7800</v>
      </c>
      <c r="C41" s="480"/>
      <c r="D41" s="480"/>
      <c r="E41" s="526"/>
      <c r="F41" s="480"/>
      <c r="G41" s="480"/>
      <c r="H41" s="1742">
        <f>SUM(C70:D73)</f>
        <v>0</v>
      </c>
      <c r="I41" s="477"/>
      <c r="J41" s="477"/>
      <c r="K41" s="480"/>
      <c r="L41" s="524"/>
    </row>
    <row r="42" spans="1:12" s="485" customFormat="1" ht="13.5" customHeight="1" x14ac:dyDescent="0.2">
      <c r="A42" s="1488" t="s">
        <v>641</v>
      </c>
      <c r="B42" s="483">
        <v>7900</v>
      </c>
      <c r="C42" s="467"/>
      <c r="D42" s="467"/>
      <c r="E42" s="467"/>
      <c r="F42" s="467"/>
      <c r="G42" s="467"/>
      <c r="H42" s="467"/>
      <c r="I42" s="480"/>
      <c r="J42" s="480"/>
      <c r="K42" s="467"/>
      <c r="L42" s="524"/>
    </row>
    <row r="43" spans="1:12" s="485" customFormat="1" ht="13.5" customHeight="1" x14ac:dyDescent="0.2">
      <c r="A43" s="1488" t="s">
        <v>373</v>
      </c>
      <c r="B43" s="483">
        <v>7990</v>
      </c>
      <c r="C43" s="467"/>
      <c r="D43" s="467"/>
      <c r="E43" s="467"/>
      <c r="F43" s="467"/>
      <c r="G43" s="467"/>
      <c r="H43" s="467"/>
      <c r="I43" s="467"/>
      <c r="J43" s="467"/>
      <c r="K43" s="467"/>
      <c r="L43" s="524"/>
    </row>
    <row r="44" spans="1:12" s="485" customFormat="1" ht="13.5" customHeight="1" thickBot="1" x14ac:dyDescent="0.25">
      <c r="A44" s="2140" t="s">
        <v>374</v>
      </c>
      <c r="B44" s="2141"/>
      <c r="C44" s="1702">
        <f>SUM(C24:C43)</f>
        <v>0</v>
      </c>
      <c r="D44" s="1702">
        <f t="shared" ref="D44:K44" si="6">SUM(D24:D43)</f>
        <v>45000</v>
      </c>
      <c r="E44" s="1702">
        <f t="shared" si="6"/>
        <v>0</v>
      </c>
      <c r="F44" s="1702">
        <f t="shared" si="6"/>
        <v>0</v>
      </c>
      <c r="G44" s="1702">
        <f t="shared" si="6"/>
        <v>0</v>
      </c>
      <c r="H44" s="1702">
        <f t="shared" si="6"/>
        <v>0</v>
      </c>
      <c r="I44" s="1702">
        <f t="shared" si="6"/>
        <v>0</v>
      </c>
      <c r="J44" s="1702">
        <f t="shared" si="6"/>
        <v>0</v>
      </c>
      <c r="K44" s="1702">
        <f t="shared" si="6"/>
        <v>0</v>
      </c>
      <c r="L44" s="524"/>
    </row>
    <row r="45" spans="1:12" ht="15.75" customHeight="1" thickTop="1" x14ac:dyDescent="0.2">
      <c r="A45" s="2134" t="s">
        <v>108</v>
      </c>
      <c r="B45" s="2135"/>
      <c r="C45" s="528"/>
      <c r="D45" s="528"/>
      <c r="E45" s="528"/>
      <c r="F45" s="528"/>
      <c r="G45" s="528"/>
      <c r="H45" s="528"/>
      <c r="I45" s="528"/>
      <c r="J45" s="528"/>
      <c r="K45" s="528"/>
      <c r="L45" s="347"/>
    </row>
    <row r="46" spans="1:12" s="485" customFormat="1" ht="15.75" customHeight="1" x14ac:dyDescent="0.2">
      <c r="A46" s="2142" t="s">
        <v>109</v>
      </c>
      <c r="B46" s="2143"/>
      <c r="C46" s="477"/>
      <c r="D46" s="477"/>
      <c r="E46" s="477"/>
      <c r="F46" s="477"/>
      <c r="G46" s="477"/>
      <c r="H46" s="477"/>
      <c r="I46" s="480"/>
      <c r="J46" s="477"/>
      <c r="K46" s="477"/>
      <c r="L46" s="529"/>
    </row>
    <row r="47" spans="1:12" s="485" customFormat="1" ht="15" x14ac:dyDescent="0.2">
      <c r="A47" s="1489" t="s">
        <v>1659</v>
      </c>
      <c r="B47" s="483">
        <v>8110</v>
      </c>
      <c r="C47" s="477"/>
      <c r="D47" s="477"/>
      <c r="E47" s="477"/>
      <c r="F47" s="477"/>
      <c r="G47" s="477"/>
      <c r="H47" s="477"/>
      <c r="I47" s="1742">
        <f>SUM(C24,C25:H25,J25:K25)</f>
        <v>45000</v>
      </c>
      <c r="J47" s="477"/>
      <c r="K47" s="477"/>
      <c r="L47" s="529"/>
    </row>
    <row r="48" spans="1:12" s="485" customFormat="1" ht="15" x14ac:dyDescent="0.2">
      <c r="A48" s="1489" t="s">
        <v>1660</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1398</v>
      </c>
      <c r="B50" s="483">
        <v>8140</v>
      </c>
      <c r="C50" s="467"/>
      <c r="D50" s="467"/>
      <c r="E50" s="467"/>
      <c r="F50" s="467"/>
      <c r="G50" s="467"/>
      <c r="H50" s="467"/>
      <c r="I50" s="477"/>
      <c r="J50" s="467"/>
      <c r="K50" s="477"/>
      <c r="L50" s="524"/>
    </row>
    <row r="51" spans="1:12" s="485" customFormat="1" x14ac:dyDescent="0.2">
      <c r="A51" s="1489" t="s">
        <v>294</v>
      </c>
      <c r="B51" s="483">
        <v>8150</v>
      </c>
      <c r="C51" s="475"/>
      <c r="D51" s="475"/>
      <c r="E51" s="475"/>
      <c r="F51" s="475"/>
      <c r="G51" s="475"/>
      <c r="H51" s="1742">
        <f>SUM(D29)</f>
        <v>0</v>
      </c>
      <c r="I51" s="477"/>
      <c r="J51" s="475"/>
      <c r="K51" s="480"/>
      <c r="L51" s="524"/>
    </row>
    <row r="52" spans="1:12" s="485" customFormat="1" ht="26.25" x14ac:dyDescent="0.2">
      <c r="A52" s="1489" t="s">
        <v>1797</v>
      </c>
      <c r="B52" s="483">
        <v>8160</v>
      </c>
      <c r="C52" s="477"/>
      <c r="D52" s="477"/>
      <c r="E52" s="477"/>
      <c r="F52" s="477"/>
      <c r="G52" s="477"/>
      <c r="H52" s="477"/>
      <c r="I52" s="477"/>
      <c r="J52" s="477"/>
      <c r="K52" s="1742">
        <f>D30</f>
        <v>0</v>
      </c>
      <c r="L52" s="524"/>
    </row>
    <row r="53" spans="1:12" s="485" customFormat="1" ht="26.25" x14ac:dyDescent="0.2">
      <c r="A53" s="1489" t="s">
        <v>1796</v>
      </c>
      <c r="B53" s="483">
        <v>8170</v>
      </c>
      <c r="C53" s="480"/>
      <c r="D53" s="480"/>
      <c r="E53" s="477"/>
      <c r="F53" s="477"/>
      <c r="G53" s="477"/>
      <c r="H53" s="480"/>
      <c r="I53" s="477"/>
      <c r="J53" s="477"/>
      <c r="K53" s="1742">
        <f>E31</f>
        <v>0</v>
      </c>
      <c r="L53" s="524"/>
    </row>
    <row r="54" spans="1:12" s="485" customFormat="1" ht="13.5" thickBot="1" x14ac:dyDescent="0.25">
      <c r="A54" s="1489" t="s">
        <v>692</v>
      </c>
      <c r="B54" s="483">
        <v>8410</v>
      </c>
      <c r="C54" s="530"/>
      <c r="D54" s="530"/>
      <c r="E54" s="477"/>
      <c r="F54" s="477"/>
      <c r="G54" s="477"/>
      <c r="H54" s="530"/>
      <c r="I54" s="477"/>
      <c r="J54" s="477"/>
      <c r="K54" s="475"/>
      <c r="L54" s="524"/>
    </row>
    <row r="55" spans="1:12" s="485" customFormat="1" ht="14.25" thickTop="1" thickBot="1" x14ac:dyDescent="0.25">
      <c r="A55" s="1490" t="s">
        <v>693</v>
      </c>
      <c r="B55" s="483">
        <v>8420</v>
      </c>
      <c r="C55" s="531"/>
      <c r="D55" s="531"/>
      <c r="E55" s="477"/>
      <c r="F55" s="477"/>
      <c r="G55" s="477"/>
      <c r="H55" s="530"/>
      <c r="I55" s="477"/>
      <c r="J55" s="477"/>
      <c r="K55" s="477"/>
      <c r="L55" s="524"/>
    </row>
    <row r="56" spans="1:12" s="485" customFormat="1" ht="14.25" thickTop="1" thickBot="1" x14ac:dyDescent="0.25">
      <c r="A56" s="1489" t="s">
        <v>581</v>
      </c>
      <c r="B56" s="483">
        <v>8430</v>
      </c>
      <c r="C56" s="531"/>
      <c r="D56" s="531"/>
      <c r="E56" s="477"/>
      <c r="F56" s="477"/>
      <c r="G56" s="477"/>
      <c r="H56" s="530"/>
      <c r="I56" s="477"/>
      <c r="J56" s="477"/>
      <c r="K56" s="477"/>
      <c r="L56" s="524"/>
    </row>
    <row r="57" spans="1:12" s="485" customFormat="1" ht="14.25" thickTop="1" thickBot="1" x14ac:dyDescent="0.25">
      <c r="A57" s="1490" t="s">
        <v>578</v>
      </c>
      <c r="B57" s="483">
        <v>8440</v>
      </c>
      <c r="C57" s="531"/>
      <c r="D57" s="531"/>
      <c r="E57" s="477"/>
      <c r="F57" s="477"/>
      <c r="G57" s="477"/>
      <c r="H57" s="530"/>
      <c r="I57" s="477"/>
      <c r="J57" s="477"/>
      <c r="K57" s="477"/>
      <c r="L57" s="524"/>
    </row>
    <row r="58" spans="1:12" s="485" customFormat="1" ht="14.25" thickTop="1" thickBot="1" x14ac:dyDescent="0.25">
      <c r="A58" s="1489" t="s">
        <v>579</v>
      </c>
      <c r="B58" s="483">
        <v>8510</v>
      </c>
      <c r="C58" s="531"/>
      <c r="D58" s="531"/>
      <c r="E58" s="477"/>
      <c r="F58" s="477"/>
      <c r="G58" s="477"/>
      <c r="H58" s="530"/>
      <c r="I58" s="477"/>
      <c r="J58" s="477"/>
      <c r="K58" s="477"/>
      <c r="L58" s="524"/>
    </row>
    <row r="59" spans="1:12" s="485" customFormat="1" ht="14.25" thickTop="1" thickBot="1" x14ac:dyDescent="0.25">
      <c r="A59" s="1491" t="s">
        <v>694</v>
      </c>
      <c r="B59" s="483">
        <v>8520</v>
      </c>
      <c r="C59" s="531"/>
      <c r="D59" s="531"/>
      <c r="E59" s="477"/>
      <c r="F59" s="477"/>
      <c r="G59" s="477"/>
      <c r="H59" s="530"/>
      <c r="I59" s="477"/>
      <c r="J59" s="477"/>
      <c r="K59" s="477"/>
      <c r="L59" s="524"/>
    </row>
    <row r="60" spans="1:12" s="485" customFormat="1" ht="14.25" thickTop="1" thickBot="1" x14ac:dyDescent="0.25">
      <c r="A60" s="1489" t="s">
        <v>580</v>
      </c>
      <c r="B60" s="483">
        <v>8530</v>
      </c>
      <c r="C60" s="531"/>
      <c r="D60" s="531"/>
      <c r="E60" s="477"/>
      <c r="F60" s="477"/>
      <c r="G60" s="477"/>
      <c r="H60" s="530"/>
      <c r="I60" s="477"/>
      <c r="J60" s="477"/>
      <c r="K60" s="477"/>
      <c r="L60" s="524"/>
    </row>
    <row r="61" spans="1:12" s="485" customFormat="1" ht="14.25" thickTop="1" thickBot="1" x14ac:dyDescent="0.25">
      <c r="A61" s="1490" t="s">
        <v>743</v>
      </c>
      <c r="B61" s="483">
        <v>8540</v>
      </c>
      <c r="C61" s="531"/>
      <c r="D61" s="531"/>
      <c r="E61" s="477"/>
      <c r="F61" s="477"/>
      <c r="G61" s="477"/>
      <c r="H61" s="530"/>
      <c r="I61" s="477"/>
      <c r="J61" s="477"/>
      <c r="K61" s="477"/>
      <c r="L61" s="524"/>
    </row>
    <row r="62" spans="1:12" s="485" customFormat="1" ht="13.5" customHeight="1" thickTop="1" thickBot="1" x14ac:dyDescent="0.25">
      <c r="A62" s="1489" t="s">
        <v>744</v>
      </c>
      <c r="B62" s="483">
        <v>8610</v>
      </c>
      <c r="C62" s="531"/>
      <c r="D62" s="531"/>
      <c r="E62" s="477"/>
      <c r="F62" s="477"/>
      <c r="G62" s="477"/>
      <c r="H62" s="477"/>
      <c r="I62" s="477"/>
      <c r="J62" s="477"/>
      <c r="K62" s="477"/>
      <c r="L62" s="524"/>
    </row>
    <row r="63" spans="1:12" s="485" customFormat="1" ht="14.25" thickTop="1" thickBot="1" x14ac:dyDescent="0.25">
      <c r="A63" s="1490" t="s">
        <v>695</v>
      </c>
      <c r="B63" s="483">
        <v>8620</v>
      </c>
      <c r="C63" s="531"/>
      <c r="D63" s="531"/>
      <c r="E63" s="477"/>
      <c r="F63" s="477"/>
      <c r="G63" s="477"/>
      <c r="H63" s="477"/>
      <c r="I63" s="477"/>
      <c r="J63" s="477"/>
      <c r="K63" s="477"/>
      <c r="L63" s="524"/>
    </row>
    <row r="64" spans="1:12" s="485" customFormat="1" ht="13.5" customHeight="1" thickTop="1" thickBot="1" x14ac:dyDescent="0.25">
      <c r="A64" s="1489" t="s">
        <v>745</v>
      </c>
      <c r="B64" s="483">
        <v>8630</v>
      </c>
      <c r="C64" s="531"/>
      <c r="D64" s="531"/>
      <c r="E64" s="477"/>
      <c r="F64" s="477"/>
      <c r="G64" s="477"/>
      <c r="H64" s="477"/>
      <c r="I64" s="477"/>
      <c r="J64" s="477"/>
      <c r="K64" s="477"/>
      <c r="L64" s="524"/>
    </row>
    <row r="65" spans="1:12" s="485" customFormat="1" ht="14.25" thickTop="1" thickBot="1" x14ac:dyDescent="0.25">
      <c r="A65" s="1490" t="s">
        <v>746</v>
      </c>
      <c r="B65" s="483">
        <v>8640</v>
      </c>
      <c r="C65" s="531"/>
      <c r="D65" s="531"/>
      <c r="E65" s="477"/>
      <c r="F65" s="477"/>
      <c r="G65" s="477"/>
      <c r="H65" s="477"/>
      <c r="I65" s="477"/>
      <c r="J65" s="477"/>
      <c r="K65" s="477"/>
      <c r="L65" s="524"/>
    </row>
    <row r="66" spans="1:12" s="485" customFormat="1" ht="14.25" thickTop="1" thickBot="1" x14ac:dyDescent="0.25">
      <c r="A66" s="1489" t="s">
        <v>747</v>
      </c>
      <c r="B66" s="483">
        <v>8710</v>
      </c>
      <c r="C66" s="531"/>
      <c r="D66" s="531"/>
      <c r="E66" s="477"/>
      <c r="F66" s="477"/>
      <c r="G66" s="477"/>
      <c r="H66" s="477"/>
      <c r="I66" s="477"/>
      <c r="J66" s="477"/>
      <c r="K66" s="477"/>
      <c r="L66" s="524"/>
    </row>
    <row r="67" spans="1:12" s="485" customFormat="1" ht="14.25" thickTop="1" thickBot="1" x14ac:dyDescent="0.25">
      <c r="A67" s="1490" t="s">
        <v>696</v>
      </c>
      <c r="B67" s="483">
        <v>8720</v>
      </c>
      <c r="C67" s="531"/>
      <c r="D67" s="531"/>
      <c r="E67" s="477"/>
      <c r="F67" s="477"/>
      <c r="G67" s="477"/>
      <c r="H67" s="477"/>
      <c r="I67" s="477"/>
      <c r="J67" s="477"/>
      <c r="K67" s="477"/>
      <c r="L67" s="524"/>
    </row>
    <row r="68" spans="1:12" s="485" customFormat="1" ht="14.25" thickTop="1" thickBot="1" x14ac:dyDescent="0.25">
      <c r="A68" s="1491" t="s">
        <v>748</v>
      </c>
      <c r="B68" s="483">
        <v>8730</v>
      </c>
      <c r="C68" s="531"/>
      <c r="D68" s="531"/>
      <c r="E68" s="477"/>
      <c r="F68" s="477"/>
      <c r="G68" s="477"/>
      <c r="H68" s="477"/>
      <c r="I68" s="477"/>
      <c r="J68" s="477"/>
      <c r="K68" s="477"/>
      <c r="L68" s="524"/>
    </row>
    <row r="69" spans="1:12" s="485" customFormat="1" ht="14.25" thickTop="1" thickBot="1" x14ac:dyDescent="0.25">
      <c r="A69" s="1490" t="s">
        <v>749</v>
      </c>
      <c r="B69" s="483">
        <v>8740</v>
      </c>
      <c r="C69" s="531"/>
      <c r="D69" s="531"/>
      <c r="E69" s="477"/>
      <c r="F69" s="477"/>
      <c r="G69" s="477"/>
      <c r="H69" s="477"/>
      <c r="I69" s="477"/>
      <c r="J69" s="477"/>
      <c r="K69" s="477"/>
      <c r="L69" s="524"/>
    </row>
    <row r="70" spans="1:12" s="485" customFormat="1" ht="14.25" thickTop="1" thickBot="1" x14ac:dyDescent="0.25">
      <c r="A70" s="1489" t="s">
        <v>750</v>
      </c>
      <c r="B70" s="483">
        <v>8810</v>
      </c>
      <c r="C70" s="531"/>
      <c r="D70" s="531"/>
      <c r="E70" s="477"/>
      <c r="F70" s="477"/>
      <c r="G70" s="477"/>
      <c r="H70" s="477"/>
      <c r="I70" s="477"/>
      <c r="J70" s="477"/>
      <c r="K70" s="477"/>
      <c r="L70" s="524"/>
    </row>
    <row r="71" spans="1:12" s="485" customFormat="1" ht="14.25" thickTop="1" thickBot="1" x14ac:dyDescent="0.25">
      <c r="A71" s="1489" t="s">
        <v>754</v>
      </c>
      <c r="B71" s="483">
        <v>8820</v>
      </c>
      <c r="C71" s="531"/>
      <c r="D71" s="531"/>
      <c r="E71" s="477"/>
      <c r="F71" s="477"/>
      <c r="G71" s="477"/>
      <c r="H71" s="477"/>
      <c r="I71" s="477"/>
      <c r="J71" s="477"/>
      <c r="K71" s="477"/>
      <c r="L71" s="524"/>
    </row>
    <row r="72" spans="1:12" s="485" customFormat="1" ht="14.25" thickTop="1" thickBot="1" x14ac:dyDescent="0.25">
      <c r="A72" s="1489" t="s">
        <v>751</v>
      </c>
      <c r="B72" s="483">
        <v>8830</v>
      </c>
      <c r="C72" s="531"/>
      <c r="D72" s="531"/>
      <c r="E72" s="477"/>
      <c r="F72" s="477"/>
      <c r="G72" s="477"/>
      <c r="H72" s="477"/>
      <c r="I72" s="477"/>
      <c r="J72" s="477"/>
      <c r="K72" s="477"/>
      <c r="L72" s="524"/>
    </row>
    <row r="73" spans="1:12" s="485" customFormat="1" ht="14.25" thickTop="1" thickBot="1" x14ac:dyDescent="0.25">
      <c r="A73" s="1489" t="s">
        <v>752</v>
      </c>
      <c r="B73" s="483">
        <v>8840</v>
      </c>
      <c r="C73" s="531"/>
      <c r="D73" s="531"/>
      <c r="E73" s="477"/>
      <c r="F73" s="477"/>
      <c r="G73" s="477"/>
      <c r="H73" s="477"/>
      <c r="I73" s="477"/>
      <c r="J73" s="477"/>
      <c r="K73" s="480"/>
      <c r="L73" s="524"/>
    </row>
    <row r="74" spans="1:12" s="485" customFormat="1" ht="14.25" thickTop="1" thickBot="1" x14ac:dyDescent="0.25">
      <c r="A74" s="1489" t="s">
        <v>375</v>
      </c>
      <c r="B74" s="483">
        <v>8910</v>
      </c>
      <c r="C74" s="531"/>
      <c r="D74" s="531"/>
      <c r="E74" s="480"/>
      <c r="F74" s="530"/>
      <c r="G74" s="530"/>
      <c r="H74" s="530"/>
      <c r="I74" s="480"/>
      <c r="J74" s="480"/>
      <c r="K74" s="530"/>
      <c r="L74" s="524"/>
    </row>
    <row r="75" spans="1:12" s="485" customFormat="1" ht="14.25" thickTop="1" thickBot="1" x14ac:dyDescent="0.25">
      <c r="A75" s="1492" t="s">
        <v>439</v>
      </c>
      <c r="B75" s="483">
        <v>8990</v>
      </c>
      <c r="C75" s="531"/>
      <c r="D75" s="531"/>
      <c r="E75" s="530"/>
      <c r="F75" s="532"/>
      <c r="G75" s="532"/>
      <c r="H75" s="532"/>
      <c r="I75" s="530"/>
      <c r="J75" s="530"/>
      <c r="K75" s="532"/>
      <c r="L75" s="524"/>
    </row>
    <row r="76" spans="1:12" s="485" customFormat="1" ht="14.25" thickTop="1" thickBot="1" x14ac:dyDescent="0.25">
      <c r="A76" s="2116" t="s">
        <v>440</v>
      </c>
      <c r="B76" s="2117"/>
      <c r="C76" s="1702">
        <f t="shared" ref="C76:K76" si="7">SUM(C47:C75)</f>
        <v>0</v>
      </c>
      <c r="D76" s="1702">
        <f t="shared" si="7"/>
        <v>0</v>
      </c>
      <c r="E76" s="1702">
        <f t="shared" si="7"/>
        <v>0</v>
      </c>
      <c r="F76" s="1702">
        <f t="shared" si="7"/>
        <v>0</v>
      </c>
      <c r="G76" s="1702">
        <f t="shared" si="7"/>
        <v>0</v>
      </c>
      <c r="H76" s="1702">
        <f t="shared" si="7"/>
        <v>0</v>
      </c>
      <c r="I76" s="1702">
        <f t="shared" si="7"/>
        <v>45000</v>
      </c>
      <c r="J76" s="1702">
        <f t="shared" si="7"/>
        <v>0</v>
      </c>
      <c r="K76" s="1702">
        <f t="shared" si="7"/>
        <v>0</v>
      </c>
      <c r="L76" s="524"/>
    </row>
    <row r="77" spans="1:12" ht="14.25" thickTop="1" thickBot="1" x14ac:dyDescent="0.25">
      <c r="A77" s="2118" t="s">
        <v>1177</v>
      </c>
      <c r="B77" s="2119"/>
      <c r="C77" s="1702">
        <f t="shared" ref="C77:K77" si="8">C44-C76</f>
        <v>0</v>
      </c>
      <c r="D77" s="1702">
        <f t="shared" si="8"/>
        <v>45000</v>
      </c>
      <c r="E77" s="1702">
        <f t="shared" si="8"/>
        <v>0</v>
      </c>
      <c r="F77" s="1702">
        <f t="shared" si="8"/>
        <v>0</v>
      </c>
      <c r="G77" s="1702">
        <f t="shared" si="8"/>
        <v>0</v>
      </c>
      <c r="H77" s="1702">
        <f t="shared" si="8"/>
        <v>0</v>
      </c>
      <c r="I77" s="1702">
        <f t="shared" si="8"/>
        <v>-45000</v>
      </c>
      <c r="J77" s="1702">
        <f t="shared" si="8"/>
        <v>0</v>
      </c>
      <c r="K77" s="1702">
        <f t="shared" si="8"/>
        <v>0</v>
      </c>
      <c r="L77" s="347"/>
    </row>
    <row r="78" spans="1:12" ht="21.95" customHeight="1" thickTop="1" thickBot="1" x14ac:dyDescent="0.25">
      <c r="A78" s="2122" t="s">
        <v>597</v>
      </c>
      <c r="B78" s="2123"/>
      <c r="C78" s="1701">
        <f t="shared" ref="C78:K78" si="9">C20+C77</f>
        <v>206624</v>
      </c>
      <c r="D78" s="1701">
        <f t="shared" si="9"/>
        <v>145631</v>
      </c>
      <c r="E78" s="1701">
        <f t="shared" si="9"/>
        <v>-255</v>
      </c>
      <c r="F78" s="1701">
        <f t="shared" si="9"/>
        <v>185431</v>
      </c>
      <c r="G78" s="1701">
        <f t="shared" si="9"/>
        <v>13078</v>
      </c>
      <c r="H78" s="1701">
        <f t="shared" si="9"/>
        <v>4197</v>
      </c>
      <c r="I78" s="1701">
        <f t="shared" si="9"/>
        <v>-33060</v>
      </c>
      <c r="J78" s="1701">
        <f t="shared" si="9"/>
        <v>404</v>
      </c>
      <c r="K78" s="1701">
        <f t="shared" si="9"/>
        <v>23887</v>
      </c>
      <c r="L78" s="533"/>
    </row>
    <row r="79" spans="1:12" ht="13.5" thickTop="1" x14ac:dyDescent="0.2">
      <c r="A79" s="1493" t="s">
        <v>1949</v>
      </c>
      <c r="B79" s="534"/>
      <c r="C79" s="478">
        <v>1704794</v>
      </c>
      <c r="D79" s="535">
        <v>31434</v>
      </c>
      <c r="E79" s="535">
        <v>14324</v>
      </c>
      <c r="F79" s="535">
        <v>147326</v>
      </c>
      <c r="G79" s="535">
        <v>217305</v>
      </c>
      <c r="H79" s="535">
        <v>179429</v>
      </c>
      <c r="I79" s="535">
        <v>61386</v>
      </c>
      <c r="J79" s="535">
        <v>92735</v>
      </c>
      <c r="K79" s="535">
        <v>52433</v>
      </c>
      <c r="L79" s="347"/>
    </row>
    <row r="80" spans="1:12" x14ac:dyDescent="0.2">
      <c r="A80" s="2128" t="s">
        <v>1795</v>
      </c>
      <c r="B80" s="2129"/>
      <c r="C80" s="467">
        <v>-2</v>
      </c>
      <c r="D80" s="467">
        <v>-1</v>
      </c>
      <c r="E80" s="467">
        <v>1</v>
      </c>
      <c r="F80" s="467"/>
      <c r="G80" s="467"/>
      <c r="H80" s="467">
        <v>1</v>
      </c>
      <c r="I80" s="467"/>
      <c r="J80" s="467">
        <v>1</v>
      </c>
      <c r="K80" s="467"/>
      <c r="L80" s="347"/>
    </row>
    <row r="81" spans="1:12" ht="13.5" thickBot="1" x14ac:dyDescent="0.25">
      <c r="A81" s="2120" t="s">
        <v>1950</v>
      </c>
      <c r="B81" s="2121"/>
      <c r="C81" s="1687">
        <f>(SUM(C78:C80))</f>
        <v>1911416</v>
      </c>
      <c r="D81" s="1687">
        <f>SUM(D78:D80)</f>
        <v>177064</v>
      </c>
      <c r="E81" s="1687">
        <f t="shared" ref="E81:K81" si="10">SUM(E78:E80)</f>
        <v>14070</v>
      </c>
      <c r="F81" s="1687">
        <f t="shared" si="10"/>
        <v>332757</v>
      </c>
      <c r="G81" s="1687">
        <f t="shared" si="10"/>
        <v>230383</v>
      </c>
      <c r="H81" s="1687">
        <f t="shared" si="10"/>
        <v>183627</v>
      </c>
      <c r="I81" s="1687">
        <f t="shared" si="10"/>
        <v>28326</v>
      </c>
      <c r="J81" s="1687">
        <f t="shared" si="10"/>
        <v>93140</v>
      </c>
      <c r="K81" s="1687">
        <f t="shared" si="10"/>
        <v>76320</v>
      </c>
      <c r="L81" s="347"/>
    </row>
    <row r="82" spans="1:12" ht="0.75" customHeight="1" thickTop="1" thickBot="1" x14ac:dyDescent="0.25">
      <c r="A82" s="536" t="s">
        <v>343</v>
      </c>
      <c r="B82" s="537"/>
      <c r="C82" s="538">
        <f>(C81-C79)</f>
        <v>206622</v>
      </c>
      <c r="D82" s="538">
        <f t="shared" ref="D82:K82" si="11">(D81-D79)</f>
        <v>145630</v>
      </c>
      <c r="E82" s="538">
        <f t="shared" si="11"/>
        <v>-254</v>
      </c>
      <c r="F82" s="538">
        <f t="shared" si="11"/>
        <v>185431</v>
      </c>
      <c r="G82" s="538">
        <f t="shared" si="11"/>
        <v>13078</v>
      </c>
      <c r="H82" s="538">
        <f t="shared" si="11"/>
        <v>4198</v>
      </c>
      <c r="I82" s="538">
        <f t="shared" si="11"/>
        <v>-33060</v>
      </c>
      <c r="J82" s="538">
        <f t="shared" si="11"/>
        <v>405</v>
      </c>
      <c r="K82" s="538">
        <f t="shared" si="11"/>
        <v>23887</v>
      </c>
    </row>
    <row r="83" spans="1:12" ht="14.25" hidden="1" thickTop="1" thickBot="1" x14ac:dyDescent="0.25">
      <c r="A83" s="539" t="s">
        <v>344</v>
      </c>
      <c r="B83" s="464"/>
      <c r="C83" s="540">
        <f>C82/C81</f>
        <v>0.10809891724250503</v>
      </c>
      <c r="D83" s="540">
        <f t="shared" ref="D83:K83" si="12">D82/D81</f>
        <v>0.82247097094835764</v>
      </c>
      <c r="E83" s="540">
        <f t="shared" si="12"/>
        <v>-1.8052594171997158E-2</v>
      </c>
      <c r="F83" s="540">
        <f t="shared" si="12"/>
        <v>0.55725649648241815</v>
      </c>
      <c r="G83" s="540">
        <f t="shared" si="12"/>
        <v>5.6766341266499695E-2</v>
      </c>
      <c r="H83" s="540">
        <f t="shared" si="12"/>
        <v>2.2861561752901261E-2</v>
      </c>
      <c r="I83" s="540">
        <f t="shared" si="12"/>
        <v>-1.1671256089811481</v>
      </c>
      <c r="J83" s="540">
        <f t="shared" si="12"/>
        <v>4.348292892420013E-3</v>
      </c>
      <c r="K83" s="540">
        <f t="shared" si="12"/>
        <v>0.31298480083857444</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&amp;L&amp;8Notes to Financial Statements are an integral part of this statement.
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52" activePane="bottomLeft" state="frozen"/>
      <selection activeCell="X26" sqref="X26"/>
      <selection pane="bottomLeft" activeCell="C264" sqref="C26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4" t="s">
        <v>1802</v>
      </c>
      <c r="B1" s="452"/>
      <c r="C1" s="453" t="s">
        <v>425</v>
      </c>
      <c r="D1" s="453" t="s">
        <v>426</v>
      </c>
      <c r="E1" s="453" t="s">
        <v>427</v>
      </c>
      <c r="F1" s="453" t="s">
        <v>428</v>
      </c>
      <c r="G1" s="453" t="s">
        <v>429</v>
      </c>
      <c r="H1" s="453" t="s">
        <v>430</v>
      </c>
      <c r="I1" s="453" t="s">
        <v>431</v>
      </c>
      <c r="J1" s="453" t="s">
        <v>432</v>
      </c>
      <c r="K1" s="453" t="s">
        <v>756</v>
      </c>
    </row>
    <row r="2" spans="1:12" ht="36" x14ac:dyDescent="0.2">
      <c r="A2" s="212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3"/>
      <c r="D4" s="543"/>
      <c r="E4" s="543"/>
      <c r="F4" s="544"/>
      <c r="G4" s="545"/>
      <c r="H4" s="546"/>
      <c r="I4" s="546"/>
      <c r="J4" s="546"/>
      <c r="K4" s="546"/>
    </row>
    <row r="5" spans="1:12" ht="15" x14ac:dyDescent="0.2">
      <c r="A5" s="493" t="s">
        <v>1661</v>
      </c>
      <c r="B5" s="547"/>
      <c r="C5" s="481">
        <v>494417</v>
      </c>
      <c r="D5" s="481">
        <v>117718</v>
      </c>
      <c r="E5" s="466">
        <v>43684</v>
      </c>
      <c r="F5" s="548">
        <v>56504</v>
      </c>
      <c r="G5" s="466">
        <v>70247</v>
      </c>
      <c r="H5" s="466"/>
      <c r="I5" s="466">
        <v>11771</v>
      </c>
      <c r="J5" s="467">
        <v>174553</v>
      </c>
      <c r="K5" s="466">
        <v>23544</v>
      </c>
    </row>
    <row r="6" spans="1:12" ht="15" x14ac:dyDescent="0.2">
      <c r="A6" s="463" t="s">
        <v>1662</v>
      </c>
      <c r="B6" s="470">
        <v>1130</v>
      </c>
      <c r="C6" s="466">
        <v>10232</v>
      </c>
      <c r="D6" s="466"/>
      <c r="E6" s="475"/>
      <c r="F6" s="475"/>
      <c r="G6" s="468"/>
      <c r="H6" s="468"/>
      <c r="I6" s="468"/>
      <c r="J6" s="468"/>
      <c r="K6" s="468"/>
    </row>
    <row r="7" spans="1:12" x14ac:dyDescent="0.2">
      <c r="A7" s="463" t="s">
        <v>110</v>
      </c>
      <c r="B7" s="549">
        <v>1140</v>
      </c>
      <c r="C7" s="466">
        <v>9417</v>
      </c>
      <c r="D7" s="466"/>
      <c r="E7" s="468"/>
      <c r="F7" s="467"/>
      <c r="G7" s="467"/>
      <c r="H7" s="467"/>
      <c r="I7" s="468"/>
      <c r="J7" s="468"/>
      <c r="K7" s="468"/>
    </row>
    <row r="8" spans="1:12" x14ac:dyDescent="0.2">
      <c r="A8" s="463" t="s">
        <v>413</v>
      </c>
      <c r="B8" s="470">
        <v>1150</v>
      </c>
      <c r="C8" s="475"/>
      <c r="D8" s="475"/>
      <c r="E8" s="477"/>
      <c r="F8" s="477"/>
      <c r="G8" s="481">
        <v>60199</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514066</v>
      </c>
      <c r="D12" s="1706">
        <f t="shared" si="0"/>
        <v>117718</v>
      </c>
      <c r="E12" s="1706">
        <f t="shared" si="0"/>
        <v>43684</v>
      </c>
      <c r="F12" s="1706">
        <f t="shared" si="0"/>
        <v>56504</v>
      </c>
      <c r="G12" s="1706">
        <f t="shared" si="0"/>
        <v>130446</v>
      </c>
      <c r="H12" s="1706">
        <f t="shared" si="0"/>
        <v>0</v>
      </c>
      <c r="I12" s="1706">
        <f t="shared" si="0"/>
        <v>11771</v>
      </c>
      <c r="J12" s="1706">
        <f t="shared" si="0"/>
        <v>174553</v>
      </c>
      <c r="K12" s="1687">
        <f t="shared" si="0"/>
        <v>23544</v>
      </c>
    </row>
    <row r="13" spans="1:12" ht="15.75" customHeight="1" thickTop="1" x14ac:dyDescent="0.2">
      <c r="A13" s="1591" t="s">
        <v>451</v>
      </c>
      <c r="B13" s="1592">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95106</v>
      </c>
      <c r="D16" s="466"/>
      <c r="E16" s="466"/>
      <c r="F16" s="466"/>
      <c r="G16" s="466">
        <v>4050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95106</v>
      </c>
      <c r="D18" s="1709">
        <f t="shared" ref="D18:K18" si="1">SUM(D14:D17)</f>
        <v>0</v>
      </c>
      <c r="E18" s="1709">
        <f t="shared" si="1"/>
        <v>0</v>
      </c>
      <c r="F18" s="1709">
        <f t="shared" si="1"/>
        <v>0</v>
      </c>
      <c r="G18" s="1709">
        <f t="shared" si="1"/>
        <v>4050</v>
      </c>
      <c r="H18" s="1709">
        <f t="shared" si="1"/>
        <v>0</v>
      </c>
      <c r="I18" s="1709">
        <f t="shared" si="1"/>
        <v>0</v>
      </c>
      <c r="J18" s="1709">
        <f t="shared" si="1"/>
        <v>0</v>
      </c>
      <c r="K18" s="1710">
        <f t="shared" si="1"/>
        <v>0</v>
      </c>
    </row>
    <row r="19" spans="1:11" ht="15.75" customHeight="1" thickTop="1" x14ac:dyDescent="0.2">
      <c r="A19" s="1591" t="s">
        <v>452</v>
      </c>
      <c r="B19" s="1592">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4" t="s">
        <v>594</v>
      </c>
      <c r="B39" s="556">
        <v>1354</v>
      </c>
      <c r="C39" s="489"/>
      <c r="D39" s="468"/>
      <c r="E39" s="468"/>
      <c r="F39" s="468"/>
      <c r="G39" s="468"/>
      <c r="H39" s="468"/>
      <c r="I39" s="468"/>
      <c r="J39" s="468"/>
      <c r="K39" s="468"/>
    </row>
    <row r="40" spans="1:11" ht="12.75" customHeight="1" thickBot="1" x14ac:dyDescent="0.25">
      <c r="A40" s="1707" t="s">
        <v>538</v>
      </c>
      <c r="B40" s="1708"/>
      <c r="C40" s="1687">
        <f>SUM(C20:C39)</f>
        <v>0</v>
      </c>
      <c r="D40" s="468"/>
      <c r="E40" s="468"/>
      <c r="F40" s="468"/>
      <c r="G40" s="468"/>
      <c r="H40" s="468"/>
      <c r="I40" s="468"/>
      <c r="J40" s="468"/>
      <c r="K40" s="468"/>
    </row>
    <row r="41" spans="1:11" ht="15.75" customHeight="1" thickTop="1" x14ac:dyDescent="0.2">
      <c r="A41" s="1591" t="s">
        <v>274</v>
      </c>
      <c r="B41" s="1592">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1106</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1107</v>
      </c>
      <c r="B56" s="557">
        <v>1442</v>
      </c>
      <c r="C56" s="468"/>
      <c r="D56" s="468"/>
      <c r="E56" s="468"/>
      <c r="F56" s="466"/>
      <c r="G56" s="468"/>
      <c r="H56" s="468"/>
      <c r="I56" s="468"/>
      <c r="J56" s="468"/>
      <c r="K56" s="468"/>
    </row>
    <row r="57" spans="1:11" ht="12.75" customHeight="1" x14ac:dyDescent="0.2">
      <c r="A57" s="1495" t="s">
        <v>489</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878</v>
      </c>
      <c r="B59" s="557">
        <v>1451</v>
      </c>
      <c r="C59" s="468"/>
      <c r="D59" s="468"/>
      <c r="E59" s="468"/>
      <c r="F59" s="466"/>
      <c r="G59" s="468"/>
      <c r="H59" s="468"/>
      <c r="I59" s="468"/>
      <c r="J59" s="468"/>
      <c r="K59" s="468"/>
    </row>
    <row r="60" spans="1:11" ht="12.75" customHeight="1" x14ac:dyDescent="0.2">
      <c r="A60" s="1495"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6"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0</v>
      </c>
      <c r="G63" s="468"/>
      <c r="H63" s="468"/>
      <c r="I63" s="468"/>
      <c r="J63" s="468"/>
      <c r="K63" s="468"/>
    </row>
    <row r="64" spans="1:11" ht="15.75" customHeight="1" thickTop="1" x14ac:dyDescent="0.2">
      <c r="A64" s="1591" t="s">
        <v>454</v>
      </c>
      <c r="B64" s="1592">
        <v>1500</v>
      </c>
      <c r="C64" s="468"/>
      <c r="D64" s="468"/>
      <c r="E64" s="468"/>
      <c r="F64" s="468"/>
      <c r="G64" s="468"/>
      <c r="H64" s="468"/>
      <c r="I64" s="468"/>
      <c r="J64" s="468"/>
      <c r="K64" s="468"/>
    </row>
    <row r="65" spans="1:11" ht="12.75" customHeight="1" x14ac:dyDescent="0.2">
      <c r="A65" s="463" t="s">
        <v>547</v>
      </c>
      <c r="B65" s="470">
        <v>1510</v>
      </c>
      <c r="C65" s="466">
        <v>11383</v>
      </c>
      <c r="D65" s="466">
        <v>1171</v>
      </c>
      <c r="E65" s="466">
        <v>94</v>
      </c>
      <c r="F65" s="467">
        <v>576</v>
      </c>
      <c r="G65" s="466">
        <v>1498</v>
      </c>
      <c r="H65" s="466">
        <v>899</v>
      </c>
      <c r="I65" s="466">
        <v>169</v>
      </c>
      <c r="J65" s="467">
        <v>461</v>
      </c>
      <c r="K65" s="466">
        <v>343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11383</v>
      </c>
      <c r="D67" s="1687">
        <f t="shared" ref="D67:K67" si="2">SUM(D65:D66)</f>
        <v>1171</v>
      </c>
      <c r="E67" s="1687">
        <f t="shared" si="2"/>
        <v>94</v>
      </c>
      <c r="F67" s="1687">
        <f t="shared" si="2"/>
        <v>576</v>
      </c>
      <c r="G67" s="1687">
        <f t="shared" si="2"/>
        <v>1498</v>
      </c>
      <c r="H67" s="1687">
        <f t="shared" si="2"/>
        <v>899</v>
      </c>
      <c r="I67" s="1687">
        <f t="shared" si="2"/>
        <v>169</v>
      </c>
      <c r="J67" s="1687">
        <f t="shared" si="2"/>
        <v>461</v>
      </c>
      <c r="K67" s="1687">
        <f t="shared" si="2"/>
        <v>343</v>
      </c>
    </row>
    <row r="68" spans="1:11" ht="15.75" customHeight="1" thickTop="1" x14ac:dyDescent="0.2">
      <c r="A68" s="1591" t="s">
        <v>455</v>
      </c>
      <c r="B68" s="1593">
        <v>1600</v>
      </c>
      <c r="C68" s="553"/>
      <c r="D68" s="468"/>
      <c r="E68" s="468"/>
      <c r="F68" s="468"/>
      <c r="G68" s="468"/>
      <c r="H68" s="468"/>
      <c r="I68" s="468"/>
      <c r="J68" s="468"/>
      <c r="K68" s="468"/>
    </row>
    <row r="69" spans="1:11" ht="12.75" customHeight="1" x14ac:dyDescent="0.2">
      <c r="A69" s="463" t="s">
        <v>666</v>
      </c>
      <c r="B69" s="470">
        <v>1611</v>
      </c>
      <c r="C69" s="466">
        <v>27609</v>
      </c>
      <c r="D69" s="468"/>
      <c r="E69" s="468"/>
      <c r="F69" s="468"/>
      <c r="G69" s="468"/>
      <c r="H69" s="468"/>
      <c r="I69" s="468"/>
      <c r="J69" s="468"/>
      <c r="K69" s="468"/>
    </row>
    <row r="70" spans="1:11" ht="12.75" customHeight="1" x14ac:dyDescent="0.2">
      <c r="A70" s="463" t="s">
        <v>997</v>
      </c>
      <c r="B70" s="470">
        <v>1612</v>
      </c>
      <c r="C70" s="551">
        <v>2275</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548</v>
      </c>
      <c r="B75" s="1708"/>
      <c r="C75" s="1687">
        <f>SUM(C69:C74)</f>
        <v>29884</v>
      </c>
      <c r="D75" s="468"/>
      <c r="E75" s="468"/>
      <c r="F75" s="468"/>
      <c r="G75" s="468"/>
      <c r="H75" s="468"/>
      <c r="I75" s="468"/>
      <c r="J75" s="468"/>
      <c r="K75" s="468"/>
    </row>
    <row r="76" spans="1:11" ht="15.75" customHeight="1" thickTop="1" x14ac:dyDescent="0.2">
      <c r="A76" s="1591" t="s">
        <v>881</v>
      </c>
      <c r="B76" s="1593">
        <v>1700</v>
      </c>
      <c r="C76" s="553"/>
      <c r="D76" s="468"/>
      <c r="E76" s="468"/>
      <c r="F76" s="468"/>
      <c r="G76" s="468"/>
      <c r="H76" s="468"/>
      <c r="I76" s="468"/>
      <c r="J76" s="468"/>
      <c r="K76" s="468"/>
    </row>
    <row r="77" spans="1:11" ht="12.75" customHeight="1" x14ac:dyDescent="0.2">
      <c r="A77" s="463" t="s">
        <v>549</v>
      </c>
      <c r="B77" s="470">
        <v>1711</v>
      </c>
      <c r="C77" s="516">
        <v>8945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4725</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7" t="s">
        <v>241</v>
      </c>
      <c r="B82" s="1708"/>
      <c r="C82" s="1706">
        <f>SUM(C77:C81)</f>
        <v>13670</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552</v>
      </c>
      <c r="B84" s="470">
        <v>1811</v>
      </c>
      <c r="C84" s="466">
        <v>19090</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19090</v>
      </c>
      <c r="D93" s="468"/>
      <c r="E93" s="468"/>
      <c r="F93" s="468"/>
      <c r="G93" s="468"/>
      <c r="H93" s="468"/>
      <c r="I93" s="468"/>
      <c r="J93" s="468"/>
      <c r="K93" s="468"/>
    </row>
    <row r="94" spans="1:11" ht="15.75" customHeight="1" thickTop="1" x14ac:dyDescent="0.2">
      <c r="A94" s="1591" t="s">
        <v>1137</v>
      </c>
      <c r="B94" s="1593">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3600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111614</v>
      </c>
      <c r="I103" s="468"/>
      <c r="J103" s="510"/>
      <c r="K103" s="510"/>
    </row>
    <row r="104" spans="1:12" ht="12.75" customHeight="1" x14ac:dyDescent="0.2">
      <c r="A104" s="463" t="s">
        <v>830</v>
      </c>
      <c r="B104" s="470">
        <v>1991</v>
      </c>
      <c r="C104" s="489">
        <v>1003</v>
      </c>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61326</v>
      </c>
      <c r="D107" s="466">
        <v>1584</v>
      </c>
      <c r="E107" s="466"/>
      <c r="F107" s="466">
        <v>25395</v>
      </c>
      <c r="G107" s="466"/>
      <c r="H107" s="466">
        <v>2096</v>
      </c>
      <c r="I107" s="466"/>
      <c r="J107" s="467">
        <v>2367</v>
      </c>
      <c r="K107" s="466"/>
    </row>
    <row r="108" spans="1:12" ht="12.75" customHeight="1" thickBot="1" x14ac:dyDescent="0.25">
      <c r="A108" s="1707" t="s">
        <v>487</v>
      </c>
      <c r="B108" s="1711"/>
      <c r="C108" s="1706">
        <f>SUM(C95:C107)</f>
        <v>65929</v>
      </c>
      <c r="D108" s="1706">
        <f t="shared" ref="D108:K108" si="3">SUM(D95:D107)</f>
        <v>1584</v>
      </c>
      <c r="E108" s="1706">
        <f t="shared" si="3"/>
        <v>0</v>
      </c>
      <c r="F108" s="1706">
        <f t="shared" si="3"/>
        <v>25395</v>
      </c>
      <c r="G108" s="1706">
        <f t="shared" si="3"/>
        <v>0</v>
      </c>
      <c r="H108" s="1706">
        <f t="shared" si="3"/>
        <v>113710</v>
      </c>
      <c r="I108" s="1706">
        <f t="shared" si="3"/>
        <v>0</v>
      </c>
      <c r="J108" s="1706">
        <f t="shared" si="3"/>
        <v>2367</v>
      </c>
      <c r="K108" s="1687">
        <f t="shared" si="3"/>
        <v>0</v>
      </c>
    </row>
    <row r="109" spans="1:12" ht="14.25" thickTop="1" thickBot="1" x14ac:dyDescent="0.25">
      <c r="A109" s="1712" t="s">
        <v>248</v>
      </c>
      <c r="B109" s="1713" t="s">
        <v>570</v>
      </c>
      <c r="C109" s="1714">
        <f t="shared" ref="C109:K109" si="4">SUM(C12,C18,C40,C63,C67,C75,C82,C93,C108,)</f>
        <v>749128</v>
      </c>
      <c r="D109" s="1714">
        <f t="shared" si="4"/>
        <v>120473</v>
      </c>
      <c r="E109" s="1714">
        <f t="shared" si="4"/>
        <v>43778</v>
      </c>
      <c r="F109" s="1714">
        <f t="shared" si="4"/>
        <v>82475</v>
      </c>
      <c r="G109" s="1714">
        <f t="shared" si="4"/>
        <v>135994</v>
      </c>
      <c r="H109" s="1714">
        <f t="shared" si="4"/>
        <v>114609</v>
      </c>
      <c r="I109" s="1714">
        <f t="shared" si="4"/>
        <v>11940</v>
      </c>
      <c r="J109" s="1714">
        <f t="shared" si="4"/>
        <v>177381</v>
      </c>
      <c r="K109" s="1701">
        <f t="shared" si="4"/>
        <v>23887</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v>6570</v>
      </c>
      <c r="E113" s="561"/>
      <c r="F113" s="466"/>
      <c r="G113" s="466"/>
      <c r="H113" s="561"/>
      <c r="I113" s="468"/>
      <c r="J113" s="468"/>
      <c r="K113" s="468"/>
    </row>
    <row r="114" spans="1:11" ht="13.5" thickBot="1" x14ac:dyDescent="0.25">
      <c r="A114" s="1715" t="s">
        <v>806</v>
      </c>
      <c r="B114" s="1716" t="s">
        <v>569</v>
      </c>
      <c r="C114" s="1717">
        <f>SUM(C111:C113)</f>
        <v>0</v>
      </c>
      <c r="D114" s="1717">
        <f>SUM(D111:D113)</f>
        <v>6570</v>
      </c>
      <c r="E114" s="561" t="s">
        <v>1169</v>
      </c>
      <c r="F114" s="1717">
        <f>SUM(F111:F113)</f>
        <v>0</v>
      </c>
      <c r="G114" s="1717">
        <f>SUM(G111:G113)</f>
        <v>0</v>
      </c>
      <c r="H114" s="561"/>
      <c r="I114" s="468"/>
      <c r="J114" s="468"/>
      <c r="K114" s="468"/>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2"/>
      <c r="D116" s="521"/>
      <c r="E116" s="561"/>
      <c r="F116" s="521"/>
      <c r="G116" s="521"/>
      <c r="H116" s="561"/>
      <c r="I116" s="468"/>
      <c r="J116" s="521"/>
      <c r="K116" s="521"/>
    </row>
    <row r="117" spans="1:11" ht="12.75" customHeight="1" x14ac:dyDescent="0.2">
      <c r="A117" s="463" t="s">
        <v>1667</v>
      </c>
      <c r="B117" s="562">
        <v>3001</v>
      </c>
      <c r="C117" s="516">
        <v>1889466</v>
      </c>
      <c r="D117" s="481">
        <v>300000</v>
      </c>
      <c r="E117" s="466"/>
      <c r="F117" s="481">
        <v>170000</v>
      </c>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9" t="s">
        <v>1936</v>
      </c>
      <c r="B120" s="562">
        <v>3030</v>
      </c>
      <c r="C120" s="551"/>
      <c r="D120" s="466"/>
      <c r="E120" s="466"/>
      <c r="F120" s="466"/>
      <c r="G120" s="466"/>
      <c r="H120" s="466"/>
      <c r="I120" s="468"/>
      <c r="J120" s="467"/>
      <c r="K120" s="466"/>
    </row>
    <row r="121" spans="1:11" x14ac:dyDescent="0.2">
      <c r="A121" s="1495" t="s">
        <v>1801</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1889466</v>
      </c>
      <c r="D122" s="1706">
        <f t="shared" si="5"/>
        <v>300000</v>
      </c>
      <c r="E122" s="1706">
        <f t="shared" si="5"/>
        <v>0</v>
      </c>
      <c r="F122" s="1706">
        <f t="shared" si="5"/>
        <v>170000</v>
      </c>
      <c r="G122" s="1706">
        <f t="shared" si="5"/>
        <v>0</v>
      </c>
      <c r="H122" s="1706">
        <f t="shared" si="5"/>
        <v>0</v>
      </c>
      <c r="I122" s="468"/>
      <c r="J122" s="1706">
        <f>SUM(J117:J121)</f>
        <v>0</v>
      </c>
      <c r="K122" s="1687">
        <f>SUM(K117:K121)</f>
        <v>0</v>
      </c>
    </row>
    <row r="123" spans="1:11" ht="15.75" customHeight="1" thickTop="1" x14ac:dyDescent="0.2">
      <c r="A123" s="1591" t="s">
        <v>1490</v>
      </c>
      <c r="B123" s="1596"/>
      <c r="C123" s="565"/>
      <c r="D123" s="509"/>
      <c r="E123" s="468"/>
      <c r="F123" s="566"/>
      <c r="G123" s="468"/>
      <c r="H123" s="468"/>
      <c r="I123" s="468"/>
      <c r="J123" s="468"/>
      <c r="K123" s="468"/>
    </row>
    <row r="124" spans="1:11" ht="15" customHeight="1" x14ac:dyDescent="0.2">
      <c r="A124" s="1597" t="s">
        <v>667</v>
      </c>
      <c r="B124" s="1598"/>
      <c r="C124" s="521"/>
      <c r="D124" s="509"/>
      <c r="E124" s="468"/>
      <c r="F124" s="521"/>
      <c r="G124" s="468"/>
      <c r="H124" s="468"/>
      <c r="I124" s="468"/>
      <c r="J124" s="468"/>
      <c r="K124" s="468"/>
    </row>
    <row r="125" spans="1:11" ht="12.75" customHeight="1" x14ac:dyDescent="0.2">
      <c r="A125" s="463" t="s">
        <v>866</v>
      </c>
      <c r="B125" s="567">
        <v>3100</v>
      </c>
      <c r="C125" s="481">
        <v>23817</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4693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28510</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7475</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603</v>
      </c>
      <c r="B141" s="1719"/>
      <c r="C141" s="1706">
        <f>SUM(C134:C140)</f>
        <v>7475</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599" t="s">
        <v>670</v>
      </c>
      <c r="B142" s="1600"/>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1056</v>
      </c>
      <c r="B146" s="568">
        <v>3360</v>
      </c>
      <c r="C146" s="569">
        <v>2181</v>
      </c>
      <c r="D146" s="570"/>
      <c r="E146" s="509"/>
      <c r="F146" s="468"/>
      <c r="G146" s="571"/>
      <c r="H146" s="468"/>
      <c r="I146" s="468"/>
      <c r="J146" s="468"/>
      <c r="K146" s="468"/>
    </row>
    <row r="147" spans="1:11" ht="12.75" customHeight="1" thickBot="1" x14ac:dyDescent="0.25">
      <c r="A147" s="1498" t="s">
        <v>922</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5986</v>
      </c>
      <c r="D148" s="573"/>
      <c r="E148" s="509"/>
      <c r="F148" s="468"/>
      <c r="G148" s="468"/>
      <c r="H148" s="468"/>
      <c r="I148" s="468"/>
      <c r="J148" s="468"/>
      <c r="K148" s="468"/>
    </row>
    <row r="149" spans="1:11" ht="12.75" customHeight="1" thickTop="1" thickBot="1" x14ac:dyDescent="0.25">
      <c r="A149" s="1499" t="s">
        <v>767</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453</v>
      </c>
      <c r="B151" s="1601"/>
      <c r="C151" s="553"/>
      <c r="D151" s="468"/>
      <c r="E151" s="561"/>
      <c r="F151" s="468"/>
      <c r="G151" s="468"/>
      <c r="H151" s="468"/>
      <c r="I151" s="468"/>
      <c r="J151" s="468"/>
      <c r="K151" s="468"/>
    </row>
    <row r="152" spans="1:11" ht="12.75" customHeight="1" x14ac:dyDescent="0.2">
      <c r="A152" s="463" t="s">
        <v>1448</v>
      </c>
      <c r="B152" s="562">
        <v>3500</v>
      </c>
      <c r="C152" s="551"/>
      <c r="D152" s="466"/>
      <c r="E152" s="561"/>
      <c r="F152" s="466">
        <v>105837</v>
      </c>
      <c r="G152" s="467"/>
      <c r="H152" s="468"/>
      <c r="I152" s="468"/>
      <c r="J152" s="468"/>
      <c r="K152" s="468"/>
    </row>
    <row r="153" spans="1:11" ht="12.75" customHeight="1" x14ac:dyDescent="0.2">
      <c r="A153" s="463" t="s">
        <v>1057</v>
      </c>
      <c r="B153" s="562">
        <v>3510</v>
      </c>
      <c r="C153" s="551"/>
      <c r="D153" s="466"/>
      <c r="E153" s="561"/>
      <c r="F153" s="466">
        <v>38121</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143958</v>
      </c>
      <c r="G155" s="1706">
        <f>SUM(G152:G154)</f>
        <v>0</v>
      </c>
      <c r="H155" s="468"/>
      <c r="I155" s="468"/>
      <c r="J155" s="468"/>
      <c r="K155" s="468"/>
    </row>
    <row r="156" spans="1:11" ht="12.75" customHeight="1" thickTop="1" thickBot="1" x14ac:dyDescent="0.25">
      <c r="A156" s="1499" t="s">
        <v>380</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1000</v>
      </c>
      <c r="B158" s="574">
        <v>3695</v>
      </c>
      <c r="C158" s="576"/>
      <c r="D158" s="468"/>
      <c r="E158" s="561"/>
      <c r="F158" s="576"/>
      <c r="G158" s="576"/>
      <c r="H158" s="468"/>
      <c r="I158" s="468"/>
      <c r="J158" s="468"/>
      <c r="K158" s="468"/>
    </row>
    <row r="159" spans="1:11" ht="12.75" customHeight="1" thickTop="1" thickBot="1" x14ac:dyDescent="0.25">
      <c r="A159" s="1499" t="s">
        <v>1051</v>
      </c>
      <c r="B159" s="574">
        <v>3705</v>
      </c>
      <c r="C159" s="576"/>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985</v>
      </c>
      <c r="B161" s="574">
        <v>3767</v>
      </c>
      <c r="C161" s="576"/>
      <c r="D161" s="531"/>
      <c r="E161" s="561"/>
      <c r="F161" s="531"/>
      <c r="G161" s="531"/>
      <c r="H161" s="468"/>
      <c r="I161" s="468"/>
      <c r="J161" s="468"/>
      <c r="K161" s="468"/>
    </row>
    <row r="162" spans="1:11" ht="12.75" customHeight="1" thickTop="1" thickBot="1" x14ac:dyDescent="0.25">
      <c r="A162" s="1499" t="s">
        <v>986</v>
      </c>
      <c r="B162" s="574">
        <v>3775</v>
      </c>
      <c r="C162" s="576"/>
      <c r="D162" s="573"/>
      <c r="E162" s="530"/>
      <c r="F162" s="573"/>
      <c r="G162" s="532"/>
      <c r="H162" s="530"/>
      <c r="I162" s="468"/>
      <c r="J162" s="468"/>
      <c r="K162" s="530"/>
    </row>
    <row r="163" spans="1:11" ht="12.75" customHeight="1" thickTop="1" thickBot="1" x14ac:dyDescent="0.25">
      <c r="A163" s="1499" t="s">
        <v>1449</v>
      </c>
      <c r="B163" s="574">
        <v>3780</v>
      </c>
      <c r="C163" s="531"/>
      <c r="D163" s="530"/>
      <c r="E163" s="531"/>
      <c r="F163" s="531"/>
      <c r="G163" s="531"/>
      <c r="H163" s="531"/>
      <c r="I163" s="468"/>
      <c r="J163" s="468"/>
      <c r="K163" s="531"/>
    </row>
    <row r="164" spans="1:11" ht="12.75" customHeight="1" thickTop="1" thickBot="1" x14ac:dyDescent="0.25">
      <c r="A164" s="1499" t="s">
        <v>858</v>
      </c>
      <c r="B164" s="574">
        <v>3815</v>
      </c>
      <c r="C164" s="576"/>
      <c r="D164" s="468"/>
      <c r="E164" s="561"/>
      <c r="F164" s="576"/>
      <c r="G164" s="468"/>
      <c r="H164" s="468"/>
      <c r="I164" s="468"/>
      <c r="J164" s="468"/>
      <c r="K164" s="468"/>
    </row>
    <row r="165" spans="1:11" ht="12.75" customHeight="1" thickTop="1" thickBot="1" x14ac:dyDescent="0.25">
      <c r="A165" s="1499" t="s">
        <v>397</v>
      </c>
      <c r="B165" s="574">
        <v>3825</v>
      </c>
      <c r="C165" s="576"/>
      <c r="D165" s="468"/>
      <c r="E165" s="561"/>
      <c r="F165" s="576"/>
      <c r="G165" s="468"/>
      <c r="H165" s="468"/>
      <c r="I165" s="468"/>
      <c r="J165" s="468"/>
      <c r="K165" s="468"/>
    </row>
    <row r="166" spans="1:11" ht="12.75" customHeight="1" thickTop="1" thickBot="1" x14ac:dyDescent="0.25">
      <c r="A166" s="1499" t="s">
        <v>348</v>
      </c>
      <c r="B166" s="574">
        <v>3920</v>
      </c>
      <c r="C166" s="566"/>
      <c r="D166" s="578"/>
      <c r="E166" s="468"/>
      <c r="F166" s="566"/>
      <c r="G166" s="468"/>
      <c r="H166" s="530"/>
      <c r="I166" s="468"/>
      <c r="J166" s="468"/>
      <c r="K166" s="468"/>
    </row>
    <row r="167" spans="1:11" ht="12.75" customHeight="1" thickTop="1" thickBot="1" x14ac:dyDescent="0.25">
      <c r="A167" s="1499" t="s">
        <v>349</v>
      </c>
      <c r="B167" s="574">
        <v>3925</v>
      </c>
      <c r="C167" s="521"/>
      <c r="D167" s="576"/>
      <c r="E167" s="521"/>
      <c r="F167" s="521"/>
      <c r="G167" s="468"/>
      <c r="H167" s="531"/>
      <c r="I167" s="468"/>
      <c r="J167" s="468"/>
      <c r="K167" s="530"/>
    </row>
    <row r="168" spans="1:11" ht="14.25" thickTop="1" thickBot="1" x14ac:dyDescent="0.25">
      <c r="A168" s="1499" t="s">
        <v>70</v>
      </c>
      <c r="B168" s="574">
        <v>3999</v>
      </c>
      <c r="C168" s="579">
        <v>750</v>
      </c>
      <c r="D168" s="580"/>
      <c r="E168" s="580"/>
      <c r="F168" s="580"/>
      <c r="G168" s="581"/>
      <c r="H168" s="582"/>
      <c r="I168" s="581"/>
      <c r="J168" s="581"/>
      <c r="K168" s="582"/>
    </row>
    <row r="169" spans="1:11" ht="12.75" customHeight="1" thickTop="1" thickBot="1" x14ac:dyDescent="0.25">
      <c r="A169" s="2144" t="s">
        <v>398</v>
      </c>
      <c r="B169" s="2145"/>
      <c r="C169" s="1721">
        <f t="shared" ref="C169:K169" si="6">SUM(C132,C141,C145,C146:C150,C155,C156:C167,C168)</f>
        <v>44902</v>
      </c>
      <c r="D169" s="1721">
        <f t="shared" si="6"/>
        <v>0</v>
      </c>
      <c r="E169" s="1721">
        <f t="shared" si="6"/>
        <v>0</v>
      </c>
      <c r="F169" s="1721">
        <f t="shared" si="6"/>
        <v>143958</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1934368</v>
      </c>
      <c r="D170" s="1714">
        <f t="shared" si="7"/>
        <v>300000</v>
      </c>
      <c r="E170" s="1714">
        <f t="shared" si="7"/>
        <v>0</v>
      </c>
      <c r="F170" s="1714">
        <f t="shared" si="7"/>
        <v>313958</v>
      </c>
      <c r="G170" s="1714">
        <f t="shared" si="7"/>
        <v>0</v>
      </c>
      <c r="H170" s="1714">
        <f t="shared" si="7"/>
        <v>0</v>
      </c>
      <c r="I170" s="1714">
        <f t="shared" si="7"/>
        <v>0</v>
      </c>
      <c r="J170" s="1714">
        <f t="shared" si="7"/>
        <v>0</v>
      </c>
      <c r="K170" s="1701">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46" t="s">
        <v>1492</v>
      </c>
      <c r="B172" s="2147"/>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0" t="s">
        <v>1665</v>
      </c>
      <c r="B175" s="2151"/>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54" t="s">
        <v>1664</v>
      </c>
      <c r="B176" s="215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44716</v>
      </c>
      <c r="D180" s="466"/>
      <c r="E180" s="468"/>
      <c r="F180" s="466"/>
      <c r="G180" s="466"/>
      <c r="H180" s="466"/>
      <c r="I180" s="468"/>
      <c r="J180" s="468"/>
      <c r="K180" s="466"/>
    </row>
    <row r="181" spans="1:11" ht="13.5" thickBot="1" x14ac:dyDescent="0.25">
      <c r="A181" s="2152" t="s">
        <v>785</v>
      </c>
      <c r="B181" s="2153"/>
      <c r="C181" s="1706">
        <f>SUM(C177:C180)</f>
        <v>44716</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48" t="s">
        <v>1803</v>
      </c>
      <c r="B182" s="2149"/>
      <c r="C182" s="584"/>
      <c r="D182" s="566"/>
      <c r="E182" s="509"/>
      <c r="F182" s="566"/>
      <c r="G182" s="566"/>
      <c r="H182" s="468"/>
      <c r="I182" s="468"/>
      <c r="J182" s="468"/>
      <c r="K182" s="468"/>
    </row>
    <row r="183" spans="1:11" ht="15.75" customHeight="1" x14ac:dyDescent="0.2">
      <c r="A183" s="1602" t="s">
        <v>1602</v>
      </c>
      <c r="B183" s="1603"/>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599" t="s">
        <v>455</v>
      </c>
      <c r="B189" s="1604"/>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89740</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33069</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122809</v>
      </c>
      <c r="D198" s="468"/>
      <c r="E198" s="468"/>
      <c r="F198" s="468"/>
      <c r="G198" s="1687">
        <f>SUM(G190:G197)</f>
        <v>0</v>
      </c>
      <c r="H198" s="468"/>
      <c r="I198" s="468"/>
      <c r="J198" s="468"/>
      <c r="K198" s="468"/>
    </row>
    <row r="199" spans="1:11" ht="15.75" customHeight="1" thickTop="1" x14ac:dyDescent="0.2">
      <c r="A199" s="1599" t="s">
        <v>1138</v>
      </c>
      <c r="B199" s="1604"/>
      <c r="C199" s="553"/>
      <c r="D199" s="468"/>
      <c r="E199" s="468"/>
      <c r="F199" s="468"/>
      <c r="G199" s="468"/>
      <c r="H199" s="468"/>
      <c r="I199" s="468"/>
      <c r="J199" s="468"/>
      <c r="K199" s="468"/>
    </row>
    <row r="200" spans="1:11" ht="12.75" customHeight="1" x14ac:dyDescent="0.2">
      <c r="A200" s="463" t="s">
        <v>918</v>
      </c>
      <c r="B200" s="470">
        <v>4300</v>
      </c>
      <c r="C200" s="466">
        <v>103325</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400</v>
      </c>
      <c r="B204" s="1708"/>
      <c r="C204" s="1706">
        <f>SUM(C200:C203)</f>
        <v>103325</v>
      </c>
      <c r="D204" s="1706">
        <f>SUM(D200:D203)</f>
        <v>0</v>
      </c>
      <c r="E204" s="468"/>
      <c r="F204" s="1706">
        <f>SUM(F200:F203)</f>
        <v>0</v>
      </c>
      <c r="G204" s="1706">
        <f>SUM(G200:G203)</f>
        <v>0</v>
      </c>
      <c r="H204" s="468"/>
      <c r="I204" s="468"/>
      <c r="J204" s="468"/>
      <c r="K204" s="468"/>
    </row>
    <row r="205" spans="1:11" ht="15.75" customHeight="1" thickTop="1" x14ac:dyDescent="0.2">
      <c r="A205" s="1599" t="s">
        <v>1139</v>
      </c>
      <c r="B205" s="1604"/>
      <c r="C205" s="553"/>
      <c r="D205" s="553"/>
      <c r="E205" s="468"/>
      <c r="F205" s="553"/>
      <c r="G205" s="553"/>
      <c r="H205" s="468"/>
      <c r="I205" s="468"/>
      <c r="J205" s="468"/>
      <c r="K205" s="468"/>
    </row>
    <row r="206" spans="1:11" ht="12.75" customHeight="1" x14ac:dyDescent="0.2">
      <c r="A206" s="463" t="s">
        <v>759</v>
      </c>
      <c r="B206" s="470">
        <v>4400</v>
      </c>
      <c r="C206" s="551">
        <v>9539</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9539</v>
      </c>
      <c r="D209" s="1706">
        <f>SUM(D206:D208)</f>
        <v>0</v>
      </c>
      <c r="E209" s="468" t="s">
        <v>1169</v>
      </c>
      <c r="F209" s="1706">
        <f>SUM(F206:F208)</f>
        <v>0</v>
      </c>
      <c r="G209" s="1706">
        <f>SUM(G206:G208)</f>
        <v>0</v>
      </c>
      <c r="H209" s="468"/>
      <c r="I209" s="468"/>
      <c r="J209" s="468"/>
      <c r="K209" s="468"/>
    </row>
    <row r="210" spans="1:11" ht="15.75" customHeight="1" thickTop="1" x14ac:dyDescent="0.2">
      <c r="A210" s="1599" t="s">
        <v>1092</v>
      </c>
      <c r="B210" s="1604"/>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33999</v>
      </c>
      <c r="D213" s="466"/>
      <c r="E213" s="468"/>
      <c r="F213" s="466">
        <v>84185</v>
      </c>
      <c r="G213" s="466"/>
      <c r="H213" s="468"/>
      <c r="I213" s="468"/>
      <c r="J213" s="468"/>
      <c r="K213" s="468"/>
    </row>
    <row r="214" spans="1:11" ht="12.75" customHeight="1" x14ac:dyDescent="0.2">
      <c r="A214" s="463" t="s">
        <v>1054</v>
      </c>
      <c r="B214" s="470">
        <v>4625</v>
      </c>
      <c r="C214" s="551">
        <v>45922</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79921</v>
      </c>
      <c r="D217" s="1706">
        <f>SUM(D211:D216)</f>
        <v>0</v>
      </c>
      <c r="E217" s="468"/>
      <c r="F217" s="1706">
        <f>SUM(F211:F216)</f>
        <v>84185</v>
      </c>
      <c r="G217" s="1706">
        <f>SUM(G211:G216)</f>
        <v>0</v>
      </c>
      <c r="H217" s="468"/>
      <c r="I217" s="468"/>
      <c r="J217" s="468"/>
      <c r="K217" s="468"/>
    </row>
    <row r="218" spans="1:11" ht="15.75" customHeight="1" thickTop="1" x14ac:dyDescent="0.2">
      <c r="A218" s="1599" t="s">
        <v>1093</v>
      </c>
      <c r="B218" s="1604"/>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0</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1421</v>
      </c>
      <c r="B253" s="588">
        <v>4901</v>
      </c>
      <c r="C253" s="589"/>
      <c r="D253" s="469"/>
      <c r="E253" s="468"/>
      <c r="F253" s="468"/>
      <c r="G253" s="468"/>
      <c r="H253" s="468"/>
      <c r="I253" s="468"/>
      <c r="J253" s="468"/>
      <c r="K253" s="468"/>
    </row>
    <row r="254" spans="1:11" ht="12.75" customHeight="1" thickTop="1" thickBot="1" x14ac:dyDescent="0.25">
      <c r="A254" s="1502"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9" t="s">
        <v>1937</v>
      </c>
      <c r="B261" s="470">
        <v>4981</v>
      </c>
      <c r="C261" s="575"/>
      <c r="D261" s="576"/>
      <c r="E261" s="468"/>
      <c r="F261" s="576"/>
      <c r="G261" s="576"/>
      <c r="H261" s="468"/>
      <c r="I261" s="468"/>
      <c r="J261" s="468"/>
      <c r="K261" s="468"/>
    </row>
    <row r="262" spans="1:11" ht="12.75" customHeight="1" thickTop="1" thickBot="1" x14ac:dyDescent="0.25">
      <c r="A262" s="1930"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5117</v>
      </c>
      <c r="D263" s="576"/>
      <c r="E263" s="468"/>
      <c r="F263" s="576"/>
      <c r="G263" s="576"/>
      <c r="H263" s="468"/>
      <c r="I263" s="468"/>
      <c r="J263" s="468"/>
      <c r="K263" s="468"/>
    </row>
    <row r="264" spans="1:11" ht="12.75" customHeight="1" thickTop="1" thickBot="1" x14ac:dyDescent="0.25">
      <c r="A264" s="463" t="s">
        <v>377</v>
      </c>
      <c r="B264" s="470">
        <v>4992</v>
      </c>
      <c r="C264" s="575">
        <v>8018</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328729</v>
      </c>
      <c r="D266" s="1714">
        <f t="shared" si="10"/>
        <v>0</v>
      </c>
      <c r="E266" s="1714">
        <f t="shared" si="10"/>
        <v>0</v>
      </c>
      <c r="F266" s="1714">
        <f t="shared" si="10"/>
        <v>84185</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373445</v>
      </c>
      <c r="D267" s="1714">
        <f>SUM(D175,D181,D266)</f>
        <v>0</v>
      </c>
      <c r="E267" s="1714">
        <f>SUM(E175,E266)</f>
        <v>0</v>
      </c>
      <c r="F267" s="1714">
        <f t="shared" ref="F267:K267" si="11">SUM(F175,F181,F266)</f>
        <v>84185</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3056941</v>
      </c>
      <c r="D268" s="1714">
        <f t="shared" si="12"/>
        <v>427043</v>
      </c>
      <c r="E268" s="1714">
        <f t="shared" si="12"/>
        <v>43778</v>
      </c>
      <c r="F268" s="1714">
        <f t="shared" si="12"/>
        <v>480618</v>
      </c>
      <c r="G268" s="1714">
        <f t="shared" si="12"/>
        <v>135994</v>
      </c>
      <c r="H268" s="1714">
        <f t="shared" si="12"/>
        <v>114609</v>
      </c>
      <c r="I268" s="1714">
        <f t="shared" si="12"/>
        <v>11940</v>
      </c>
      <c r="J268" s="1714">
        <f t="shared" si="12"/>
        <v>177381</v>
      </c>
      <c r="K268" s="1701">
        <f t="shared" si="12"/>
        <v>23887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&amp;L&amp;8Notes to Financial Statements are an integral part of this statement.
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96" activePane="bottomLeft" state="frozen"/>
      <selection activeCell="X26" sqref="X26"/>
      <selection pane="bottomLeft" activeCell="X26" sqref="X2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4"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4" t="s">
        <v>297</v>
      </c>
      <c r="B3" s="2165"/>
      <c r="C3" s="1547"/>
      <c r="D3" s="1547"/>
      <c r="E3" s="1547"/>
      <c r="F3" s="1547"/>
      <c r="G3" s="1547"/>
      <c r="H3" s="1547"/>
      <c r="I3" s="1547"/>
      <c r="J3" s="1547"/>
      <c r="K3" s="1548"/>
      <c r="L3" s="1549"/>
      <c r="M3" s="609"/>
      <c r="N3" s="609"/>
    </row>
    <row r="4" spans="1:14" s="259" customFormat="1" ht="15.75" customHeight="1" x14ac:dyDescent="0.2">
      <c r="A4" s="1605" t="s">
        <v>44</v>
      </c>
      <c r="B4" s="1606" t="s">
        <v>570</v>
      </c>
      <c r="C4" s="610"/>
      <c r="D4" s="610"/>
      <c r="E4" s="610"/>
      <c r="F4" s="610"/>
      <c r="G4" s="610"/>
      <c r="H4" s="610"/>
      <c r="I4" s="611"/>
      <c r="J4" s="610"/>
      <c r="K4" s="612"/>
      <c r="L4" s="610"/>
      <c r="M4" s="613"/>
      <c r="N4" s="613"/>
    </row>
    <row r="5" spans="1:14" x14ac:dyDescent="0.2">
      <c r="A5" s="1503" t="s">
        <v>961</v>
      </c>
      <c r="B5" s="614">
        <v>1100</v>
      </c>
      <c r="C5" s="466">
        <v>1046352</v>
      </c>
      <c r="D5" s="466">
        <v>266069</v>
      </c>
      <c r="E5" s="466">
        <v>3624</v>
      </c>
      <c r="F5" s="466">
        <v>23474</v>
      </c>
      <c r="G5" s="466"/>
      <c r="H5" s="466">
        <v>3747</v>
      </c>
      <c r="I5" s="467"/>
      <c r="J5" s="467"/>
      <c r="K5" s="1670">
        <f>SUM(C5:J5)</f>
        <v>1343266</v>
      </c>
      <c r="L5" s="466">
        <v>1399925</v>
      </c>
    </row>
    <row r="6" spans="1:14" x14ac:dyDescent="0.2">
      <c r="A6" s="1503" t="s">
        <v>1433</v>
      </c>
      <c r="B6" s="614" t="s">
        <v>1431</v>
      </c>
      <c r="C6" s="477"/>
      <c r="D6" s="477"/>
      <c r="E6" s="466"/>
      <c r="F6" s="477"/>
      <c r="G6" s="477"/>
      <c r="H6" s="477"/>
      <c r="I6" s="477"/>
      <c r="J6" s="477"/>
      <c r="K6" s="1670">
        <f>SUM(C6,E6)</f>
        <v>0</v>
      </c>
      <c r="L6" s="466"/>
    </row>
    <row r="7" spans="1:14" x14ac:dyDescent="0.2">
      <c r="A7" s="1503" t="s">
        <v>163</v>
      </c>
      <c r="B7" s="614" t="s">
        <v>967</v>
      </c>
      <c r="C7" s="467"/>
      <c r="D7" s="467"/>
      <c r="E7" s="467"/>
      <c r="F7" s="467"/>
      <c r="G7" s="467"/>
      <c r="H7" s="467"/>
      <c r="I7" s="467"/>
      <c r="J7" s="467"/>
      <c r="K7" s="1670">
        <f t="shared" ref="K7:K32" si="0">SUM(C7:J7)</f>
        <v>0</v>
      </c>
      <c r="L7" s="466"/>
    </row>
    <row r="8" spans="1:14" x14ac:dyDescent="0.2">
      <c r="A8" s="1503" t="s">
        <v>164</v>
      </c>
      <c r="B8" s="614">
        <v>1200</v>
      </c>
      <c r="C8" s="466">
        <v>151870</v>
      </c>
      <c r="D8" s="466">
        <v>47081</v>
      </c>
      <c r="E8" s="466">
        <v>513</v>
      </c>
      <c r="F8" s="466">
        <v>9806</v>
      </c>
      <c r="G8" s="466"/>
      <c r="H8" s="466"/>
      <c r="I8" s="467"/>
      <c r="J8" s="467"/>
      <c r="K8" s="1670">
        <f t="shared" si="0"/>
        <v>209270</v>
      </c>
      <c r="L8" s="466">
        <v>219600</v>
      </c>
    </row>
    <row r="9" spans="1:14" x14ac:dyDescent="0.2">
      <c r="A9" s="1503" t="s">
        <v>721</v>
      </c>
      <c r="B9" s="614" t="s">
        <v>968</v>
      </c>
      <c r="C9" s="467">
        <v>42683</v>
      </c>
      <c r="D9" s="467">
        <v>5629</v>
      </c>
      <c r="E9" s="467">
        <v>44</v>
      </c>
      <c r="F9" s="467">
        <v>1274</v>
      </c>
      <c r="G9" s="467"/>
      <c r="H9" s="467"/>
      <c r="I9" s="467"/>
      <c r="J9" s="467"/>
      <c r="K9" s="1670">
        <f t="shared" si="0"/>
        <v>49630</v>
      </c>
      <c r="L9" s="466">
        <v>48968</v>
      </c>
    </row>
    <row r="10" spans="1:14" x14ac:dyDescent="0.2">
      <c r="A10" s="1503" t="s">
        <v>722</v>
      </c>
      <c r="B10" s="614">
        <v>1250</v>
      </c>
      <c r="C10" s="466">
        <v>38802</v>
      </c>
      <c r="D10" s="466">
        <v>18136</v>
      </c>
      <c r="E10" s="466">
        <v>10708</v>
      </c>
      <c r="F10" s="466">
        <v>16812</v>
      </c>
      <c r="G10" s="466"/>
      <c r="H10" s="466"/>
      <c r="I10" s="467"/>
      <c r="J10" s="467"/>
      <c r="K10" s="1670">
        <f t="shared" si="0"/>
        <v>84458</v>
      </c>
      <c r="L10" s="466">
        <v>112684</v>
      </c>
    </row>
    <row r="11" spans="1:14" x14ac:dyDescent="0.2">
      <c r="A11" s="1503" t="s">
        <v>1130</v>
      </c>
      <c r="B11" s="614" t="s">
        <v>161</v>
      </c>
      <c r="C11" s="467"/>
      <c r="D11" s="467"/>
      <c r="E11" s="467"/>
      <c r="F11" s="467"/>
      <c r="G11" s="467"/>
      <c r="H11" s="467"/>
      <c r="I11" s="467"/>
      <c r="J11" s="467"/>
      <c r="K11" s="1670">
        <f t="shared" si="0"/>
        <v>0</v>
      </c>
      <c r="L11" s="466"/>
    </row>
    <row r="12" spans="1:14" x14ac:dyDescent="0.2">
      <c r="A12" s="1503" t="s">
        <v>962</v>
      </c>
      <c r="B12" s="614">
        <v>1300</v>
      </c>
      <c r="C12" s="466"/>
      <c r="D12" s="466"/>
      <c r="E12" s="466"/>
      <c r="F12" s="466"/>
      <c r="G12" s="466"/>
      <c r="H12" s="466"/>
      <c r="I12" s="467"/>
      <c r="J12" s="467"/>
      <c r="K12" s="1670">
        <f t="shared" si="0"/>
        <v>0</v>
      </c>
      <c r="L12" s="466"/>
    </row>
    <row r="13" spans="1:14" x14ac:dyDescent="0.2">
      <c r="A13" s="1503" t="s">
        <v>723</v>
      </c>
      <c r="B13" s="614">
        <v>1400</v>
      </c>
      <c r="C13" s="466">
        <v>91324</v>
      </c>
      <c r="D13" s="466">
        <v>26477</v>
      </c>
      <c r="E13" s="466">
        <v>1125</v>
      </c>
      <c r="F13" s="466">
        <v>6806</v>
      </c>
      <c r="G13" s="466"/>
      <c r="H13" s="466">
        <v>44087</v>
      </c>
      <c r="I13" s="467"/>
      <c r="J13" s="467"/>
      <c r="K13" s="1670">
        <f t="shared" si="0"/>
        <v>169819</v>
      </c>
      <c r="L13" s="466">
        <v>124200</v>
      </c>
    </row>
    <row r="14" spans="1:14" x14ac:dyDescent="0.2">
      <c r="A14" s="1503" t="s">
        <v>963</v>
      </c>
      <c r="B14" s="614">
        <v>1500</v>
      </c>
      <c r="C14" s="466">
        <v>32100</v>
      </c>
      <c r="D14" s="466">
        <v>3333</v>
      </c>
      <c r="E14" s="466">
        <v>3415</v>
      </c>
      <c r="F14" s="466">
        <v>11856</v>
      </c>
      <c r="G14" s="466"/>
      <c r="H14" s="466"/>
      <c r="I14" s="467"/>
      <c r="J14" s="467"/>
      <c r="K14" s="1670">
        <f t="shared" si="0"/>
        <v>50704</v>
      </c>
      <c r="L14" s="466">
        <v>61010</v>
      </c>
    </row>
    <row r="15" spans="1:14" x14ac:dyDescent="0.2">
      <c r="A15" s="1503" t="s">
        <v>964</v>
      </c>
      <c r="B15" s="614">
        <v>1600</v>
      </c>
      <c r="C15" s="466"/>
      <c r="D15" s="466"/>
      <c r="E15" s="466"/>
      <c r="F15" s="466"/>
      <c r="G15" s="466"/>
      <c r="H15" s="466"/>
      <c r="I15" s="467"/>
      <c r="J15" s="467"/>
      <c r="K15" s="1670">
        <f t="shared" si="0"/>
        <v>0</v>
      </c>
      <c r="L15" s="466"/>
    </row>
    <row r="16" spans="1:14" x14ac:dyDescent="0.2">
      <c r="A16" s="1503" t="s">
        <v>987</v>
      </c>
      <c r="B16" s="614" t="s">
        <v>424</v>
      </c>
      <c r="C16" s="466"/>
      <c r="D16" s="466"/>
      <c r="E16" s="466"/>
      <c r="F16" s="466"/>
      <c r="G16" s="466"/>
      <c r="H16" s="466"/>
      <c r="I16" s="467"/>
      <c r="J16" s="467"/>
      <c r="K16" s="1670">
        <f t="shared" si="0"/>
        <v>0</v>
      </c>
      <c r="L16" s="466"/>
    </row>
    <row r="17" spans="1:12" x14ac:dyDescent="0.2">
      <c r="A17" s="1503" t="s">
        <v>724</v>
      </c>
      <c r="B17" s="614" t="s">
        <v>162</v>
      </c>
      <c r="C17" s="467">
        <v>13552</v>
      </c>
      <c r="D17" s="467">
        <v>4230</v>
      </c>
      <c r="E17" s="467">
        <v>170</v>
      </c>
      <c r="F17" s="467">
        <v>80</v>
      </c>
      <c r="G17" s="467"/>
      <c r="H17" s="467"/>
      <c r="I17" s="467"/>
      <c r="J17" s="467"/>
      <c r="K17" s="1670">
        <f t="shared" si="0"/>
        <v>18032</v>
      </c>
      <c r="L17" s="466">
        <v>19150</v>
      </c>
    </row>
    <row r="18" spans="1:12" x14ac:dyDescent="0.2">
      <c r="A18" s="1503" t="s">
        <v>1087</v>
      </c>
      <c r="B18" s="614">
        <v>1800</v>
      </c>
      <c r="C18" s="466"/>
      <c r="D18" s="466"/>
      <c r="E18" s="466"/>
      <c r="F18" s="466"/>
      <c r="G18" s="466"/>
      <c r="H18" s="466"/>
      <c r="I18" s="467"/>
      <c r="J18" s="467"/>
      <c r="K18" s="1670">
        <f t="shared" si="0"/>
        <v>0</v>
      </c>
      <c r="L18" s="466"/>
    </row>
    <row r="19" spans="1:12" x14ac:dyDescent="0.2">
      <c r="A19" s="1503" t="s">
        <v>134</v>
      </c>
      <c r="B19" s="614">
        <v>1900</v>
      </c>
      <c r="C19" s="466"/>
      <c r="D19" s="466"/>
      <c r="E19" s="466"/>
      <c r="F19" s="466"/>
      <c r="G19" s="466"/>
      <c r="H19" s="466"/>
      <c r="I19" s="467"/>
      <c r="J19" s="467"/>
      <c r="K19" s="1670">
        <f t="shared" si="0"/>
        <v>0</v>
      </c>
      <c r="L19" s="466"/>
    </row>
    <row r="20" spans="1:12" x14ac:dyDescent="0.2">
      <c r="A20" s="1504" t="s">
        <v>738</v>
      </c>
      <c r="B20" s="602" t="s">
        <v>725</v>
      </c>
      <c r="C20" s="477"/>
      <c r="D20" s="477"/>
      <c r="E20" s="477"/>
      <c r="F20" s="477"/>
      <c r="G20" s="477"/>
      <c r="H20" s="474"/>
      <c r="I20" s="616"/>
      <c r="J20" s="475"/>
      <c r="K20" s="1670">
        <f t="shared" si="0"/>
        <v>0</v>
      </c>
      <c r="L20" s="471"/>
    </row>
    <row r="21" spans="1:12" x14ac:dyDescent="0.2">
      <c r="A21" s="1504" t="s">
        <v>739</v>
      </c>
      <c r="B21" s="602" t="s">
        <v>726</v>
      </c>
      <c r="C21" s="477"/>
      <c r="D21" s="477"/>
      <c r="E21" s="477"/>
      <c r="F21" s="477"/>
      <c r="G21" s="477"/>
      <c r="H21" s="474"/>
      <c r="I21" s="616"/>
      <c r="J21" s="477"/>
      <c r="K21" s="1670">
        <f t="shared" si="0"/>
        <v>0</v>
      </c>
      <c r="L21" s="471"/>
    </row>
    <row r="22" spans="1:12" x14ac:dyDescent="0.2">
      <c r="A22" s="1504" t="s">
        <v>740</v>
      </c>
      <c r="B22" s="602" t="s">
        <v>727</v>
      </c>
      <c r="C22" s="477"/>
      <c r="D22" s="477"/>
      <c r="E22" s="477"/>
      <c r="F22" s="477"/>
      <c r="G22" s="477"/>
      <c r="H22" s="474"/>
      <c r="I22" s="616"/>
      <c r="J22" s="477"/>
      <c r="K22" s="1670">
        <f t="shared" si="0"/>
        <v>0</v>
      </c>
      <c r="L22" s="471"/>
    </row>
    <row r="23" spans="1:12" x14ac:dyDescent="0.2">
      <c r="A23" s="1504" t="s">
        <v>741</v>
      </c>
      <c r="B23" s="602" t="s">
        <v>728</v>
      </c>
      <c r="C23" s="477"/>
      <c r="D23" s="477"/>
      <c r="E23" s="477"/>
      <c r="F23" s="477"/>
      <c r="G23" s="477"/>
      <c r="H23" s="474"/>
      <c r="I23" s="616"/>
      <c r="J23" s="477"/>
      <c r="K23" s="1670">
        <f t="shared" si="0"/>
        <v>0</v>
      </c>
      <c r="L23" s="471"/>
    </row>
    <row r="24" spans="1:12" ht="12.75" customHeight="1" x14ac:dyDescent="0.2">
      <c r="A24" s="1504" t="s">
        <v>742</v>
      </c>
      <c r="B24" s="602" t="s">
        <v>729</v>
      </c>
      <c r="C24" s="477"/>
      <c r="D24" s="477"/>
      <c r="E24" s="477"/>
      <c r="F24" s="477"/>
      <c r="G24" s="477"/>
      <c r="H24" s="474"/>
      <c r="I24" s="616"/>
      <c r="J24" s="477"/>
      <c r="K24" s="1670">
        <f t="shared" si="0"/>
        <v>0</v>
      </c>
      <c r="L24" s="471"/>
    </row>
    <row r="25" spans="1:12" ht="12.75" customHeight="1" x14ac:dyDescent="0.2">
      <c r="A25" s="1504" t="s">
        <v>802</v>
      </c>
      <c r="B25" s="602" t="s">
        <v>730</v>
      </c>
      <c r="C25" s="477"/>
      <c r="D25" s="477"/>
      <c r="E25" s="477"/>
      <c r="F25" s="477"/>
      <c r="G25" s="477"/>
      <c r="H25" s="474"/>
      <c r="I25" s="616"/>
      <c r="J25" s="477"/>
      <c r="K25" s="1670">
        <f t="shared" si="0"/>
        <v>0</v>
      </c>
      <c r="L25" s="471"/>
    </row>
    <row r="26" spans="1:12" x14ac:dyDescent="0.2">
      <c r="A26" s="1504" t="s">
        <v>622</v>
      </c>
      <c r="B26" s="602" t="s">
        <v>731</v>
      </c>
      <c r="C26" s="477"/>
      <c r="D26" s="477"/>
      <c r="E26" s="477"/>
      <c r="F26" s="477"/>
      <c r="G26" s="477"/>
      <c r="H26" s="474"/>
      <c r="I26" s="616"/>
      <c r="J26" s="477"/>
      <c r="K26" s="1670">
        <f t="shared" si="0"/>
        <v>0</v>
      </c>
      <c r="L26" s="471"/>
    </row>
    <row r="27" spans="1:12" x14ac:dyDescent="0.2">
      <c r="A27" s="1504" t="s">
        <v>623</v>
      </c>
      <c r="B27" s="602" t="s">
        <v>732</v>
      </c>
      <c r="C27" s="477"/>
      <c r="D27" s="477"/>
      <c r="E27" s="477"/>
      <c r="F27" s="477"/>
      <c r="G27" s="477"/>
      <c r="H27" s="474"/>
      <c r="I27" s="616"/>
      <c r="J27" s="477"/>
      <c r="K27" s="1670">
        <f t="shared" si="0"/>
        <v>0</v>
      </c>
      <c r="L27" s="471"/>
    </row>
    <row r="28" spans="1:12" x14ac:dyDescent="0.2">
      <c r="A28" s="1504" t="s">
        <v>150</v>
      </c>
      <c r="B28" s="602" t="s">
        <v>733</v>
      </c>
      <c r="C28" s="477"/>
      <c r="D28" s="477"/>
      <c r="E28" s="477"/>
      <c r="F28" s="477"/>
      <c r="G28" s="477"/>
      <c r="H28" s="474"/>
      <c r="I28" s="616"/>
      <c r="J28" s="477"/>
      <c r="K28" s="1670">
        <f t="shared" si="0"/>
        <v>0</v>
      </c>
      <c r="L28" s="471"/>
    </row>
    <row r="29" spans="1:12" x14ac:dyDescent="0.2">
      <c r="A29" s="1504" t="s">
        <v>151</v>
      </c>
      <c r="B29" s="602" t="s">
        <v>734</v>
      </c>
      <c r="C29" s="477"/>
      <c r="D29" s="477"/>
      <c r="E29" s="477"/>
      <c r="F29" s="477"/>
      <c r="G29" s="477"/>
      <c r="H29" s="474"/>
      <c r="I29" s="616"/>
      <c r="J29" s="477"/>
      <c r="K29" s="1670">
        <f t="shared" si="0"/>
        <v>0</v>
      </c>
      <c r="L29" s="471"/>
    </row>
    <row r="30" spans="1:12" x14ac:dyDescent="0.2">
      <c r="A30" s="1504" t="s">
        <v>152</v>
      </c>
      <c r="B30" s="602" t="s">
        <v>735</v>
      </c>
      <c r="C30" s="477"/>
      <c r="D30" s="477"/>
      <c r="E30" s="477"/>
      <c r="F30" s="477"/>
      <c r="G30" s="477"/>
      <c r="H30" s="474"/>
      <c r="I30" s="616"/>
      <c r="J30" s="477"/>
      <c r="K30" s="1670">
        <f t="shared" si="0"/>
        <v>0</v>
      </c>
      <c r="L30" s="471"/>
    </row>
    <row r="31" spans="1:12" x14ac:dyDescent="0.2">
      <c r="A31" s="1504" t="s">
        <v>153</v>
      </c>
      <c r="B31" s="602" t="s">
        <v>736</v>
      </c>
      <c r="C31" s="477"/>
      <c r="D31" s="477"/>
      <c r="E31" s="477"/>
      <c r="F31" s="477"/>
      <c r="G31" s="477"/>
      <c r="H31" s="474"/>
      <c r="I31" s="616"/>
      <c r="J31" s="477"/>
      <c r="K31" s="1670">
        <f t="shared" si="0"/>
        <v>0</v>
      </c>
      <c r="L31" s="471"/>
    </row>
    <row r="32" spans="1:12" x14ac:dyDescent="0.2">
      <c r="A32" s="1505"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1416683</v>
      </c>
      <c r="D33" s="1669">
        <f t="shared" ref="D33:L33" si="1">SUM(D5:D32)</f>
        <v>370955</v>
      </c>
      <c r="E33" s="1669">
        <f t="shared" si="1"/>
        <v>19599</v>
      </c>
      <c r="F33" s="1669">
        <f t="shared" si="1"/>
        <v>70108</v>
      </c>
      <c r="G33" s="1669">
        <f t="shared" si="1"/>
        <v>0</v>
      </c>
      <c r="H33" s="1669">
        <f t="shared" si="1"/>
        <v>47834</v>
      </c>
      <c r="I33" s="1669">
        <f t="shared" si="1"/>
        <v>0</v>
      </c>
      <c r="J33" s="1669">
        <f t="shared" si="1"/>
        <v>0</v>
      </c>
      <c r="K33" s="1669">
        <f t="shared" si="1"/>
        <v>1925179</v>
      </c>
      <c r="L33" s="1669">
        <f t="shared" si="1"/>
        <v>1985537</v>
      </c>
    </row>
    <row r="34" spans="1:14" s="620" customFormat="1" ht="15.75" customHeight="1" thickTop="1" x14ac:dyDescent="0.2">
      <c r="A34" s="1607" t="s">
        <v>46</v>
      </c>
      <c r="B34" s="1608"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3" t="s">
        <v>1089</v>
      </c>
      <c r="B36" s="614">
        <v>2110</v>
      </c>
      <c r="C36" s="481"/>
      <c r="D36" s="481"/>
      <c r="E36" s="481"/>
      <c r="F36" s="481">
        <v>1345</v>
      </c>
      <c r="G36" s="481"/>
      <c r="H36" s="481"/>
      <c r="I36" s="467"/>
      <c r="J36" s="467"/>
      <c r="K36" s="1670">
        <f t="shared" ref="K36:K41" si="2">SUM(C36:J36)</f>
        <v>1345</v>
      </c>
      <c r="L36" s="466">
        <v>16500</v>
      </c>
    </row>
    <row r="37" spans="1:14" x14ac:dyDescent="0.2">
      <c r="A37" s="1503" t="s">
        <v>1090</v>
      </c>
      <c r="B37" s="614">
        <v>2120</v>
      </c>
      <c r="C37" s="466">
        <v>39218</v>
      </c>
      <c r="D37" s="466">
        <v>5477</v>
      </c>
      <c r="E37" s="466"/>
      <c r="F37" s="466">
        <v>25</v>
      </c>
      <c r="G37" s="466"/>
      <c r="H37" s="466"/>
      <c r="I37" s="467"/>
      <c r="J37" s="467"/>
      <c r="K37" s="1670">
        <f t="shared" si="2"/>
        <v>44720</v>
      </c>
      <c r="L37" s="466">
        <v>53835</v>
      </c>
    </row>
    <row r="38" spans="1:14" x14ac:dyDescent="0.2">
      <c r="A38" s="1503" t="s">
        <v>198</v>
      </c>
      <c r="B38" s="614">
        <v>2130</v>
      </c>
      <c r="C38" s="466"/>
      <c r="D38" s="466"/>
      <c r="E38" s="466"/>
      <c r="F38" s="466"/>
      <c r="G38" s="466"/>
      <c r="H38" s="466"/>
      <c r="I38" s="467"/>
      <c r="J38" s="467"/>
      <c r="K38" s="1670">
        <f t="shared" si="2"/>
        <v>0</v>
      </c>
      <c r="L38" s="466"/>
    </row>
    <row r="39" spans="1:14" x14ac:dyDescent="0.2">
      <c r="A39" s="1503" t="s">
        <v>199</v>
      </c>
      <c r="B39" s="614">
        <v>2140</v>
      </c>
      <c r="C39" s="466"/>
      <c r="D39" s="466"/>
      <c r="E39" s="466">
        <v>30225</v>
      </c>
      <c r="F39" s="466">
        <v>542</v>
      </c>
      <c r="G39" s="466"/>
      <c r="H39" s="466"/>
      <c r="I39" s="467"/>
      <c r="J39" s="467"/>
      <c r="K39" s="1670">
        <f t="shared" si="2"/>
        <v>30767</v>
      </c>
      <c r="L39" s="466">
        <v>33250</v>
      </c>
    </row>
    <row r="40" spans="1:14" x14ac:dyDescent="0.2">
      <c r="A40" s="1503" t="s">
        <v>200</v>
      </c>
      <c r="B40" s="614">
        <v>2150</v>
      </c>
      <c r="C40" s="466">
        <v>35059</v>
      </c>
      <c r="D40" s="466">
        <v>6606</v>
      </c>
      <c r="E40" s="466">
        <v>264</v>
      </c>
      <c r="F40" s="466">
        <v>697</v>
      </c>
      <c r="G40" s="466"/>
      <c r="H40" s="466"/>
      <c r="I40" s="467"/>
      <c r="J40" s="467"/>
      <c r="K40" s="1670">
        <f t="shared" si="2"/>
        <v>42626</v>
      </c>
      <c r="L40" s="466">
        <v>40889</v>
      </c>
    </row>
    <row r="41" spans="1:14" x14ac:dyDescent="0.2">
      <c r="A41" s="1503" t="s">
        <v>1669</v>
      </c>
      <c r="B41" s="614">
        <v>2190</v>
      </c>
      <c r="C41" s="466"/>
      <c r="D41" s="466"/>
      <c r="E41" s="466"/>
      <c r="F41" s="466"/>
      <c r="G41" s="466"/>
      <c r="H41" s="466"/>
      <c r="I41" s="467"/>
      <c r="J41" s="467"/>
      <c r="K41" s="1670">
        <f t="shared" si="2"/>
        <v>0</v>
      </c>
      <c r="L41" s="466"/>
    </row>
    <row r="42" spans="1:14" ht="12.75" customHeight="1" thickBot="1" x14ac:dyDescent="0.25">
      <c r="A42" s="1667" t="s">
        <v>560</v>
      </c>
      <c r="B42" s="1668" t="s">
        <v>716</v>
      </c>
      <c r="C42" s="1669">
        <f>SUM(C36:C41)</f>
        <v>74277</v>
      </c>
      <c r="D42" s="1669">
        <f t="shared" ref="D42:L42" si="3">SUM(D36:D41)</f>
        <v>12083</v>
      </c>
      <c r="E42" s="1669">
        <f t="shared" si="3"/>
        <v>30489</v>
      </c>
      <c r="F42" s="1669">
        <f t="shared" si="3"/>
        <v>2609</v>
      </c>
      <c r="G42" s="1669">
        <f t="shared" si="3"/>
        <v>0</v>
      </c>
      <c r="H42" s="1669">
        <f t="shared" si="3"/>
        <v>0</v>
      </c>
      <c r="I42" s="1669">
        <f t="shared" si="3"/>
        <v>0</v>
      </c>
      <c r="J42" s="1669">
        <f t="shared" si="3"/>
        <v>0</v>
      </c>
      <c r="K42" s="1669">
        <f t="shared" si="3"/>
        <v>119458</v>
      </c>
      <c r="L42" s="1669">
        <f t="shared" si="3"/>
        <v>144474</v>
      </c>
    </row>
    <row r="43" spans="1:14" ht="15.75" customHeight="1" thickTop="1" x14ac:dyDescent="0.2">
      <c r="A43" s="624" t="s">
        <v>592</v>
      </c>
      <c r="B43" s="625"/>
      <c r="C43" s="626"/>
      <c r="D43" s="626"/>
      <c r="E43" s="626"/>
      <c r="F43" s="626"/>
      <c r="G43" s="626"/>
      <c r="H43" s="626"/>
      <c r="I43" s="616"/>
      <c r="J43" s="616"/>
      <c r="K43" s="626"/>
      <c r="L43" s="626"/>
    </row>
    <row r="44" spans="1:14" x14ac:dyDescent="0.2">
      <c r="A44" s="1503" t="s">
        <v>814</v>
      </c>
      <c r="B44" s="614">
        <v>2210</v>
      </c>
      <c r="C44" s="481">
        <v>4927</v>
      </c>
      <c r="D44" s="481">
        <v>338</v>
      </c>
      <c r="E44" s="481">
        <v>31425</v>
      </c>
      <c r="F44" s="481">
        <v>26600</v>
      </c>
      <c r="G44" s="481"/>
      <c r="H44" s="481"/>
      <c r="I44" s="467"/>
      <c r="J44" s="467"/>
      <c r="K44" s="1671">
        <f>SUM(C44:J44)</f>
        <v>63290</v>
      </c>
      <c r="L44" s="481">
        <v>30500</v>
      </c>
    </row>
    <row r="45" spans="1:14" x14ac:dyDescent="0.2">
      <c r="A45" s="1503" t="s">
        <v>815</v>
      </c>
      <c r="B45" s="614">
        <v>2220</v>
      </c>
      <c r="C45" s="466">
        <v>2244</v>
      </c>
      <c r="D45" s="466"/>
      <c r="E45" s="466">
        <v>19745</v>
      </c>
      <c r="F45" s="466">
        <v>75</v>
      </c>
      <c r="G45" s="466"/>
      <c r="H45" s="466"/>
      <c r="I45" s="467"/>
      <c r="J45" s="467"/>
      <c r="K45" s="1671">
        <f>SUM(C45:J45)</f>
        <v>22064</v>
      </c>
      <c r="L45" s="466">
        <v>42900</v>
      </c>
    </row>
    <row r="46" spans="1:14" x14ac:dyDescent="0.2">
      <c r="A46" s="1503" t="s">
        <v>816</v>
      </c>
      <c r="B46" s="614">
        <v>2230</v>
      </c>
      <c r="C46" s="466"/>
      <c r="D46" s="466"/>
      <c r="E46" s="466">
        <v>6286</v>
      </c>
      <c r="F46" s="466">
        <v>1499</v>
      </c>
      <c r="G46" s="466"/>
      <c r="H46" s="466"/>
      <c r="I46" s="467"/>
      <c r="J46" s="467"/>
      <c r="K46" s="1671">
        <f>SUM(C46:J46)</f>
        <v>7785</v>
      </c>
      <c r="L46" s="466">
        <v>13000</v>
      </c>
    </row>
    <row r="47" spans="1:14" ht="12.75" customHeight="1" thickBot="1" x14ac:dyDescent="0.25">
      <c r="A47" s="1667" t="s">
        <v>561</v>
      </c>
      <c r="B47" s="1668" t="s">
        <v>32</v>
      </c>
      <c r="C47" s="1669">
        <f>SUM(C44:C46)</f>
        <v>7171</v>
      </c>
      <c r="D47" s="1669">
        <f t="shared" ref="D47:K47" si="4">SUM(D44:D46)</f>
        <v>338</v>
      </c>
      <c r="E47" s="1669">
        <f t="shared" si="4"/>
        <v>57456</v>
      </c>
      <c r="F47" s="1669">
        <f t="shared" si="4"/>
        <v>28174</v>
      </c>
      <c r="G47" s="1669">
        <f t="shared" si="4"/>
        <v>0</v>
      </c>
      <c r="H47" s="1669">
        <f t="shared" si="4"/>
        <v>0</v>
      </c>
      <c r="I47" s="1669">
        <f t="shared" si="4"/>
        <v>0</v>
      </c>
      <c r="J47" s="1669">
        <f t="shared" si="4"/>
        <v>0</v>
      </c>
      <c r="K47" s="1669">
        <f t="shared" si="4"/>
        <v>93139</v>
      </c>
      <c r="L47" s="1669">
        <f>SUM(L44:L46)</f>
        <v>86400</v>
      </c>
    </row>
    <row r="48" spans="1:14" ht="15.75" customHeight="1" thickTop="1" x14ac:dyDescent="0.2">
      <c r="A48" s="624" t="s">
        <v>610</v>
      </c>
      <c r="B48" s="625"/>
      <c r="C48" s="626"/>
      <c r="D48" s="626"/>
      <c r="E48" s="626"/>
      <c r="F48" s="626"/>
      <c r="G48" s="626"/>
      <c r="H48" s="626"/>
      <c r="I48" s="616"/>
      <c r="J48" s="616"/>
      <c r="K48" s="626"/>
      <c r="L48" s="626"/>
    </row>
    <row r="49" spans="1:14" x14ac:dyDescent="0.2">
      <c r="A49" s="1503" t="s">
        <v>817</v>
      </c>
      <c r="B49" s="614">
        <v>2310</v>
      </c>
      <c r="C49" s="481"/>
      <c r="D49" s="481"/>
      <c r="E49" s="481">
        <v>21071</v>
      </c>
      <c r="F49" s="481">
        <v>4251</v>
      </c>
      <c r="G49" s="481"/>
      <c r="H49" s="481"/>
      <c r="I49" s="467"/>
      <c r="J49" s="467"/>
      <c r="K49" s="1671">
        <f>SUM(C49:J49)</f>
        <v>25322</v>
      </c>
      <c r="L49" s="481">
        <v>37200</v>
      </c>
    </row>
    <row r="50" spans="1:14" x14ac:dyDescent="0.2">
      <c r="A50" s="1503" t="s">
        <v>818</v>
      </c>
      <c r="B50" s="614">
        <v>2320</v>
      </c>
      <c r="C50" s="466">
        <v>99745</v>
      </c>
      <c r="D50" s="466">
        <v>37351</v>
      </c>
      <c r="E50" s="466">
        <v>6718</v>
      </c>
      <c r="F50" s="466">
        <v>1215</v>
      </c>
      <c r="G50" s="466"/>
      <c r="H50" s="466"/>
      <c r="I50" s="467"/>
      <c r="J50" s="467"/>
      <c r="K50" s="1671">
        <f>SUM(C50:J50)</f>
        <v>145029</v>
      </c>
      <c r="L50" s="466">
        <v>143455</v>
      </c>
    </row>
    <row r="51" spans="1:14" x14ac:dyDescent="0.2">
      <c r="A51" s="1503" t="s">
        <v>42</v>
      </c>
      <c r="B51" s="614">
        <v>2330</v>
      </c>
      <c r="C51" s="466"/>
      <c r="D51" s="466"/>
      <c r="E51" s="466"/>
      <c r="F51" s="466"/>
      <c r="G51" s="466"/>
      <c r="H51" s="466"/>
      <c r="I51" s="467"/>
      <c r="J51" s="467"/>
      <c r="K51" s="1671">
        <f>SUM(C51:J51)</f>
        <v>0</v>
      </c>
      <c r="L51" s="466"/>
    </row>
    <row r="52" spans="1:14" ht="22.5" x14ac:dyDescent="0.2">
      <c r="A52" s="1504" t="s">
        <v>298</v>
      </c>
      <c r="B52" s="627" t="s">
        <v>366</v>
      </c>
      <c r="C52" s="474"/>
      <c r="D52" s="474"/>
      <c r="E52" s="474"/>
      <c r="F52" s="474"/>
      <c r="G52" s="474"/>
      <c r="H52" s="474"/>
      <c r="I52" s="474"/>
      <c r="J52" s="474"/>
      <c r="K52" s="1671">
        <f>SUM(C52:J52)</f>
        <v>0</v>
      </c>
      <c r="L52" s="474"/>
    </row>
    <row r="53" spans="1:14" ht="12.75" customHeight="1" thickBot="1" x14ac:dyDescent="0.25">
      <c r="A53" s="1667" t="s">
        <v>717</v>
      </c>
      <c r="B53" s="1668" t="s">
        <v>33</v>
      </c>
      <c r="C53" s="1669">
        <f>SUM(C49:C52)</f>
        <v>99745</v>
      </c>
      <c r="D53" s="1669">
        <f t="shared" ref="D53:L53" si="5">SUM(D49:D52)</f>
        <v>37351</v>
      </c>
      <c r="E53" s="1669">
        <f t="shared" si="5"/>
        <v>27789</v>
      </c>
      <c r="F53" s="1669">
        <f t="shared" si="5"/>
        <v>5466</v>
      </c>
      <c r="G53" s="1669">
        <f t="shared" si="5"/>
        <v>0</v>
      </c>
      <c r="H53" s="1669">
        <f t="shared" si="5"/>
        <v>0</v>
      </c>
      <c r="I53" s="1669">
        <f t="shared" si="5"/>
        <v>0</v>
      </c>
      <c r="J53" s="1669">
        <f t="shared" si="5"/>
        <v>0</v>
      </c>
      <c r="K53" s="1669">
        <f t="shared" si="5"/>
        <v>170351</v>
      </c>
      <c r="L53" s="1669">
        <f t="shared" si="5"/>
        <v>180655</v>
      </c>
    </row>
    <row r="54" spans="1:14" ht="15.75" customHeight="1" thickTop="1" x14ac:dyDescent="0.2">
      <c r="A54" s="624" t="s">
        <v>611</v>
      </c>
      <c r="B54" s="625"/>
      <c r="C54" s="626"/>
      <c r="D54" s="626"/>
      <c r="E54" s="626"/>
      <c r="F54" s="626"/>
      <c r="G54" s="626"/>
      <c r="H54" s="626"/>
      <c r="I54" s="616"/>
      <c r="J54" s="616"/>
      <c r="K54" s="626"/>
      <c r="L54" s="626"/>
    </row>
    <row r="55" spans="1:14" x14ac:dyDescent="0.2">
      <c r="A55" s="1503" t="s">
        <v>1067</v>
      </c>
      <c r="B55" s="614">
        <v>2410</v>
      </c>
      <c r="C55" s="481">
        <v>209670</v>
      </c>
      <c r="D55" s="481">
        <v>59992</v>
      </c>
      <c r="E55" s="481">
        <v>628</v>
      </c>
      <c r="F55" s="481">
        <v>2197</v>
      </c>
      <c r="G55" s="481"/>
      <c r="H55" s="481"/>
      <c r="I55" s="467"/>
      <c r="J55" s="467"/>
      <c r="K55" s="1671">
        <f>SUM(C55:J55)</f>
        <v>272487</v>
      </c>
      <c r="L55" s="481">
        <v>262510</v>
      </c>
    </row>
    <row r="56" spans="1:14" ht="12.75" customHeight="1" x14ac:dyDescent="0.2">
      <c r="A56" s="1507"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209670</v>
      </c>
      <c r="D57" s="1673">
        <f t="shared" ref="D57:K57" si="6">SUM(D55:D56)</f>
        <v>59992</v>
      </c>
      <c r="E57" s="1673">
        <f t="shared" si="6"/>
        <v>628</v>
      </c>
      <c r="F57" s="1673">
        <f t="shared" si="6"/>
        <v>2197</v>
      </c>
      <c r="G57" s="1673">
        <f t="shared" si="6"/>
        <v>0</v>
      </c>
      <c r="H57" s="1673">
        <f t="shared" si="6"/>
        <v>0</v>
      </c>
      <c r="I57" s="1673">
        <f t="shared" si="6"/>
        <v>0</v>
      </c>
      <c r="J57" s="1673">
        <f t="shared" si="6"/>
        <v>0</v>
      </c>
      <c r="K57" s="1673">
        <f t="shared" si="6"/>
        <v>272487</v>
      </c>
      <c r="L57" s="1669">
        <f>SUM(L55:L56)</f>
        <v>262510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3" t="s">
        <v>1068</v>
      </c>
      <c r="B59" s="614">
        <v>2510</v>
      </c>
      <c r="C59" s="481"/>
      <c r="D59" s="481"/>
      <c r="E59" s="481"/>
      <c r="F59" s="481"/>
      <c r="G59" s="481"/>
      <c r="H59" s="481"/>
      <c r="I59" s="467"/>
      <c r="J59" s="467"/>
      <c r="K59" s="1671">
        <f t="shared" ref="K59:K64" si="7">SUM(C59:J59)</f>
        <v>0</v>
      </c>
      <c r="L59" s="481"/>
      <c r="M59" s="609"/>
      <c r="N59" s="609"/>
    </row>
    <row r="60" spans="1:14" s="343" customFormat="1" x14ac:dyDescent="0.2">
      <c r="A60" s="1503" t="s">
        <v>463</v>
      </c>
      <c r="B60" s="614">
        <v>2520</v>
      </c>
      <c r="C60" s="466">
        <v>16290</v>
      </c>
      <c r="D60" s="466">
        <v>3033</v>
      </c>
      <c r="E60" s="466">
        <v>468</v>
      </c>
      <c r="F60" s="466">
        <v>878</v>
      </c>
      <c r="G60" s="466"/>
      <c r="H60" s="466"/>
      <c r="I60" s="467"/>
      <c r="J60" s="467"/>
      <c r="K60" s="1671">
        <f t="shared" si="7"/>
        <v>20669</v>
      </c>
      <c r="L60" s="466">
        <v>19345</v>
      </c>
      <c r="M60" s="609"/>
      <c r="N60" s="609"/>
    </row>
    <row r="61" spans="1:14" s="343" customFormat="1" x14ac:dyDescent="0.2">
      <c r="A61" s="1503" t="s">
        <v>197</v>
      </c>
      <c r="B61" s="614">
        <v>2540</v>
      </c>
      <c r="C61" s="466">
        <v>1372</v>
      </c>
      <c r="D61" s="466"/>
      <c r="E61" s="466"/>
      <c r="F61" s="466"/>
      <c r="G61" s="466"/>
      <c r="H61" s="466"/>
      <c r="I61" s="467"/>
      <c r="J61" s="467"/>
      <c r="K61" s="1671">
        <f t="shared" si="7"/>
        <v>1372</v>
      </c>
      <c r="L61" s="466"/>
      <c r="M61" s="609"/>
      <c r="N61" s="609"/>
    </row>
    <row r="62" spans="1:14" s="343" customFormat="1" x14ac:dyDescent="0.2">
      <c r="A62" s="1503" t="s">
        <v>953</v>
      </c>
      <c r="B62" s="614">
        <v>2550</v>
      </c>
      <c r="C62" s="466"/>
      <c r="D62" s="466"/>
      <c r="E62" s="466"/>
      <c r="F62" s="466"/>
      <c r="G62" s="466"/>
      <c r="H62" s="466"/>
      <c r="I62" s="467"/>
      <c r="J62" s="467"/>
      <c r="K62" s="1671">
        <f t="shared" si="7"/>
        <v>0</v>
      </c>
      <c r="L62" s="466"/>
      <c r="M62" s="609"/>
      <c r="N62" s="609"/>
    </row>
    <row r="63" spans="1:14" s="609" customFormat="1" x14ac:dyDescent="0.2">
      <c r="A63" s="1503" t="s">
        <v>100</v>
      </c>
      <c r="B63" s="614">
        <v>2560</v>
      </c>
      <c r="C63" s="466">
        <v>85761</v>
      </c>
      <c r="D63" s="466"/>
      <c r="E63" s="466">
        <v>1174</v>
      </c>
      <c r="F63" s="466">
        <v>81359</v>
      </c>
      <c r="G63" s="466">
        <v>759</v>
      </c>
      <c r="H63" s="466"/>
      <c r="I63" s="467"/>
      <c r="J63" s="467"/>
      <c r="K63" s="1671">
        <f t="shared" si="7"/>
        <v>169053</v>
      </c>
      <c r="L63" s="466">
        <v>178900</v>
      </c>
    </row>
    <row r="64" spans="1:14" s="609" customFormat="1" x14ac:dyDescent="0.2">
      <c r="A64" s="1508"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719</v>
      </c>
      <c r="B65" s="1668" t="s">
        <v>35</v>
      </c>
      <c r="C65" s="1669">
        <f>SUM(C59:C64)</f>
        <v>103423</v>
      </c>
      <c r="D65" s="1669">
        <f t="shared" ref="D65:L65" si="8">SUM(D59:D64)</f>
        <v>3033</v>
      </c>
      <c r="E65" s="1669">
        <f t="shared" si="8"/>
        <v>1642</v>
      </c>
      <c r="F65" s="1669">
        <f t="shared" si="8"/>
        <v>82237</v>
      </c>
      <c r="G65" s="1669">
        <f t="shared" si="8"/>
        <v>759</v>
      </c>
      <c r="H65" s="1669">
        <f t="shared" si="8"/>
        <v>0</v>
      </c>
      <c r="I65" s="1669">
        <f t="shared" si="8"/>
        <v>0</v>
      </c>
      <c r="J65" s="1669">
        <f t="shared" si="8"/>
        <v>0</v>
      </c>
      <c r="K65" s="1669">
        <f t="shared" si="8"/>
        <v>191094</v>
      </c>
      <c r="L65" s="1669">
        <f t="shared" si="8"/>
        <v>198245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3" t="s">
        <v>1060</v>
      </c>
      <c r="B67" s="614">
        <v>2610</v>
      </c>
      <c r="C67" s="466"/>
      <c r="D67" s="466"/>
      <c r="E67" s="466"/>
      <c r="F67" s="466"/>
      <c r="G67" s="466"/>
      <c r="H67" s="466"/>
      <c r="I67" s="467"/>
      <c r="J67" s="467"/>
      <c r="K67" s="1671">
        <f>SUM(C67:J67)</f>
        <v>0</v>
      </c>
      <c r="L67" s="481"/>
      <c r="M67" s="609"/>
      <c r="N67" s="609"/>
    </row>
    <row r="68" spans="1:14" s="343" customFormat="1" x14ac:dyDescent="0.2">
      <c r="A68" s="1503" t="s">
        <v>607</v>
      </c>
      <c r="B68" s="614">
        <v>2620</v>
      </c>
      <c r="C68" s="466"/>
      <c r="D68" s="466"/>
      <c r="E68" s="466">
        <v>38308</v>
      </c>
      <c r="F68" s="466"/>
      <c r="G68" s="466"/>
      <c r="H68" s="466"/>
      <c r="I68" s="467"/>
      <c r="J68" s="467"/>
      <c r="K68" s="1671">
        <f>SUM(C68:J68)</f>
        <v>38308</v>
      </c>
      <c r="L68" s="466"/>
      <c r="M68" s="609"/>
      <c r="N68" s="609"/>
    </row>
    <row r="69" spans="1:14" s="343" customFormat="1" x14ac:dyDescent="0.2">
      <c r="A69" s="1503" t="s">
        <v>1061</v>
      </c>
      <c r="B69" s="614">
        <v>2630</v>
      </c>
      <c r="C69" s="466"/>
      <c r="D69" s="466"/>
      <c r="E69" s="466"/>
      <c r="F69" s="466"/>
      <c r="G69" s="466"/>
      <c r="H69" s="466"/>
      <c r="I69" s="467"/>
      <c r="J69" s="467"/>
      <c r="K69" s="1671">
        <f>SUM(C69:J69)</f>
        <v>0</v>
      </c>
      <c r="L69" s="466"/>
      <c r="M69" s="609"/>
      <c r="N69" s="609"/>
    </row>
    <row r="70" spans="1:14" s="343" customFormat="1" x14ac:dyDescent="0.2">
      <c r="A70" s="1503" t="s">
        <v>403</v>
      </c>
      <c r="B70" s="614">
        <v>2640</v>
      </c>
      <c r="C70" s="466"/>
      <c r="D70" s="466"/>
      <c r="E70" s="466"/>
      <c r="F70" s="466"/>
      <c r="G70" s="466"/>
      <c r="H70" s="466"/>
      <c r="I70" s="467"/>
      <c r="J70" s="467"/>
      <c r="K70" s="1671">
        <f>SUM(C70:J70)</f>
        <v>0</v>
      </c>
      <c r="L70" s="466"/>
      <c r="M70" s="609"/>
      <c r="N70" s="609"/>
    </row>
    <row r="71" spans="1:14" s="343" customFormat="1" x14ac:dyDescent="0.2">
      <c r="A71" s="1503" t="s">
        <v>404</v>
      </c>
      <c r="B71" s="614">
        <v>2660</v>
      </c>
      <c r="C71" s="466"/>
      <c r="D71" s="466"/>
      <c r="E71" s="466"/>
      <c r="F71" s="466"/>
      <c r="G71" s="466"/>
      <c r="H71" s="466"/>
      <c r="I71" s="467"/>
      <c r="J71" s="467"/>
      <c r="K71" s="1671">
        <f>SUM(C71:J71)</f>
        <v>0</v>
      </c>
      <c r="L71" s="466"/>
      <c r="M71" s="609"/>
      <c r="N71" s="609"/>
    </row>
    <row r="72" spans="1:14" s="343" customFormat="1" ht="12.75" customHeight="1" thickBot="1" x14ac:dyDescent="0.25">
      <c r="A72" s="1667" t="s">
        <v>37</v>
      </c>
      <c r="B72" s="1674" t="s">
        <v>36</v>
      </c>
      <c r="C72" s="1669">
        <f>SUM(C67:C71)</f>
        <v>0</v>
      </c>
      <c r="D72" s="1669">
        <f t="shared" ref="D72:K72" si="9">SUM(D67:D71)</f>
        <v>0</v>
      </c>
      <c r="E72" s="1669">
        <f t="shared" si="9"/>
        <v>38308</v>
      </c>
      <c r="F72" s="1669">
        <f t="shared" si="9"/>
        <v>0</v>
      </c>
      <c r="G72" s="1669">
        <f t="shared" si="9"/>
        <v>0</v>
      </c>
      <c r="H72" s="1669">
        <f t="shared" si="9"/>
        <v>0</v>
      </c>
      <c r="I72" s="1669">
        <f t="shared" si="9"/>
        <v>0</v>
      </c>
      <c r="J72" s="1669">
        <f t="shared" si="9"/>
        <v>0</v>
      </c>
      <c r="K72" s="1669">
        <f t="shared" si="9"/>
        <v>38308</v>
      </c>
      <c r="L72" s="1669">
        <f>SUM(L67:L71)</f>
        <v>0</v>
      </c>
      <c r="M72" s="609"/>
      <c r="N72" s="609"/>
    </row>
    <row r="73" spans="1:14" s="343" customFormat="1" ht="14.25" thickTop="1" thickBot="1" x14ac:dyDescent="0.25">
      <c r="A73" s="1509" t="s">
        <v>980</v>
      </c>
      <c r="B73" s="632" t="s">
        <v>574</v>
      </c>
      <c r="C73" s="573"/>
      <c r="D73" s="573"/>
      <c r="E73" s="573"/>
      <c r="F73" s="573">
        <v>12</v>
      </c>
      <c r="G73" s="573"/>
      <c r="H73" s="573"/>
      <c r="I73" s="531"/>
      <c r="J73" s="531"/>
      <c r="K73" s="1669">
        <f>SUM(C73:J73)</f>
        <v>12</v>
      </c>
      <c r="L73" s="576">
        <v>1000</v>
      </c>
      <c r="M73" s="609"/>
      <c r="N73" s="609"/>
    </row>
    <row r="74" spans="1:14" ht="12.75" customHeight="1" thickTop="1" thickBot="1" x14ac:dyDescent="0.25">
      <c r="A74" s="1667" t="s">
        <v>811</v>
      </c>
      <c r="B74" s="1675">
        <v>2000</v>
      </c>
      <c r="C74" s="1676">
        <f>SUM(C42,C47,C53,C57,C65,C72,C73)</f>
        <v>494286</v>
      </c>
      <c r="D74" s="1676">
        <f t="shared" ref="D74:K74" si="10">SUM(D42,D47,D53,D57,D65,D72,D73)</f>
        <v>112797</v>
      </c>
      <c r="E74" s="1676">
        <f t="shared" si="10"/>
        <v>156312</v>
      </c>
      <c r="F74" s="1676">
        <f t="shared" si="10"/>
        <v>120695</v>
      </c>
      <c r="G74" s="1676">
        <f t="shared" si="10"/>
        <v>759</v>
      </c>
      <c r="H74" s="1676">
        <f t="shared" si="10"/>
        <v>0</v>
      </c>
      <c r="I74" s="1676">
        <f t="shared" si="10"/>
        <v>0</v>
      </c>
      <c r="J74" s="1676">
        <f t="shared" si="10"/>
        <v>0</v>
      </c>
      <c r="K74" s="1676">
        <f t="shared" si="10"/>
        <v>884849</v>
      </c>
      <c r="L74" s="1676">
        <f>SUM(L42,L47,L53,L57,L65,L72,L73)</f>
        <v>873284</v>
      </c>
    </row>
    <row r="75" spans="1:14" s="259" customFormat="1" ht="15.75" customHeight="1" thickTop="1" thickBot="1" x14ac:dyDescent="0.25">
      <c r="A75" s="1609" t="s">
        <v>47</v>
      </c>
      <c r="B75" s="1610" t="s">
        <v>575</v>
      </c>
      <c r="C75" s="573"/>
      <c r="D75" s="573"/>
      <c r="E75" s="573">
        <v>1160</v>
      </c>
      <c r="F75" s="573"/>
      <c r="G75" s="573"/>
      <c r="H75" s="573"/>
      <c r="I75" s="531"/>
      <c r="J75" s="531"/>
      <c r="K75" s="1669">
        <f>SUM(C75:J75)</f>
        <v>1160</v>
      </c>
      <c r="L75" s="576">
        <v>1352</v>
      </c>
      <c r="M75" s="613"/>
      <c r="N75" s="613"/>
    </row>
    <row r="76" spans="1:14" s="633" customFormat="1" ht="15.75" customHeight="1" thickTop="1" x14ac:dyDescent="0.2">
      <c r="A76" s="1611" t="s">
        <v>365</v>
      </c>
      <c r="B76" s="1608"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3" t="s">
        <v>496</v>
      </c>
      <c r="B78" s="614">
        <v>4110</v>
      </c>
      <c r="C78" s="616"/>
      <c r="D78" s="616"/>
      <c r="E78" s="481">
        <v>19289</v>
      </c>
      <c r="F78" s="616"/>
      <c r="G78" s="616"/>
      <c r="H78" s="634"/>
      <c r="I78" s="477"/>
      <c r="J78" s="477"/>
      <c r="K78" s="1670">
        <f t="shared" ref="K78:K83" si="11">SUM(C78:J78)</f>
        <v>19289</v>
      </c>
      <c r="L78" s="481">
        <v>20000</v>
      </c>
    </row>
    <row r="79" spans="1:14" x14ac:dyDescent="0.2">
      <c r="A79" s="1503" t="s">
        <v>304</v>
      </c>
      <c r="B79" s="614">
        <v>4120</v>
      </c>
      <c r="C79" s="616"/>
      <c r="D79" s="616"/>
      <c r="E79" s="466">
        <v>14300</v>
      </c>
      <c r="F79" s="616"/>
      <c r="G79" s="616"/>
      <c r="H79" s="466">
        <v>3873</v>
      </c>
      <c r="I79" s="477"/>
      <c r="J79" s="477"/>
      <c r="K79" s="1670">
        <f t="shared" si="11"/>
        <v>18173</v>
      </c>
      <c r="L79" s="466"/>
    </row>
    <row r="80" spans="1:14" x14ac:dyDescent="0.2">
      <c r="A80" s="1503" t="s">
        <v>305</v>
      </c>
      <c r="B80" s="614">
        <v>4130</v>
      </c>
      <c r="C80" s="616"/>
      <c r="D80" s="616"/>
      <c r="E80" s="466"/>
      <c r="F80" s="616"/>
      <c r="G80" s="616"/>
      <c r="H80" s="466"/>
      <c r="I80" s="477"/>
      <c r="J80" s="477"/>
      <c r="K80" s="1670">
        <f t="shared" si="11"/>
        <v>0</v>
      </c>
      <c r="L80" s="466"/>
    </row>
    <row r="81" spans="1:12" x14ac:dyDescent="0.2">
      <c r="A81" s="1503" t="s">
        <v>697</v>
      </c>
      <c r="B81" s="614">
        <v>4140</v>
      </c>
      <c r="C81" s="616"/>
      <c r="D81" s="616"/>
      <c r="E81" s="466"/>
      <c r="F81" s="616"/>
      <c r="G81" s="616"/>
      <c r="H81" s="466"/>
      <c r="I81" s="477"/>
      <c r="J81" s="477"/>
      <c r="K81" s="1670">
        <f t="shared" si="11"/>
        <v>0</v>
      </c>
      <c r="L81" s="466"/>
    </row>
    <row r="82" spans="1:12" x14ac:dyDescent="0.2">
      <c r="A82" s="1503" t="s">
        <v>86</v>
      </c>
      <c r="B82" s="614">
        <v>4170</v>
      </c>
      <c r="C82" s="616"/>
      <c r="D82" s="616"/>
      <c r="E82" s="466"/>
      <c r="F82" s="616"/>
      <c r="G82" s="616"/>
      <c r="H82" s="466"/>
      <c r="I82" s="477"/>
      <c r="J82" s="477"/>
      <c r="K82" s="1670">
        <f t="shared" si="11"/>
        <v>0</v>
      </c>
      <c r="L82" s="466"/>
    </row>
    <row r="83" spans="1:12" x14ac:dyDescent="0.2">
      <c r="A83" s="1507" t="s">
        <v>698</v>
      </c>
      <c r="B83" s="628">
        <v>4190</v>
      </c>
      <c r="C83" s="616"/>
      <c r="D83" s="616"/>
      <c r="E83" s="466">
        <v>441</v>
      </c>
      <c r="F83" s="616"/>
      <c r="G83" s="616"/>
      <c r="H83" s="466"/>
      <c r="I83" s="477"/>
      <c r="J83" s="477"/>
      <c r="K83" s="1670">
        <f t="shared" si="11"/>
        <v>441</v>
      </c>
      <c r="L83" s="466"/>
    </row>
    <row r="84" spans="1:12" ht="13.5" thickBot="1" x14ac:dyDescent="0.25">
      <c r="A84" s="1667" t="s">
        <v>1485</v>
      </c>
      <c r="B84" s="1677">
        <v>4100</v>
      </c>
      <c r="C84" s="616"/>
      <c r="D84" s="616"/>
      <c r="E84" s="1669">
        <f>SUM(E78:E83)</f>
        <v>34030</v>
      </c>
      <c r="F84" s="616"/>
      <c r="G84" s="616"/>
      <c r="H84" s="1669">
        <f>SUM(H78:H83)</f>
        <v>3873</v>
      </c>
      <c r="I84" s="477"/>
      <c r="J84" s="477"/>
      <c r="K84" s="1669">
        <f>SUM(K78:K83)</f>
        <v>37903</v>
      </c>
      <c r="L84" s="1669">
        <f>SUM(L78:L83)</f>
        <v>20000</v>
      </c>
    </row>
    <row r="85" spans="1:12" ht="12.75" customHeight="1" thickTop="1" thickBot="1" x14ac:dyDescent="0.25">
      <c r="A85" s="1510" t="s">
        <v>255</v>
      </c>
      <c r="B85" s="635">
        <v>4210</v>
      </c>
      <c r="C85" s="616"/>
      <c r="D85" s="616"/>
      <c r="E85" s="636"/>
      <c r="F85" s="616"/>
      <c r="G85" s="616"/>
      <c r="H85" s="535"/>
      <c r="I85" s="477"/>
      <c r="J85" s="477"/>
      <c r="K85" s="1676">
        <f>H85</f>
        <v>0</v>
      </c>
      <c r="L85" s="530"/>
    </row>
    <row r="86" spans="1:12" ht="12.75" customHeight="1" thickTop="1" thickBot="1" x14ac:dyDescent="0.25">
      <c r="A86" s="1511" t="s">
        <v>699</v>
      </c>
      <c r="B86" s="637">
        <v>4220</v>
      </c>
      <c r="C86" s="616"/>
      <c r="D86" s="616"/>
      <c r="E86" s="638"/>
      <c r="F86" s="616"/>
      <c r="G86" s="616"/>
      <c r="H86" s="467"/>
      <c r="I86" s="477"/>
      <c r="J86" s="477"/>
      <c r="K86" s="1676">
        <f t="shared" ref="K86:K98" si="12">H86</f>
        <v>0</v>
      </c>
      <c r="L86" s="530"/>
    </row>
    <row r="87" spans="1:12" ht="14.25" thickTop="1" thickBot="1" x14ac:dyDescent="0.25">
      <c r="A87" s="1512" t="s">
        <v>700</v>
      </c>
      <c r="B87" s="639">
        <v>4230</v>
      </c>
      <c r="C87" s="616"/>
      <c r="D87" s="616"/>
      <c r="E87" s="638"/>
      <c r="F87" s="616"/>
      <c r="G87" s="616"/>
      <c r="H87" s="467"/>
      <c r="I87" s="477"/>
      <c r="J87" s="477"/>
      <c r="K87" s="1676">
        <f t="shared" si="12"/>
        <v>0</v>
      </c>
      <c r="L87" s="530"/>
    </row>
    <row r="88" spans="1:12" ht="12.75" customHeight="1" thickTop="1" thickBot="1" x14ac:dyDescent="0.25">
      <c r="A88" s="1512" t="s">
        <v>765</v>
      </c>
      <c r="B88" s="639">
        <v>4240</v>
      </c>
      <c r="C88" s="616"/>
      <c r="D88" s="616"/>
      <c r="E88" s="638"/>
      <c r="F88" s="616"/>
      <c r="G88" s="616"/>
      <c r="H88" s="467"/>
      <c r="I88" s="477"/>
      <c r="J88" s="477"/>
      <c r="K88" s="1676">
        <f t="shared" si="12"/>
        <v>0</v>
      </c>
      <c r="L88" s="530"/>
    </row>
    <row r="89" spans="1:12" ht="12.75" customHeight="1" thickTop="1" thickBot="1" x14ac:dyDescent="0.25">
      <c r="A89" s="1512" t="s">
        <v>701</v>
      </c>
      <c r="B89" s="639">
        <v>4270</v>
      </c>
      <c r="C89" s="616"/>
      <c r="D89" s="616"/>
      <c r="E89" s="638"/>
      <c r="F89" s="616"/>
      <c r="G89" s="616"/>
      <c r="H89" s="467"/>
      <c r="I89" s="477"/>
      <c r="J89" s="477"/>
      <c r="K89" s="1676">
        <f t="shared" si="12"/>
        <v>0</v>
      </c>
      <c r="L89" s="530"/>
    </row>
    <row r="90" spans="1:12" ht="12.75" customHeight="1" thickTop="1" thickBot="1" x14ac:dyDescent="0.25">
      <c r="A90" s="1512" t="s">
        <v>686</v>
      </c>
      <c r="B90" s="639">
        <v>4280</v>
      </c>
      <c r="C90" s="616"/>
      <c r="D90" s="616"/>
      <c r="E90" s="638"/>
      <c r="F90" s="616"/>
      <c r="G90" s="616"/>
      <c r="H90" s="467"/>
      <c r="I90" s="477"/>
      <c r="J90" s="477"/>
      <c r="K90" s="1676">
        <f t="shared" si="12"/>
        <v>0</v>
      </c>
      <c r="L90" s="530"/>
    </row>
    <row r="91" spans="1:12" ht="12.75" customHeight="1" thickTop="1" thickBot="1" x14ac:dyDescent="0.25">
      <c r="A91" s="1512"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0</v>
      </c>
      <c r="I92" s="477"/>
      <c r="J92" s="477"/>
      <c r="K92" s="1676">
        <f t="shared" si="12"/>
        <v>0</v>
      </c>
      <c r="L92" s="1669">
        <f>SUM(L85:L91)</f>
        <v>0</v>
      </c>
    </row>
    <row r="93" spans="1:12" ht="14.25" thickTop="1" thickBot="1" x14ac:dyDescent="0.25">
      <c r="A93" s="1511" t="s">
        <v>688</v>
      </c>
      <c r="B93" s="640">
        <v>4310</v>
      </c>
      <c r="C93" s="616"/>
      <c r="D93" s="616"/>
      <c r="E93" s="638"/>
      <c r="F93" s="616"/>
      <c r="G93" s="616"/>
      <c r="H93" s="641"/>
      <c r="I93" s="477"/>
      <c r="J93" s="477"/>
      <c r="K93" s="1676">
        <f t="shared" si="12"/>
        <v>0</v>
      </c>
      <c r="L93" s="532"/>
    </row>
    <row r="94" spans="1:12" ht="12.75" customHeight="1" thickTop="1" thickBot="1" x14ac:dyDescent="0.25">
      <c r="A94" s="1512" t="s">
        <v>689</v>
      </c>
      <c r="B94" s="639">
        <v>4320</v>
      </c>
      <c r="C94" s="616"/>
      <c r="D94" s="616"/>
      <c r="E94" s="638"/>
      <c r="F94" s="616"/>
      <c r="G94" s="616"/>
      <c r="H94" s="467"/>
      <c r="I94" s="477"/>
      <c r="J94" s="477"/>
      <c r="K94" s="1676">
        <f t="shared" si="12"/>
        <v>0</v>
      </c>
      <c r="L94" s="530"/>
    </row>
    <row r="95" spans="1:12" ht="15" customHeight="1" thickTop="1" thickBot="1" x14ac:dyDescent="0.25">
      <c r="A95" s="1512" t="s">
        <v>1488</v>
      </c>
      <c r="B95" s="639">
        <v>4330</v>
      </c>
      <c r="C95" s="616"/>
      <c r="D95" s="616"/>
      <c r="E95" s="638"/>
      <c r="F95" s="616"/>
      <c r="G95" s="616"/>
      <c r="H95" s="467"/>
      <c r="I95" s="477"/>
      <c r="J95" s="477"/>
      <c r="K95" s="1676">
        <f t="shared" si="12"/>
        <v>0</v>
      </c>
      <c r="L95" s="530"/>
    </row>
    <row r="96" spans="1:12" ht="14.25" thickTop="1" thickBot="1" x14ac:dyDescent="0.25">
      <c r="A96" s="1512" t="s">
        <v>690</v>
      </c>
      <c r="B96" s="639">
        <v>4340</v>
      </c>
      <c r="C96" s="616"/>
      <c r="D96" s="616"/>
      <c r="E96" s="638"/>
      <c r="F96" s="616"/>
      <c r="G96" s="616"/>
      <c r="H96" s="467"/>
      <c r="I96" s="477"/>
      <c r="J96" s="477"/>
      <c r="K96" s="1676">
        <f t="shared" si="12"/>
        <v>0</v>
      </c>
      <c r="L96" s="530"/>
    </row>
    <row r="97" spans="1:14" ht="12.75" customHeight="1" thickTop="1" thickBot="1" x14ac:dyDescent="0.25">
      <c r="A97" s="1512" t="s">
        <v>763</v>
      </c>
      <c r="B97" s="639">
        <v>4370</v>
      </c>
      <c r="C97" s="616"/>
      <c r="D97" s="616"/>
      <c r="E97" s="638"/>
      <c r="F97" s="616"/>
      <c r="G97" s="616"/>
      <c r="H97" s="467"/>
      <c r="I97" s="477"/>
      <c r="J97" s="477"/>
      <c r="K97" s="1676">
        <f t="shared" si="12"/>
        <v>0</v>
      </c>
      <c r="L97" s="530"/>
    </row>
    <row r="98" spans="1:14" ht="14.25" thickTop="1" thickBot="1" x14ac:dyDescent="0.25">
      <c r="A98" s="1512" t="s">
        <v>764</v>
      </c>
      <c r="B98" s="639">
        <v>4380</v>
      </c>
      <c r="C98" s="616"/>
      <c r="D98" s="616"/>
      <c r="E98" s="642"/>
      <c r="F98" s="616"/>
      <c r="G98" s="616"/>
      <c r="H98" s="467"/>
      <c r="I98" s="477"/>
      <c r="J98" s="477"/>
      <c r="K98" s="1676">
        <f t="shared" si="12"/>
        <v>0</v>
      </c>
      <c r="L98" s="530"/>
    </row>
    <row r="99" spans="1:14" ht="14.25" thickTop="1" thickBot="1" x14ac:dyDescent="0.25">
      <c r="A99" s="1512" t="s">
        <v>367</v>
      </c>
      <c r="B99" s="639">
        <v>4390</v>
      </c>
      <c r="C99" s="616"/>
      <c r="D99" s="616"/>
      <c r="E99" s="532">
        <v>1226</v>
      </c>
      <c r="F99" s="616"/>
      <c r="G99" s="616"/>
      <c r="H99" s="467"/>
      <c r="I99" s="477"/>
      <c r="J99" s="477"/>
      <c r="K99" s="1676">
        <f>SUM(E99,H99)</f>
        <v>1226</v>
      </c>
      <c r="L99" s="530"/>
    </row>
    <row r="100" spans="1:14" ht="14.25" thickTop="1" thickBot="1" x14ac:dyDescent="0.25">
      <c r="A100" s="1679" t="s">
        <v>1486</v>
      </c>
      <c r="B100" s="1680">
        <v>4300</v>
      </c>
      <c r="C100" s="616"/>
      <c r="D100" s="616"/>
      <c r="E100" s="1676">
        <f>SUM(E93:E99)</f>
        <v>1226</v>
      </c>
      <c r="F100" s="616"/>
      <c r="G100" s="616"/>
      <c r="H100" s="1676">
        <f>SUM(H93:H99)</f>
        <v>0</v>
      </c>
      <c r="I100" s="477"/>
      <c r="J100" s="477"/>
      <c r="K100" s="1676">
        <f>SUM(K93:K99)</f>
        <v>1226</v>
      </c>
      <c r="L100" s="1676">
        <f>SUM(L93:L99)</f>
        <v>0</v>
      </c>
    </row>
    <row r="101" spans="1:14" ht="12.75" customHeight="1" thickTop="1" thickBot="1" x14ac:dyDescent="0.25">
      <c r="A101" s="1509"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35256</v>
      </c>
      <c r="F102" s="616"/>
      <c r="G102" s="616"/>
      <c r="H102" s="1676">
        <f>SUM(H84,H92,H100,H101)</f>
        <v>3873</v>
      </c>
      <c r="I102" s="477"/>
      <c r="J102" s="477"/>
      <c r="K102" s="1676">
        <f>SUM(K84,K92,K100,K101)</f>
        <v>39129</v>
      </c>
      <c r="L102" s="1676">
        <f>SUM(L84,L92,L100,L101)</f>
        <v>20000</v>
      </c>
    </row>
    <row r="103" spans="1:14" s="633" customFormat="1" ht="15.75" customHeight="1" thickTop="1" x14ac:dyDescent="0.2">
      <c r="A103" s="1611" t="s">
        <v>513</v>
      </c>
      <c r="B103" s="1608"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1170</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589</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368</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514</v>
      </c>
      <c r="B113" s="1612"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1910969</v>
      </c>
      <c r="D114" s="1669">
        <f t="shared" ref="D114:K114" si="13">SUM(D33,D74,D75,D102,D112,D113)</f>
        <v>483752</v>
      </c>
      <c r="E114" s="1669">
        <f t="shared" si="13"/>
        <v>212327</v>
      </c>
      <c r="F114" s="1669">
        <f t="shared" si="13"/>
        <v>190803</v>
      </c>
      <c r="G114" s="1669">
        <f t="shared" si="13"/>
        <v>759</v>
      </c>
      <c r="H114" s="1669">
        <f>SUM(H33,H74,H75,H102,H112,H113)</f>
        <v>51707</v>
      </c>
      <c r="I114" s="1669">
        <f t="shared" si="13"/>
        <v>0</v>
      </c>
      <c r="J114" s="1669">
        <f t="shared" si="13"/>
        <v>0</v>
      </c>
      <c r="K114" s="1669">
        <f t="shared" si="13"/>
        <v>2850317</v>
      </c>
      <c r="L114" s="1669">
        <f>SUM(L33,L74,L75,L102,L112,L113)</f>
        <v>2880173</v>
      </c>
    </row>
    <row r="115" spans="1:14" ht="13.5" thickTop="1" x14ac:dyDescent="0.2">
      <c r="A115" s="2156" t="s">
        <v>996</v>
      </c>
      <c r="B115" s="2157"/>
      <c r="C115" s="618"/>
      <c r="D115" s="618"/>
      <c r="E115" s="618"/>
      <c r="F115" s="618"/>
      <c r="G115" s="618"/>
      <c r="H115" s="618"/>
      <c r="I115" s="618"/>
      <c r="J115" s="618"/>
      <c r="K115" s="1683">
        <f>'Revenues 9-14'!C268-'Expenditures 15-22'!K114</f>
        <v>206624</v>
      </c>
      <c r="L115" s="618"/>
    </row>
    <row r="116" spans="1:14" s="180" customFormat="1" ht="9.1999999999999993"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1" t="s">
        <v>296</v>
      </c>
      <c r="B117" s="2162"/>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7" t="s">
        <v>2060</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3" t="s">
        <v>1068</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c r="D123" s="466"/>
      <c r="E123" s="466"/>
      <c r="F123" s="466"/>
      <c r="G123" s="466"/>
      <c r="H123" s="466"/>
      <c r="I123" s="467"/>
      <c r="J123" s="467"/>
      <c r="K123" s="1669">
        <f>SUM(C123:J123)</f>
        <v>0</v>
      </c>
      <c r="L123" s="466"/>
    </row>
    <row r="124" spans="1:14" ht="14.25" thickTop="1" thickBot="1" x14ac:dyDescent="0.25">
      <c r="A124" s="1503" t="s">
        <v>197</v>
      </c>
      <c r="B124" s="614">
        <v>2540</v>
      </c>
      <c r="C124" s="466">
        <v>120387</v>
      </c>
      <c r="D124" s="466">
        <v>20388</v>
      </c>
      <c r="E124" s="466">
        <v>23959</v>
      </c>
      <c r="F124" s="466">
        <v>161678</v>
      </c>
      <c r="G124" s="466"/>
      <c r="H124" s="466"/>
      <c r="I124" s="467"/>
      <c r="J124" s="467"/>
      <c r="K124" s="1669">
        <f>SUM(C124:J124)</f>
        <v>326412</v>
      </c>
      <c r="L124" s="466">
        <v>360660</v>
      </c>
    </row>
    <row r="125" spans="1:14" ht="14.25" thickTop="1" thickBot="1" x14ac:dyDescent="0.25">
      <c r="A125" s="1503" t="s">
        <v>953</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120387</v>
      </c>
      <c r="D127" s="1669">
        <f t="shared" ref="D127:L127" si="14">SUM(D122:D126)</f>
        <v>20388</v>
      </c>
      <c r="E127" s="1669">
        <f t="shared" si="14"/>
        <v>23959</v>
      </c>
      <c r="F127" s="1669">
        <f t="shared" si="14"/>
        <v>161678</v>
      </c>
      <c r="G127" s="1669">
        <f t="shared" si="14"/>
        <v>0</v>
      </c>
      <c r="H127" s="1669">
        <f t="shared" si="14"/>
        <v>0</v>
      </c>
      <c r="I127" s="1669">
        <f t="shared" si="14"/>
        <v>0</v>
      </c>
      <c r="J127" s="1669">
        <f t="shared" si="14"/>
        <v>0</v>
      </c>
      <c r="K127" s="1669">
        <f t="shared" si="14"/>
        <v>326412</v>
      </c>
      <c r="L127" s="1669">
        <f t="shared" si="14"/>
        <v>360660</v>
      </c>
    </row>
    <row r="128" spans="1:14" ht="12.75" customHeight="1" thickTop="1" x14ac:dyDescent="0.2">
      <c r="A128" s="1510"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120387</v>
      </c>
      <c r="D129" s="1676">
        <f t="shared" ref="D129:L129" si="15">SUM(D120,D127,D128)</f>
        <v>20388</v>
      </c>
      <c r="E129" s="1676">
        <f t="shared" si="15"/>
        <v>23959</v>
      </c>
      <c r="F129" s="1676">
        <f t="shared" si="15"/>
        <v>161678</v>
      </c>
      <c r="G129" s="1676">
        <f t="shared" si="15"/>
        <v>0</v>
      </c>
      <c r="H129" s="1676">
        <f t="shared" si="15"/>
        <v>0</v>
      </c>
      <c r="I129" s="1676">
        <f t="shared" si="15"/>
        <v>0</v>
      </c>
      <c r="J129" s="1676">
        <f t="shared" si="15"/>
        <v>0</v>
      </c>
      <c r="K129" s="1676">
        <f t="shared" si="15"/>
        <v>326412</v>
      </c>
      <c r="L129" s="1676">
        <f t="shared" si="15"/>
        <v>360660</v>
      </c>
    </row>
    <row r="130" spans="1:14" ht="15.75" customHeight="1" thickTop="1" thickBot="1" x14ac:dyDescent="0.25">
      <c r="A130" s="1609" t="s">
        <v>1036</v>
      </c>
      <c r="B130" s="1610" t="s">
        <v>575</v>
      </c>
      <c r="C130" s="576"/>
      <c r="D130" s="576"/>
      <c r="E130" s="576"/>
      <c r="F130" s="576"/>
      <c r="G130" s="576"/>
      <c r="H130" s="576"/>
      <c r="I130" s="531"/>
      <c r="J130" s="531"/>
      <c r="K130" s="1669">
        <f>SUM(C130:J130)</f>
        <v>0</v>
      </c>
      <c r="L130" s="576"/>
    </row>
    <row r="131" spans="1:14" ht="15.75" customHeight="1" thickTop="1" x14ac:dyDescent="0.2">
      <c r="A131" s="1615" t="s">
        <v>616</v>
      </c>
      <c r="B131" s="1608"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9" t="s">
        <v>496</v>
      </c>
      <c r="B133" s="1840" t="s">
        <v>1845</v>
      </c>
      <c r="C133" s="468"/>
      <c r="D133" s="468"/>
      <c r="E133" s="641"/>
      <c r="F133" s="468"/>
      <c r="G133" s="468"/>
      <c r="H133" s="641"/>
      <c r="I133" s="468"/>
      <c r="J133" s="468"/>
      <c r="K133" s="1820">
        <f>SUM(E133,H133)</f>
        <v>0</v>
      </c>
      <c r="L133" s="641"/>
      <c r="M133" s="206"/>
      <c r="N133" s="206"/>
    </row>
    <row r="134" spans="1:14" x14ac:dyDescent="0.2">
      <c r="A134" s="1503" t="s">
        <v>304</v>
      </c>
      <c r="B134" s="614">
        <v>4120</v>
      </c>
      <c r="C134" s="616"/>
      <c r="D134" s="616"/>
      <c r="E134" s="478"/>
      <c r="F134" s="616"/>
      <c r="G134" s="616"/>
      <c r="H134" s="481"/>
      <c r="I134" s="477"/>
      <c r="J134" s="616"/>
      <c r="K134" s="1671">
        <f>SUM(E134,H134)</f>
        <v>0</v>
      </c>
      <c r="L134" s="481"/>
    </row>
    <row r="135" spans="1:14" x14ac:dyDescent="0.2">
      <c r="A135" s="1503" t="s">
        <v>697</v>
      </c>
      <c r="B135" s="614">
        <v>4140</v>
      </c>
      <c r="C135" s="616"/>
      <c r="D135" s="616"/>
      <c r="E135" s="467"/>
      <c r="F135" s="616"/>
      <c r="G135" s="616"/>
      <c r="H135" s="466"/>
      <c r="I135" s="477"/>
      <c r="J135" s="616"/>
      <c r="K135" s="1671">
        <f>SUM(E135,H135)</f>
        <v>0</v>
      </c>
      <c r="L135" s="466"/>
    </row>
    <row r="136" spans="1:14" x14ac:dyDescent="0.2">
      <c r="A136" s="1507"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1037</v>
      </c>
      <c r="B140" s="1612"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1170</v>
      </c>
      <c r="B144" s="628" t="s">
        <v>617</v>
      </c>
      <c r="C144" s="616"/>
      <c r="D144" s="616"/>
      <c r="E144" s="616"/>
      <c r="F144" s="616"/>
      <c r="G144" s="616"/>
      <c r="H144" s="466"/>
      <c r="I144" s="468"/>
      <c r="J144" s="616"/>
      <c r="K144" s="1671">
        <f>SUM(H144)</f>
        <v>0</v>
      </c>
      <c r="L144" s="466"/>
    </row>
    <row r="145" spans="1:14" x14ac:dyDescent="0.2">
      <c r="A145" s="1503" t="s">
        <v>89</v>
      </c>
      <c r="B145" s="614" t="s">
        <v>589</v>
      </c>
      <c r="C145" s="616"/>
      <c r="D145" s="616"/>
      <c r="E145" s="616"/>
      <c r="F145" s="616"/>
      <c r="G145" s="616"/>
      <c r="H145" s="466"/>
      <c r="I145" s="468"/>
      <c r="J145" s="616"/>
      <c r="K145" s="1671">
        <f>SUM(H145)</f>
        <v>0</v>
      </c>
      <c r="L145" s="466"/>
    </row>
    <row r="146" spans="1:14" ht="12.75" customHeight="1" x14ac:dyDescent="0.2">
      <c r="A146" s="1503" t="s">
        <v>619</v>
      </c>
      <c r="B146" s="614" t="s">
        <v>618</v>
      </c>
      <c r="C146" s="616"/>
      <c r="D146" s="616"/>
      <c r="E146" s="616"/>
      <c r="F146" s="616"/>
      <c r="G146" s="616"/>
      <c r="H146" s="466"/>
      <c r="I146" s="468"/>
      <c r="J146" s="616"/>
      <c r="K146" s="1671">
        <f>SUM(H146)</f>
        <v>0</v>
      </c>
      <c r="L146" s="466"/>
    </row>
    <row r="147" spans="1:14" ht="12.75" customHeight="1" thickBot="1" x14ac:dyDescent="0.25">
      <c r="A147" s="1514"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c r="I148" s="468"/>
      <c r="J148" s="616"/>
      <c r="K148" s="1671">
        <f>SUM(H148)</f>
        <v>0</v>
      </c>
      <c r="L148" s="492"/>
    </row>
    <row r="149" spans="1:14" ht="12.75" customHeight="1" thickBot="1" x14ac:dyDescent="0.25">
      <c r="A149" s="1506" t="s">
        <v>638</v>
      </c>
      <c r="B149" s="617" t="s">
        <v>492</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1038</v>
      </c>
      <c r="B150" s="1612" t="s">
        <v>861</v>
      </c>
      <c r="C150" s="616"/>
      <c r="D150" s="616"/>
      <c r="E150" s="616"/>
      <c r="F150" s="616"/>
      <c r="G150" s="616"/>
      <c r="H150" s="662"/>
      <c r="I150" s="521"/>
      <c r="J150" s="616"/>
      <c r="K150" s="623"/>
      <c r="L150" s="573"/>
    </row>
    <row r="151" spans="1:14" ht="12.75" customHeight="1" thickTop="1" thickBot="1" x14ac:dyDescent="0.25">
      <c r="A151" s="2173" t="s">
        <v>620</v>
      </c>
      <c r="B151" s="2153"/>
      <c r="C151" s="1669">
        <f>SUM(C129,C130,C139,C149,C150)</f>
        <v>120387</v>
      </c>
      <c r="D151" s="1669">
        <f t="shared" ref="D151:K151" si="16">SUM(D129,D130,D139,D149,D150)</f>
        <v>20388</v>
      </c>
      <c r="E151" s="1669">
        <f t="shared" si="16"/>
        <v>23959</v>
      </c>
      <c r="F151" s="1669">
        <f t="shared" si="16"/>
        <v>161678</v>
      </c>
      <c r="G151" s="1669">
        <f t="shared" si="16"/>
        <v>0</v>
      </c>
      <c r="H151" s="1669">
        <f t="shared" si="16"/>
        <v>0</v>
      </c>
      <c r="I151" s="1669">
        <f t="shared" si="16"/>
        <v>0</v>
      </c>
      <c r="J151" s="1669">
        <f t="shared" si="16"/>
        <v>0</v>
      </c>
      <c r="K151" s="1669">
        <f t="shared" si="16"/>
        <v>326412</v>
      </c>
      <c r="L151" s="1669">
        <f>SUM(L129,L130,L139,L149,L150)</f>
        <v>360660</v>
      </c>
    </row>
    <row r="152" spans="1:14" ht="12.75" customHeight="1" thickTop="1" x14ac:dyDescent="0.2">
      <c r="A152" s="2176" t="s">
        <v>1178</v>
      </c>
      <c r="B152" s="2177"/>
      <c r="C152" s="618"/>
      <c r="D152" s="618"/>
      <c r="E152" s="618"/>
      <c r="F152" s="618"/>
      <c r="G152" s="618"/>
      <c r="H152" s="618"/>
      <c r="I152" s="618"/>
      <c r="J152" s="616"/>
      <c r="K152" s="1683">
        <f>'Revenues 9-14'!D268-'Expenditures 15-22'!K151</f>
        <v>100631</v>
      </c>
      <c r="L152" s="618"/>
    </row>
    <row r="153" spans="1:14" s="666" customFormat="1" ht="9.1999999999999993"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1" t="s">
        <v>621</v>
      </c>
      <c r="B154" s="2163"/>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860</v>
      </c>
      <c r="C155" s="616"/>
      <c r="D155" s="616"/>
      <c r="E155" s="616"/>
      <c r="F155" s="616"/>
      <c r="G155" s="616"/>
      <c r="H155" s="1841"/>
      <c r="I155" s="616"/>
      <c r="J155" s="616"/>
      <c r="K155" s="1824"/>
      <c r="L155" s="1841"/>
      <c r="M155" s="619"/>
      <c r="N155" s="619"/>
    </row>
    <row r="156" spans="1:14" s="620" customFormat="1" ht="15.75" customHeight="1" thickTop="1" x14ac:dyDescent="0.2">
      <c r="A156" s="1821" t="s">
        <v>1846</v>
      </c>
      <c r="B156" s="1822"/>
      <c r="C156" s="616"/>
      <c r="D156" s="616"/>
      <c r="E156" s="616"/>
      <c r="F156" s="616"/>
      <c r="G156" s="616"/>
      <c r="H156" s="1842"/>
      <c r="I156" s="616"/>
      <c r="J156" s="616"/>
      <c r="K156" s="1823"/>
      <c r="L156" s="1842"/>
      <c r="M156" s="619"/>
      <c r="N156" s="619"/>
    </row>
    <row r="157" spans="1:14" s="620" customFormat="1" ht="12" x14ac:dyDescent="0.2">
      <c r="A157" s="1825" t="s">
        <v>496</v>
      </c>
      <c r="B157" s="1826" t="s">
        <v>1845</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1847</v>
      </c>
      <c r="C158" s="616"/>
      <c r="D158" s="616"/>
      <c r="E158" s="616"/>
      <c r="F158" s="616"/>
      <c r="G158" s="616"/>
      <c r="H158" s="467"/>
      <c r="I158" s="616"/>
      <c r="J158" s="616"/>
      <c r="K158" s="1670">
        <f>H158</f>
        <v>0</v>
      </c>
      <c r="L158" s="467"/>
      <c r="M158" s="619"/>
      <c r="N158" s="619"/>
    </row>
    <row r="159" spans="1:14" s="620" customFormat="1" ht="12" x14ac:dyDescent="0.2">
      <c r="A159" s="1825" t="s">
        <v>1848</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1849</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v>13527</v>
      </c>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1170</v>
      </c>
      <c r="B165" s="614" t="s">
        <v>617</v>
      </c>
      <c r="C165" s="616"/>
      <c r="D165" s="616"/>
      <c r="E165" s="616"/>
      <c r="F165" s="616"/>
      <c r="G165" s="616"/>
      <c r="H165" s="466"/>
      <c r="I165" s="616"/>
      <c r="J165" s="616"/>
      <c r="K165" s="1670">
        <f>SUM(C165:J165)</f>
        <v>0</v>
      </c>
      <c r="L165" s="466"/>
    </row>
    <row r="166" spans="1:14" x14ac:dyDescent="0.2">
      <c r="A166" s="1503" t="s">
        <v>89</v>
      </c>
      <c r="B166" s="628" t="s">
        <v>589</v>
      </c>
      <c r="C166" s="616"/>
      <c r="D166" s="616"/>
      <c r="E166" s="616"/>
      <c r="F166" s="616"/>
      <c r="G166" s="616"/>
      <c r="H166" s="466"/>
      <c r="I166" s="616"/>
      <c r="J166" s="616"/>
      <c r="K166" s="1670">
        <f>SUM(C166:J166)</f>
        <v>0</v>
      </c>
      <c r="L166" s="466"/>
    </row>
    <row r="167" spans="1:14" ht="12.75" customHeight="1" x14ac:dyDescent="0.2">
      <c r="A167" s="1503"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13527</v>
      </c>
    </row>
    <row r="169" spans="1:14" ht="15.75" customHeight="1" thickTop="1" x14ac:dyDescent="0.2">
      <c r="A169" s="669" t="s">
        <v>83</v>
      </c>
      <c r="B169" s="670" t="s">
        <v>38</v>
      </c>
      <c r="C169" s="616"/>
      <c r="D169" s="616"/>
      <c r="E169" s="616"/>
      <c r="F169" s="616"/>
      <c r="G169" s="616"/>
      <c r="H169" s="656">
        <v>8533</v>
      </c>
      <c r="I169" s="616"/>
      <c r="J169" s="616"/>
      <c r="K169" s="1670">
        <f>SUM(C169:H169)</f>
        <v>8533</v>
      </c>
      <c r="L169" s="656"/>
    </row>
    <row r="170" spans="1:14" ht="33.75" customHeight="1" x14ac:dyDescent="0.2">
      <c r="A170" s="669" t="s">
        <v>1670</v>
      </c>
      <c r="B170" s="671" t="s">
        <v>31</v>
      </c>
      <c r="C170" s="616"/>
      <c r="D170" s="616"/>
      <c r="E170" s="616"/>
      <c r="F170" s="616"/>
      <c r="G170" s="616"/>
      <c r="H170" s="569">
        <v>35000</v>
      </c>
      <c r="I170" s="616"/>
      <c r="J170" s="616"/>
      <c r="K170" s="1670">
        <f>SUM(C170:J170)</f>
        <v>35000</v>
      </c>
      <c r="L170" s="569">
        <v>30500</v>
      </c>
    </row>
    <row r="171" spans="1:14" ht="15.75" customHeight="1" x14ac:dyDescent="0.2">
      <c r="A171" s="621" t="s">
        <v>766</v>
      </c>
      <c r="B171" s="672" t="s">
        <v>84</v>
      </c>
      <c r="C171" s="616"/>
      <c r="D171" s="616"/>
      <c r="E171" s="466"/>
      <c r="F171" s="616"/>
      <c r="G171" s="616"/>
      <c r="H171" s="569">
        <v>500</v>
      </c>
      <c r="I171" s="477"/>
      <c r="J171" s="616"/>
      <c r="K171" s="1670">
        <f>SUM(C171:J171)</f>
        <v>500</v>
      </c>
      <c r="L171" s="569"/>
    </row>
    <row r="172" spans="1:14" ht="12.75" customHeight="1" thickBot="1" x14ac:dyDescent="0.25">
      <c r="A172" s="1667" t="s">
        <v>638</v>
      </c>
      <c r="B172" s="1668" t="s">
        <v>492</v>
      </c>
      <c r="C172" s="616"/>
      <c r="D172" s="616"/>
      <c r="E172" s="1676">
        <f>SUM(E168,E169,E170,E171)</f>
        <v>0</v>
      </c>
      <c r="F172" s="616"/>
      <c r="G172" s="616"/>
      <c r="H172" s="1676">
        <f>SUM(H168,H169,H170,H171)</f>
        <v>44033</v>
      </c>
      <c r="I172" s="638"/>
      <c r="J172" s="616"/>
      <c r="K172" s="1676">
        <f>SUM(K168,K169,K170,K171)</f>
        <v>44033</v>
      </c>
      <c r="L172" s="1676">
        <f>SUM(L168,L169,L170,L171)</f>
        <v>44027</v>
      </c>
    </row>
    <row r="173" spans="1:14" ht="15.75" customHeight="1" thickTop="1" thickBot="1" x14ac:dyDescent="0.25">
      <c r="A173" s="1618" t="s">
        <v>85</v>
      </c>
      <c r="B173" s="1610"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0</v>
      </c>
      <c r="F174" s="616"/>
      <c r="G174" s="616"/>
      <c r="H174" s="1676">
        <f>SUM(H160,H172,H173)</f>
        <v>44033</v>
      </c>
      <c r="I174" s="638"/>
      <c r="J174" s="616"/>
      <c r="K174" s="1676">
        <f>SUM(K160,K172,K173)</f>
        <v>44033</v>
      </c>
      <c r="L174" s="1676">
        <f>SUM(L160,L172,L173)</f>
        <v>44027</v>
      </c>
    </row>
    <row r="175" spans="1:14" ht="13.5" thickTop="1" x14ac:dyDescent="0.2">
      <c r="A175" s="2156" t="s">
        <v>996</v>
      </c>
      <c r="B175" s="2157"/>
      <c r="C175" s="616"/>
      <c r="D175" s="616"/>
      <c r="E175" s="616"/>
      <c r="F175" s="616"/>
      <c r="G175" s="616"/>
      <c r="H175" s="618"/>
      <c r="I175" s="616"/>
      <c r="J175" s="616"/>
      <c r="K175" s="1683">
        <f>'Revenues 9-14'!E268-'Expenditures 15-22'!K174</f>
        <v>-255</v>
      </c>
      <c r="L175" s="618"/>
    </row>
    <row r="176" spans="1:14" s="666" customFormat="1" ht="9.1999999999999993"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937</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938</v>
      </c>
      <c r="B178" s="1620"/>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3" t="s">
        <v>2060</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3" t="s">
        <v>953</v>
      </c>
      <c r="B182" s="614">
        <v>2550</v>
      </c>
      <c r="C182" s="466">
        <v>129982</v>
      </c>
      <c r="D182" s="466">
        <v>1137</v>
      </c>
      <c r="E182" s="466">
        <v>12561</v>
      </c>
      <c r="F182" s="466">
        <v>48569</v>
      </c>
      <c r="G182" s="466">
        <v>101375</v>
      </c>
      <c r="H182" s="466">
        <v>1563</v>
      </c>
      <c r="I182" s="467"/>
      <c r="J182" s="467"/>
      <c r="K182" s="1670">
        <f>SUM(C182:J182)</f>
        <v>295187</v>
      </c>
      <c r="L182" s="466">
        <v>307870</v>
      </c>
    </row>
    <row r="183" spans="1:14" ht="12.75" customHeight="1" thickBot="1" x14ac:dyDescent="0.25">
      <c r="A183" s="1508"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129982</v>
      </c>
      <c r="D184" s="1676">
        <f t="shared" ref="D184:J184" si="17">SUM(D180,D182,D183)</f>
        <v>1137</v>
      </c>
      <c r="E184" s="1676">
        <f t="shared" si="17"/>
        <v>12561</v>
      </c>
      <c r="F184" s="1676">
        <f t="shared" si="17"/>
        <v>48569</v>
      </c>
      <c r="G184" s="1676">
        <f t="shared" si="17"/>
        <v>101375</v>
      </c>
      <c r="H184" s="1676">
        <f t="shared" si="17"/>
        <v>1563</v>
      </c>
      <c r="I184" s="1676">
        <f t="shared" si="17"/>
        <v>0</v>
      </c>
      <c r="J184" s="1676">
        <f t="shared" si="17"/>
        <v>0</v>
      </c>
      <c r="K184" s="1676">
        <f>SUM(K180,K182,K183)</f>
        <v>295187</v>
      </c>
      <c r="L184" s="1676">
        <f>SUM(L180, L182:L183)</f>
        <v>307870</v>
      </c>
    </row>
    <row r="185" spans="1:14" ht="15.75" customHeight="1" thickTop="1" thickBot="1" x14ac:dyDescent="0.25">
      <c r="A185" s="1621" t="s">
        <v>939</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3" t="s">
        <v>496</v>
      </c>
      <c r="B188" s="614">
        <v>4110</v>
      </c>
      <c r="C188" s="616"/>
      <c r="D188" s="616"/>
      <c r="E188" s="466"/>
      <c r="F188" s="616"/>
      <c r="G188" s="616"/>
      <c r="H188" s="466"/>
      <c r="I188" s="477"/>
      <c r="J188" s="616"/>
      <c r="K188" s="1670">
        <f t="shared" ref="K188:K193" si="18">SUM(E188,H188)</f>
        <v>0</v>
      </c>
      <c r="L188" s="466"/>
    </row>
    <row r="189" spans="1:14" x14ac:dyDescent="0.2">
      <c r="A189" s="1503" t="s">
        <v>304</v>
      </c>
      <c r="B189" s="614">
        <v>4120</v>
      </c>
      <c r="C189" s="616"/>
      <c r="D189" s="616"/>
      <c r="E189" s="466"/>
      <c r="F189" s="616"/>
      <c r="G189" s="616"/>
      <c r="H189" s="466"/>
      <c r="I189" s="477"/>
      <c r="J189" s="616"/>
      <c r="K189" s="1670">
        <f t="shared" si="18"/>
        <v>0</v>
      </c>
      <c r="L189" s="466"/>
    </row>
    <row r="190" spans="1:14" x14ac:dyDescent="0.2">
      <c r="A190" s="1503" t="s">
        <v>305</v>
      </c>
      <c r="B190" s="628">
        <v>4130</v>
      </c>
      <c r="C190" s="616"/>
      <c r="D190" s="616"/>
      <c r="E190" s="466"/>
      <c r="F190" s="616"/>
      <c r="G190" s="616"/>
      <c r="H190" s="466"/>
      <c r="I190" s="477"/>
      <c r="J190" s="616"/>
      <c r="K190" s="1670">
        <f t="shared" si="18"/>
        <v>0</v>
      </c>
      <c r="L190" s="466"/>
    </row>
    <row r="191" spans="1:14" x14ac:dyDescent="0.2">
      <c r="A191" s="1503" t="s">
        <v>697</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1" t="s">
        <v>940</v>
      </c>
      <c r="B197" s="1608"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1170</v>
      </c>
      <c r="B201" s="628" t="s">
        <v>617</v>
      </c>
      <c r="C201" s="616"/>
      <c r="D201" s="616"/>
      <c r="E201" s="616"/>
      <c r="F201" s="616"/>
      <c r="G201" s="616"/>
      <c r="H201" s="466"/>
      <c r="I201" s="616"/>
      <c r="J201" s="616"/>
      <c r="K201" s="1670">
        <f>SUM(H201)</f>
        <v>0</v>
      </c>
      <c r="L201" s="466"/>
    </row>
    <row r="202" spans="1:14" x14ac:dyDescent="0.2">
      <c r="A202" s="1503" t="s">
        <v>89</v>
      </c>
      <c r="B202" s="614" t="s">
        <v>589</v>
      </c>
      <c r="C202" s="616"/>
      <c r="D202" s="616"/>
      <c r="E202" s="616"/>
      <c r="F202" s="616"/>
      <c r="G202" s="616"/>
      <c r="H202" s="466"/>
      <c r="I202" s="616"/>
      <c r="J202" s="616"/>
      <c r="K202" s="1670">
        <f>SUM(H202)</f>
        <v>0</v>
      </c>
      <c r="L202" s="466"/>
    </row>
    <row r="203" spans="1:14" x14ac:dyDescent="0.2">
      <c r="A203" s="1515"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872</v>
      </c>
      <c r="B209" s="1612"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129982</v>
      </c>
      <c r="D210" s="1669">
        <f>SUM(D184,D185)</f>
        <v>1137</v>
      </c>
      <c r="E210" s="1669">
        <f>SUM(E184,E185,E196)</f>
        <v>12561</v>
      </c>
      <c r="F210" s="1669">
        <f>SUM(F184,F185)</f>
        <v>48569</v>
      </c>
      <c r="G210" s="1669">
        <f>SUM(G184,G185)</f>
        <v>101375</v>
      </c>
      <c r="H210" s="1669">
        <f>SUM(H184,H185,H196,H208,H209)</f>
        <v>1563</v>
      </c>
      <c r="I210" s="1669">
        <f>SUM(I184,I185)</f>
        <v>0</v>
      </c>
      <c r="J210" s="1669">
        <f>SUM(J184,J185)</f>
        <v>0</v>
      </c>
      <c r="K210" s="1670">
        <f>SUM(K184,K185,K196,K208,K209)</f>
        <v>295187</v>
      </c>
      <c r="L210" s="1669">
        <f>SUM(L184,L185,L196,L208,L209)</f>
        <v>307870</v>
      </c>
    </row>
    <row r="211" spans="1:14" ht="13.5" thickTop="1" x14ac:dyDescent="0.2">
      <c r="A211" s="2156" t="s">
        <v>996</v>
      </c>
      <c r="B211" s="2157"/>
      <c r="C211" s="618"/>
      <c r="D211" s="618"/>
      <c r="E211" s="618"/>
      <c r="F211" s="618"/>
      <c r="G211" s="618"/>
      <c r="H211" s="618"/>
      <c r="I211" s="616"/>
      <c r="J211" s="616"/>
      <c r="K211" s="1683">
        <f>'Revenues 9-14'!F268-'Expenditures 15-22'!K210</f>
        <v>185431</v>
      </c>
      <c r="L211" s="618"/>
    </row>
    <row r="212" spans="1:14" s="666" customFormat="1" ht="9.1999999999999993"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8" t="s">
        <v>965</v>
      </c>
      <c r="B213" s="2179"/>
      <c r="C213" s="1550"/>
      <c r="D213" s="1551"/>
      <c r="E213" s="1551"/>
      <c r="F213" s="1551"/>
      <c r="G213" s="1551"/>
      <c r="H213" s="1551"/>
      <c r="I213" s="1551"/>
      <c r="J213" s="1551"/>
      <c r="K213" s="1551"/>
      <c r="L213" s="1552"/>
      <c r="M213" s="609"/>
      <c r="N213" s="609"/>
    </row>
    <row r="214" spans="1:14" s="674" customFormat="1" ht="15.75" customHeight="1" x14ac:dyDescent="0.2">
      <c r="A214" s="1622" t="s">
        <v>873</v>
      </c>
      <c r="B214" s="1614" t="s">
        <v>570</v>
      </c>
      <c r="C214" s="616"/>
      <c r="D214" s="623"/>
      <c r="E214" s="616"/>
      <c r="F214" s="616"/>
      <c r="G214" s="616"/>
      <c r="H214" s="616"/>
      <c r="I214" s="616"/>
      <c r="J214" s="616"/>
      <c r="K214" s="623"/>
      <c r="L214" s="623"/>
      <c r="M214" s="665"/>
      <c r="N214" s="665"/>
    </row>
    <row r="215" spans="1:14" x14ac:dyDescent="0.2">
      <c r="A215" s="1503" t="s">
        <v>961</v>
      </c>
      <c r="B215" s="614">
        <v>1100</v>
      </c>
      <c r="C215" s="616"/>
      <c r="D215" s="466">
        <v>19723</v>
      </c>
      <c r="E215" s="616"/>
      <c r="F215" s="616"/>
      <c r="G215" s="616"/>
      <c r="H215" s="616"/>
      <c r="I215" s="616"/>
      <c r="J215" s="616"/>
      <c r="K215" s="1670">
        <f>D215</f>
        <v>19723</v>
      </c>
      <c r="L215" s="466">
        <v>20100</v>
      </c>
    </row>
    <row r="216" spans="1:14" x14ac:dyDescent="0.2">
      <c r="A216" s="1503" t="s">
        <v>163</v>
      </c>
      <c r="B216" s="614" t="s">
        <v>967</v>
      </c>
      <c r="C216" s="616"/>
      <c r="D216" s="467"/>
      <c r="E216" s="616"/>
      <c r="F216" s="616"/>
      <c r="G216" s="616"/>
      <c r="H216" s="616"/>
      <c r="I216" s="616"/>
      <c r="J216" s="616"/>
      <c r="K216" s="1670">
        <f t="shared" ref="K216:K228" si="19">D216</f>
        <v>0</v>
      </c>
      <c r="L216" s="466"/>
    </row>
    <row r="217" spans="1:14" x14ac:dyDescent="0.2">
      <c r="A217" s="1503" t="s">
        <v>164</v>
      </c>
      <c r="B217" s="614">
        <v>1200</v>
      </c>
      <c r="C217" s="616"/>
      <c r="D217" s="466">
        <v>7323</v>
      </c>
      <c r="E217" s="616"/>
      <c r="F217" s="616"/>
      <c r="G217" s="616"/>
      <c r="H217" s="616"/>
      <c r="I217" s="616"/>
      <c r="J217" s="616"/>
      <c r="K217" s="1670">
        <f t="shared" si="19"/>
        <v>7323</v>
      </c>
      <c r="L217" s="466">
        <v>11000</v>
      </c>
    </row>
    <row r="218" spans="1:14" x14ac:dyDescent="0.2">
      <c r="A218" s="1503" t="s">
        <v>278</v>
      </c>
      <c r="B218" s="614" t="s">
        <v>968</v>
      </c>
      <c r="C218" s="616"/>
      <c r="D218" s="467">
        <v>619</v>
      </c>
      <c r="E218" s="616"/>
      <c r="F218" s="616"/>
      <c r="G218" s="616"/>
      <c r="H218" s="616"/>
      <c r="I218" s="616"/>
      <c r="J218" s="616"/>
      <c r="K218" s="1670">
        <f t="shared" si="19"/>
        <v>619</v>
      </c>
      <c r="L218" s="466">
        <v>200</v>
      </c>
    </row>
    <row r="219" spans="1:14" x14ac:dyDescent="0.2">
      <c r="A219" s="1503" t="s">
        <v>279</v>
      </c>
      <c r="B219" s="614">
        <v>1250</v>
      </c>
      <c r="C219" s="616"/>
      <c r="D219" s="466">
        <v>560</v>
      </c>
      <c r="E219" s="616"/>
      <c r="F219" s="616"/>
      <c r="G219" s="616"/>
      <c r="H219" s="616"/>
      <c r="I219" s="616"/>
      <c r="J219" s="616"/>
      <c r="K219" s="1670">
        <f t="shared" si="19"/>
        <v>560</v>
      </c>
      <c r="L219" s="466">
        <v>700</v>
      </c>
    </row>
    <row r="220" spans="1:14" x14ac:dyDescent="0.2">
      <c r="A220" s="1503" t="s">
        <v>280</v>
      </c>
      <c r="B220" s="614" t="s">
        <v>161</v>
      </c>
      <c r="C220" s="616"/>
      <c r="D220" s="467"/>
      <c r="E220" s="616"/>
      <c r="F220" s="616"/>
      <c r="G220" s="616"/>
      <c r="H220" s="616"/>
      <c r="I220" s="616"/>
      <c r="J220" s="616"/>
      <c r="K220" s="1670">
        <f t="shared" si="19"/>
        <v>0</v>
      </c>
      <c r="L220" s="466"/>
    </row>
    <row r="221" spans="1:14" x14ac:dyDescent="0.2">
      <c r="A221" s="1503" t="s">
        <v>962</v>
      </c>
      <c r="B221" s="614">
        <v>1300</v>
      </c>
      <c r="C221" s="616"/>
      <c r="D221" s="466"/>
      <c r="E221" s="616"/>
      <c r="F221" s="616"/>
      <c r="G221" s="616"/>
      <c r="H221" s="616"/>
      <c r="I221" s="616"/>
      <c r="J221" s="616"/>
      <c r="K221" s="1670">
        <f t="shared" si="19"/>
        <v>0</v>
      </c>
      <c r="L221" s="466"/>
    </row>
    <row r="222" spans="1:14" x14ac:dyDescent="0.2">
      <c r="A222" s="1503" t="s">
        <v>723</v>
      </c>
      <c r="B222" s="614">
        <v>1400</v>
      </c>
      <c r="C222" s="616"/>
      <c r="D222" s="466">
        <v>1324</v>
      </c>
      <c r="E222" s="616"/>
      <c r="F222" s="616"/>
      <c r="G222" s="616"/>
      <c r="H222" s="616"/>
      <c r="I222" s="616"/>
      <c r="J222" s="616"/>
      <c r="K222" s="1670">
        <f t="shared" si="19"/>
        <v>1324</v>
      </c>
      <c r="L222" s="466">
        <v>1400</v>
      </c>
    </row>
    <row r="223" spans="1:14" x14ac:dyDescent="0.2">
      <c r="A223" s="1503" t="s">
        <v>963</v>
      </c>
      <c r="B223" s="614">
        <v>1500</v>
      </c>
      <c r="C223" s="616"/>
      <c r="D223" s="466">
        <v>815</v>
      </c>
      <c r="E223" s="616"/>
      <c r="F223" s="616"/>
      <c r="G223" s="616"/>
      <c r="H223" s="616"/>
      <c r="I223" s="616"/>
      <c r="J223" s="616"/>
      <c r="K223" s="1670">
        <f t="shared" si="19"/>
        <v>815</v>
      </c>
      <c r="L223" s="466">
        <v>2100</v>
      </c>
    </row>
    <row r="224" spans="1:14" x14ac:dyDescent="0.2">
      <c r="A224" s="1503" t="s">
        <v>964</v>
      </c>
      <c r="B224" s="614">
        <v>1600</v>
      </c>
      <c r="C224" s="616"/>
      <c r="D224" s="466"/>
      <c r="E224" s="616"/>
      <c r="F224" s="616"/>
      <c r="G224" s="616"/>
      <c r="H224" s="616"/>
      <c r="I224" s="616"/>
      <c r="J224" s="616"/>
      <c r="K224" s="1670">
        <f t="shared" si="19"/>
        <v>0</v>
      </c>
      <c r="L224" s="466"/>
    </row>
    <row r="225" spans="1:12" x14ac:dyDescent="0.2">
      <c r="A225" s="1503" t="s">
        <v>987</v>
      </c>
      <c r="B225" s="614">
        <v>1650</v>
      </c>
      <c r="C225" s="616"/>
      <c r="D225" s="466"/>
      <c r="E225" s="616"/>
      <c r="F225" s="616"/>
      <c r="G225" s="616"/>
      <c r="H225" s="616"/>
      <c r="I225" s="616"/>
      <c r="J225" s="616"/>
      <c r="K225" s="1670">
        <f t="shared" si="19"/>
        <v>0</v>
      </c>
      <c r="L225" s="466"/>
    </row>
    <row r="226" spans="1:12" x14ac:dyDescent="0.2">
      <c r="A226" s="1503" t="s">
        <v>724</v>
      </c>
      <c r="B226" s="614" t="s">
        <v>162</v>
      </c>
      <c r="C226" s="616"/>
      <c r="D226" s="467">
        <v>196</v>
      </c>
      <c r="E226" s="616"/>
      <c r="F226" s="616"/>
      <c r="G226" s="616"/>
      <c r="H226" s="616"/>
      <c r="I226" s="616"/>
      <c r="J226" s="616"/>
      <c r="K226" s="1670">
        <f t="shared" si="19"/>
        <v>196</v>
      </c>
      <c r="L226" s="466">
        <v>250</v>
      </c>
    </row>
    <row r="227" spans="1:12" x14ac:dyDescent="0.2">
      <c r="A227" s="1503" t="s">
        <v>1087</v>
      </c>
      <c r="B227" s="614">
        <v>1800</v>
      </c>
      <c r="C227" s="616"/>
      <c r="D227" s="466"/>
      <c r="E227" s="616"/>
      <c r="F227" s="616"/>
      <c r="G227" s="616"/>
      <c r="H227" s="616"/>
      <c r="I227" s="616"/>
      <c r="J227" s="616"/>
      <c r="K227" s="1670">
        <f t="shared" si="19"/>
        <v>0</v>
      </c>
      <c r="L227" s="466"/>
    </row>
    <row r="228" spans="1:12" x14ac:dyDescent="0.2">
      <c r="A228" s="1503"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30560</v>
      </c>
      <c r="E229" s="616"/>
      <c r="F229" s="616"/>
      <c r="G229" s="616"/>
      <c r="H229" s="616"/>
      <c r="I229" s="616"/>
      <c r="J229" s="616"/>
      <c r="K229" s="1669">
        <f>SUM(K215:K228)</f>
        <v>30560</v>
      </c>
      <c r="L229" s="1669">
        <f>SUM(L215:L228)</f>
        <v>35750</v>
      </c>
    </row>
    <row r="230" spans="1:12" ht="15.75" customHeight="1" thickTop="1" x14ac:dyDescent="0.2">
      <c r="A230" s="1611" t="s">
        <v>874</v>
      </c>
      <c r="B230" s="1612"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3" t="s">
        <v>1089</v>
      </c>
      <c r="B232" s="614">
        <v>2110</v>
      </c>
      <c r="C232" s="616"/>
      <c r="D232" s="466"/>
      <c r="E232" s="616"/>
      <c r="F232" s="616"/>
      <c r="G232" s="616"/>
      <c r="H232" s="616"/>
      <c r="I232" s="616"/>
      <c r="J232" s="616"/>
      <c r="K232" s="1670">
        <f t="shared" ref="K232:K237" si="20">D232</f>
        <v>0</v>
      </c>
      <c r="L232" s="466">
        <v>2774</v>
      </c>
    </row>
    <row r="233" spans="1:12" x14ac:dyDescent="0.2">
      <c r="A233" s="1503" t="s">
        <v>1090</v>
      </c>
      <c r="B233" s="614">
        <v>2120</v>
      </c>
      <c r="C233" s="616"/>
      <c r="D233" s="466">
        <v>569</v>
      </c>
      <c r="E233" s="616"/>
      <c r="F233" s="616"/>
      <c r="G233" s="616"/>
      <c r="H233" s="616"/>
      <c r="I233" s="616"/>
      <c r="J233" s="616"/>
      <c r="K233" s="1670">
        <f t="shared" si="20"/>
        <v>569</v>
      </c>
      <c r="L233" s="466">
        <v>750</v>
      </c>
    </row>
    <row r="234" spans="1:12" x14ac:dyDescent="0.2">
      <c r="A234" s="1503" t="s">
        <v>198</v>
      </c>
      <c r="B234" s="614">
        <v>2130</v>
      </c>
      <c r="C234" s="616"/>
      <c r="D234" s="466"/>
      <c r="E234" s="616"/>
      <c r="F234" s="616"/>
      <c r="G234" s="616"/>
      <c r="H234" s="616"/>
      <c r="I234" s="616"/>
      <c r="J234" s="616"/>
      <c r="K234" s="1670">
        <f t="shared" si="20"/>
        <v>0</v>
      </c>
      <c r="L234" s="466"/>
    </row>
    <row r="235" spans="1:12" x14ac:dyDescent="0.2">
      <c r="A235" s="1503" t="s">
        <v>199</v>
      </c>
      <c r="B235" s="614">
        <v>2140</v>
      </c>
      <c r="C235" s="616"/>
      <c r="D235" s="466"/>
      <c r="E235" s="616"/>
      <c r="F235" s="616"/>
      <c r="G235" s="616"/>
      <c r="H235" s="616"/>
      <c r="I235" s="616"/>
      <c r="J235" s="616"/>
      <c r="K235" s="1670">
        <f t="shared" si="20"/>
        <v>0</v>
      </c>
      <c r="L235" s="466"/>
    </row>
    <row r="236" spans="1:12" x14ac:dyDescent="0.2">
      <c r="A236" s="1503" t="s">
        <v>200</v>
      </c>
      <c r="B236" s="614">
        <v>2150</v>
      </c>
      <c r="C236" s="616"/>
      <c r="D236" s="466">
        <v>508</v>
      </c>
      <c r="E236" s="616"/>
      <c r="F236" s="616"/>
      <c r="G236" s="616"/>
      <c r="H236" s="616"/>
      <c r="I236" s="616"/>
      <c r="J236" s="616"/>
      <c r="K236" s="1670">
        <f t="shared" si="20"/>
        <v>508</v>
      </c>
      <c r="L236" s="466">
        <v>600</v>
      </c>
    </row>
    <row r="237" spans="1:12" x14ac:dyDescent="0.2">
      <c r="A237" s="1503" t="s">
        <v>165</v>
      </c>
      <c r="B237" s="614">
        <v>2190</v>
      </c>
      <c r="C237" s="616"/>
      <c r="D237" s="466"/>
      <c r="E237" s="616"/>
      <c r="F237" s="616"/>
      <c r="G237" s="616"/>
      <c r="H237" s="616"/>
      <c r="I237" s="616"/>
      <c r="J237" s="616"/>
      <c r="K237" s="1670">
        <f t="shared" si="20"/>
        <v>0</v>
      </c>
      <c r="L237" s="466"/>
    </row>
    <row r="238" spans="1:12" ht="12.75" customHeight="1" thickBot="1" x14ac:dyDescent="0.25">
      <c r="A238" s="1667" t="s">
        <v>560</v>
      </c>
      <c r="B238" s="1674" t="s">
        <v>716</v>
      </c>
      <c r="C238" s="616"/>
      <c r="D238" s="1669">
        <f>SUM(D232:D237)</f>
        <v>1077</v>
      </c>
      <c r="E238" s="616"/>
      <c r="F238" s="616"/>
      <c r="G238" s="616"/>
      <c r="H238" s="616"/>
      <c r="I238" s="616"/>
      <c r="J238" s="616"/>
      <c r="K238" s="1669">
        <f>SUM(K232:K237)</f>
        <v>1077</v>
      </c>
      <c r="L238" s="1669">
        <f>SUM(L232:L237)</f>
        <v>4124</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3" t="s">
        <v>814</v>
      </c>
      <c r="B240" s="614">
        <v>2210</v>
      </c>
      <c r="C240" s="616"/>
      <c r="D240" s="481">
        <v>730</v>
      </c>
      <c r="E240" s="616"/>
      <c r="F240" s="616"/>
      <c r="G240" s="616"/>
      <c r="H240" s="616"/>
      <c r="I240" s="616"/>
      <c r="J240" s="616"/>
      <c r="K240" s="1671">
        <f>D240</f>
        <v>730</v>
      </c>
      <c r="L240" s="481"/>
    </row>
    <row r="241" spans="1:12" x14ac:dyDescent="0.2">
      <c r="A241" s="1503" t="s">
        <v>815</v>
      </c>
      <c r="B241" s="614">
        <v>2220</v>
      </c>
      <c r="C241" s="616"/>
      <c r="D241" s="466">
        <v>445</v>
      </c>
      <c r="E241" s="616"/>
      <c r="F241" s="616"/>
      <c r="G241" s="616"/>
      <c r="H241" s="616"/>
      <c r="I241" s="616"/>
      <c r="J241" s="616"/>
      <c r="K241" s="1671">
        <f>D241</f>
        <v>445</v>
      </c>
      <c r="L241" s="466"/>
    </row>
    <row r="242" spans="1:12" x14ac:dyDescent="0.2">
      <c r="A242" s="1503" t="s">
        <v>816</v>
      </c>
      <c r="B242" s="614">
        <v>2230</v>
      </c>
      <c r="C242" s="616"/>
      <c r="D242" s="466"/>
      <c r="E242" s="616"/>
      <c r="F242" s="616"/>
      <c r="G242" s="616"/>
      <c r="H242" s="616"/>
      <c r="I242" s="616"/>
      <c r="J242" s="616"/>
      <c r="K242" s="1671">
        <f>D242</f>
        <v>0</v>
      </c>
      <c r="L242" s="466"/>
    </row>
    <row r="243" spans="1:12" ht="12.75" customHeight="1" thickBot="1" x14ac:dyDescent="0.25">
      <c r="A243" s="1693" t="s">
        <v>561</v>
      </c>
      <c r="B243" s="1694">
        <v>2200</v>
      </c>
      <c r="C243" s="616"/>
      <c r="D243" s="1669">
        <f>SUM(D240:D242)</f>
        <v>1175</v>
      </c>
      <c r="E243" s="616"/>
      <c r="F243" s="616"/>
      <c r="G243" s="616"/>
      <c r="H243" s="616"/>
      <c r="I243" s="616"/>
      <c r="J243" s="616"/>
      <c r="K243" s="1669">
        <f>SUM(K240:K242)</f>
        <v>1175</v>
      </c>
      <c r="L243" s="1669">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3" t="s">
        <v>817</v>
      </c>
      <c r="B245" s="614">
        <v>2310</v>
      </c>
      <c r="C245" s="616"/>
      <c r="D245" s="481"/>
      <c r="E245" s="616"/>
      <c r="F245" s="616"/>
      <c r="G245" s="616"/>
      <c r="H245" s="616"/>
      <c r="I245" s="616"/>
      <c r="J245" s="616"/>
      <c r="K245" s="1671">
        <f>D245</f>
        <v>0</v>
      </c>
      <c r="L245" s="481"/>
    </row>
    <row r="246" spans="1:12" x14ac:dyDescent="0.2">
      <c r="A246" s="1503" t="s">
        <v>818</v>
      </c>
      <c r="B246" s="614">
        <v>2320</v>
      </c>
      <c r="C246" s="616"/>
      <c r="D246" s="466">
        <v>3898</v>
      </c>
      <c r="E246" s="616"/>
      <c r="F246" s="616"/>
      <c r="G246" s="616"/>
      <c r="H246" s="616"/>
      <c r="I246" s="616"/>
      <c r="J246" s="616"/>
      <c r="K246" s="1671">
        <f t="shared" ref="K246:K256" si="21">D246</f>
        <v>3898</v>
      </c>
      <c r="L246" s="466">
        <v>8400</v>
      </c>
    </row>
    <row r="247" spans="1:12" x14ac:dyDescent="0.2">
      <c r="A247" s="1503" t="s">
        <v>819</v>
      </c>
      <c r="B247" s="614">
        <v>2330</v>
      </c>
      <c r="C247" s="616"/>
      <c r="D247" s="466"/>
      <c r="E247" s="616"/>
      <c r="F247" s="616"/>
      <c r="G247" s="616"/>
      <c r="H247" s="616"/>
      <c r="I247" s="616"/>
      <c r="J247" s="616"/>
      <c r="K247" s="1671">
        <f t="shared" si="21"/>
        <v>0</v>
      </c>
      <c r="L247" s="466"/>
    </row>
    <row r="248" spans="1:12" x14ac:dyDescent="0.2">
      <c r="A248" s="1504" t="s">
        <v>299</v>
      </c>
      <c r="B248" s="602" t="s">
        <v>281</v>
      </c>
      <c r="C248" s="616"/>
      <c r="D248" s="474"/>
      <c r="E248" s="616"/>
      <c r="F248" s="616"/>
      <c r="G248" s="616"/>
      <c r="H248" s="616"/>
      <c r="I248" s="616"/>
      <c r="J248" s="616"/>
      <c r="K248" s="1671">
        <f t="shared" si="21"/>
        <v>0</v>
      </c>
      <c r="L248" s="466"/>
    </row>
    <row r="249" spans="1:12" x14ac:dyDescent="0.2">
      <c r="A249" s="1505" t="s">
        <v>1805</v>
      </c>
      <c r="B249" s="683" t="s">
        <v>282</v>
      </c>
      <c r="C249" s="616"/>
      <c r="D249" s="474"/>
      <c r="E249" s="616"/>
      <c r="F249" s="616"/>
      <c r="G249" s="616"/>
      <c r="H249" s="616"/>
      <c r="I249" s="616"/>
      <c r="J249" s="616"/>
      <c r="K249" s="1671">
        <f t="shared" si="21"/>
        <v>0</v>
      </c>
      <c r="L249" s="466"/>
    </row>
    <row r="250" spans="1:12" x14ac:dyDescent="0.2">
      <c r="A250" s="1504" t="s">
        <v>1806</v>
      </c>
      <c r="B250" s="602" t="s">
        <v>283</v>
      </c>
      <c r="C250" s="616"/>
      <c r="D250" s="474"/>
      <c r="E250" s="616"/>
      <c r="F250" s="616"/>
      <c r="G250" s="616"/>
      <c r="H250" s="616"/>
      <c r="I250" s="616"/>
      <c r="J250" s="616"/>
      <c r="K250" s="1671">
        <f t="shared" si="21"/>
        <v>0</v>
      </c>
      <c r="L250" s="466"/>
    </row>
    <row r="251" spans="1:12" x14ac:dyDescent="0.2">
      <c r="A251" s="1504" t="s">
        <v>238</v>
      </c>
      <c r="B251" s="602" t="s">
        <v>284</v>
      </c>
      <c r="C251" s="616"/>
      <c r="D251" s="474"/>
      <c r="E251" s="616"/>
      <c r="F251" s="616"/>
      <c r="G251" s="616"/>
      <c r="H251" s="616"/>
      <c r="I251" s="616"/>
      <c r="J251" s="616"/>
      <c r="K251" s="1671">
        <f t="shared" si="21"/>
        <v>0</v>
      </c>
      <c r="L251" s="466"/>
    </row>
    <row r="252" spans="1:12" x14ac:dyDescent="0.2">
      <c r="A252" s="1504" t="s">
        <v>702</v>
      </c>
      <c r="B252" s="602" t="s">
        <v>285</v>
      </c>
      <c r="C252" s="616"/>
      <c r="D252" s="474"/>
      <c r="E252" s="616"/>
      <c r="F252" s="616"/>
      <c r="G252" s="616"/>
      <c r="H252" s="616"/>
      <c r="I252" s="616"/>
      <c r="J252" s="616"/>
      <c r="K252" s="1671">
        <f t="shared" si="21"/>
        <v>0</v>
      </c>
      <c r="L252" s="466"/>
    </row>
    <row r="253" spans="1:12" x14ac:dyDescent="0.2">
      <c r="A253" s="1504" t="s">
        <v>239</v>
      </c>
      <c r="B253" s="602" t="s">
        <v>286</v>
      </c>
      <c r="C253" s="616"/>
      <c r="D253" s="474"/>
      <c r="E253" s="616"/>
      <c r="F253" s="616"/>
      <c r="G253" s="616"/>
      <c r="H253" s="616"/>
      <c r="I253" s="616"/>
      <c r="J253" s="616"/>
      <c r="K253" s="1671">
        <f t="shared" si="21"/>
        <v>0</v>
      </c>
      <c r="L253" s="466"/>
    </row>
    <row r="254" spans="1:12" ht="22.5" x14ac:dyDescent="0.2">
      <c r="A254" s="1504" t="s">
        <v>1029</v>
      </c>
      <c r="B254" s="683" t="s">
        <v>287</v>
      </c>
      <c r="C254" s="616"/>
      <c r="D254" s="474">
        <v>5695</v>
      </c>
      <c r="E254" s="616"/>
      <c r="F254" s="616"/>
      <c r="G254" s="616"/>
      <c r="H254" s="616"/>
      <c r="I254" s="616"/>
      <c r="J254" s="616"/>
      <c r="K254" s="1671">
        <f t="shared" si="21"/>
        <v>5695</v>
      </c>
      <c r="L254" s="466">
        <v>9000</v>
      </c>
    </row>
    <row r="255" spans="1:12" x14ac:dyDescent="0.2">
      <c r="A255" s="1504" t="s">
        <v>1030</v>
      </c>
      <c r="B255" s="602" t="s">
        <v>288</v>
      </c>
      <c r="C255" s="616"/>
      <c r="D255" s="474"/>
      <c r="E255" s="616"/>
      <c r="F255" s="616"/>
      <c r="G255" s="616"/>
      <c r="H255" s="616"/>
      <c r="I255" s="616"/>
      <c r="J255" s="616"/>
      <c r="K255" s="1671">
        <f t="shared" si="21"/>
        <v>0</v>
      </c>
      <c r="L255" s="466"/>
    </row>
    <row r="256" spans="1:12" x14ac:dyDescent="0.2">
      <c r="A256" s="1504"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9593</v>
      </c>
      <c r="E257" s="616"/>
      <c r="F257" s="616"/>
      <c r="G257" s="616"/>
      <c r="H257" s="616"/>
      <c r="I257" s="616"/>
      <c r="J257" s="616"/>
      <c r="K257" s="1669">
        <f>SUM(K245:K256)</f>
        <v>9593</v>
      </c>
      <c r="L257" s="1669">
        <f>SUM(L245:L256)</f>
        <v>17400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3" t="s">
        <v>1067</v>
      </c>
      <c r="B259" s="685">
        <v>2410</v>
      </c>
      <c r="C259" s="616"/>
      <c r="D259" s="481">
        <v>17923</v>
      </c>
      <c r="E259" s="616"/>
      <c r="F259" s="616"/>
      <c r="G259" s="616"/>
      <c r="H259" s="616"/>
      <c r="I259" s="616"/>
      <c r="J259" s="616"/>
      <c r="K259" s="1671">
        <f>D259</f>
        <v>17923</v>
      </c>
      <c r="L259" s="481">
        <v>17000</v>
      </c>
    </row>
    <row r="260" spans="1:14" s="597" customFormat="1" x14ac:dyDescent="0.2">
      <c r="A260" s="1521" t="s">
        <v>1804</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17923</v>
      </c>
      <c r="E261" s="616"/>
      <c r="F261" s="616"/>
      <c r="G261" s="616"/>
      <c r="H261" s="616"/>
      <c r="I261" s="616"/>
      <c r="J261" s="616"/>
      <c r="K261" s="1669">
        <f>SUM(K259:K260)</f>
        <v>17923</v>
      </c>
      <c r="L261" s="1669">
        <f>SUM(L259:L260)</f>
        <v>17000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3" t="s">
        <v>1068</v>
      </c>
      <c r="B263" s="685">
        <v>2510</v>
      </c>
      <c r="C263" s="616"/>
      <c r="D263" s="466"/>
      <c r="E263" s="616"/>
      <c r="F263" s="616"/>
      <c r="G263" s="616"/>
      <c r="H263" s="616"/>
      <c r="I263" s="616"/>
      <c r="J263" s="616"/>
      <c r="K263" s="1671">
        <f>D263</f>
        <v>0</v>
      </c>
      <c r="L263" s="481"/>
    </row>
    <row r="264" spans="1:14" x14ac:dyDescent="0.2">
      <c r="A264" s="1503" t="s">
        <v>463</v>
      </c>
      <c r="B264" s="685">
        <v>2520</v>
      </c>
      <c r="C264" s="616"/>
      <c r="D264" s="466">
        <v>3038</v>
      </c>
      <c r="E264" s="616"/>
      <c r="F264" s="616"/>
      <c r="G264" s="616"/>
      <c r="H264" s="616"/>
      <c r="I264" s="616"/>
      <c r="J264" s="616"/>
      <c r="K264" s="1671">
        <f t="shared" ref="K264:K269" si="22">D264</f>
        <v>3038</v>
      </c>
      <c r="L264" s="466"/>
    </row>
    <row r="265" spans="1:14" x14ac:dyDescent="0.2">
      <c r="A265" s="1503" t="s">
        <v>4</v>
      </c>
      <c r="B265" s="614">
        <v>2530</v>
      </c>
      <c r="C265" s="616"/>
      <c r="D265" s="466"/>
      <c r="E265" s="616"/>
      <c r="F265" s="616"/>
      <c r="G265" s="616"/>
      <c r="H265" s="616"/>
      <c r="I265" s="616"/>
      <c r="J265" s="616"/>
      <c r="K265" s="1671">
        <f t="shared" si="22"/>
        <v>0</v>
      </c>
      <c r="L265" s="466"/>
    </row>
    <row r="266" spans="1:14" x14ac:dyDescent="0.2">
      <c r="A266" s="1503" t="s">
        <v>197</v>
      </c>
      <c r="B266" s="614">
        <v>2540</v>
      </c>
      <c r="C266" s="616"/>
      <c r="D266" s="466">
        <v>21179</v>
      </c>
      <c r="E266" s="616"/>
      <c r="F266" s="616"/>
      <c r="G266" s="616"/>
      <c r="H266" s="616"/>
      <c r="I266" s="616"/>
      <c r="J266" s="616"/>
      <c r="K266" s="1671">
        <f t="shared" si="22"/>
        <v>21179</v>
      </c>
      <c r="L266" s="466">
        <v>26000</v>
      </c>
    </row>
    <row r="267" spans="1:14" x14ac:dyDescent="0.2">
      <c r="A267" s="1503" t="s">
        <v>953</v>
      </c>
      <c r="B267" s="614">
        <v>2550</v>
      </c>
      <c r="C267" s="616"/>
      <c r="D267" s="466">
        <v>23531</v>
      </c>
      <c r="E267" s="616"/>
      <c r="F267" s="616"/>
      <c r="G267" s="616"/>
      <c r="H267" s="616"/>
      <c r="I267" s="616"/>
      <c r="J267" s="616"/>
      <c r="K267" s="1671">
        <f t="shared" si="22"/>
        <v>23531</v>
      </c>
      <c r="L267" s="466">
        <v>26000</v>
      </c>
    </row>
    <row r="268" spans="1:14" x14ac:dyDescent="0.2">
      <c r="A268" s="1503" t="s">
        <v>100</v>
      </c>
      <c r="B268" s="614">
        <v>2560</v>
      </c>
      <c r="C268" s="616"/>
      <c r="D268" s="466">
        <v>14840</v>
      </c>
      <c r="E268" s="616"/>
      <c r="F268" s="616"/>
      <c r="G268" s="616"/>
      <c r="H268" s="616"/>
      <c r="I268" s="616"/>
      <c r="J268" s="616"/>
      <c r="K268" s="1671">
        <f t="shared" si="22"/>
        <v>14840</v>
      </c>
      <c r="L268" s="466">
        <v>18500</v>
      </c>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62588</v>
      </c>
      <c r="E270" s="616"/>
      <c r="F270" s="616"/>
      <c r="G270" s="616"/>
      <c r="H270" s="616"/>
      <c r="I270" s="616"/>
      <c r="J270" s="616"/>
      <c r="K270" s="1669">
        <f>SUM(K263:K269)</f>
        <v>62588</v>
      </c>
      <c r="L270" s="1669">
        <f>SUM(L263:L269)</f>
        <v>70500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3" t="s">
        <v>1060</v>
      </c>
      <c r="B272" s="614">
        <v>2610</v>
      </c>
      <c r="C272" s="616"/>
      <c r="D272" s="481"/>
      <c r="E272" s="616"/>
      <c r="F272" s="616"/>
      <c r="G272" s="616"/>
      <c r="H272" s="616"/>
      <c r="I272" s="616"/>
      <c r="J272" s="616"/>
      <c r="K272" s="1671">
        <f>D272</f>
        <v>0</v>
      </c>
      <c r="L272" s="481"/>
    </row>
    <row r="273" spans="1:12" x14ac:dyDescent="0.2">
      <c r="A273" s="1503" t="s">
        <v>607</v>
      </c>
      <c r="B273" s="628">
        <v>2620</v>
      </c>
      <c r="C273" s="616"/>
      <c r="D273" s="466"/>
      <c r="E273" s="616"/>
      <c r="F273" s="616"/>
      <c r="G273" s="616"/>
      <c r="H273" s="616"/>
      <c r="I273" s="616"/>
      <c r="J273" s="616"/>
      <c r="K273" s="1671">
        <f>D273</f>
        <v>0</v>
      </c>
      <c r="L273" s="466"/>
    </row>
    <row r="274" spans="1:12" ht="12" customHeight="1" x14ac:dyDescent="0.2">
      <c r="A274" s="1503" t="s">
        <v>1061</v>
      </c>
      <c r="B274" s="614">
        <v>2630</v>
      </c>
      <c r="C274" s="616"/>
      <c r="D274" s="466"/>
      <c r="E274" s="616"/>
      <c r="F274" s="616"/>
      <c r="G274" s="616"/>
      <c r="H274" s="616"/>
      <c r="I274" s="616"/>
      <c r="J274" s="616"/>
      <c r="K274" s="1671">
        <f>D274</f>
        <v>0</v>
      </c>
      <c r="L274" s="466"/>
    </row>
    <row r="275" spans="1:12" x14ac:dyDescent="0.2">
      <c r="A275" s="1503" t="s">
        <v>403</v>
      </c>
      <c r="B275" s="614">
        <v>2640</v>
      </c>
      <c r="C275" s="616"/>
      <c r="D275" s="466"/>
      <c r="E275" s="616"/>
      <c r="F275" s="616"/>
      <c r="G275" s="616"/>
      <c r="H275" s="616"/>
      <c r="I275" s="616"/>
      <c r="J275" s="616"/>
      <c r="K275" s="1671">
        <f>D275</f>
        <v>0</v>
      </c>
      <c r="L275" s="466"/>
    </row>
    <row r="276" spans="1:12" x14ac:dyDescent="0.2">
      <c r="A276" s="1503" t="s">
        <v>404</v>
      </c>
      <c r="B276" s="614">
        <v>2660</v>
      </c>
      <c r="C276" s="616"/>
      <c r="D276" s="466"/>
      <c r="E276" s="616"/>
      <c r="F276" s="616"/>
      <c r="G276" s="616"/>
      <c r="H276" s="616"/>
      <c r="I276" s="616"/>
      <c r="J276" s="616"/>
      <c r="K276" s="1671">
        <f>D276</f>
        <v>0</v>
      </c>
      <c r="L276" s="466"/>
    </row>
    <row r="277" spans="1:12" ht="12.75" customHeight="1" thickBot="1" x14ac:dyDescent="0.25">
      <c r="A277" s="1690" t="s">
        <v>37</v>
      </c>
      <c r="B277" s="1668" t="s">
        <v>36</v>
      </c>
      <c r="C277" s="616"/>
      <c r="D277" s="1669">
        <f>SUM(D272:D276)</f>
        <v>0</v>
      </c>
      <c r="E277" s="616"/>
      <c r="F277" s="616"/>
      <c r="G277" s="616"/>
      <c r="H277" s="616"/>
      <c r="I277" s="616"/>
      <c r="J277" s="616"/>
      <c r="K277" s="1669">
        <f>SUM(K272:K276)</f>
        <v>0</v>
      </c>
      <c r="L277" s="1669">
        <f>SUM(L272:L276)</f>
        <v>0</v>
      </c>
    </row>
    <row r="278" spans="1:12" ht="13.5" customHeight="1" thickTop="1" x14ac:dyDescent="0.2">
      <c r="A278" s="1509"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92356</v>
      </c>
      <c r="E279" s="616"/>
      <c r="F279" s="616"/>
      <c r="G279" s="616"/>
      <c r="H279" s="616"/>
      <c r="I279" s="616"/>
      <c r="J279" s="616"/>
      <c r="K279" s="1676">
        <f>SUM(K238,K243,K257,K261,K270,K277,K278)</f>
        <v>92356</v>
      </c>
      <c r="L279" s="1676">
        <f>SUM(L238,L243,L257,L261,L270,L277,L278)</f>
        <v>109024</v>
      </c>
    </row>
    <row r="280" spans="1:12" ht="15.75" customHeight="1" thickTop="1" thickBot="1" x14ac:dyDescent="0.25">
      <c r="A280" s="1623" t="s">
        <v>875</v>
      </c>
      <c r="B280" s="1612">
        <v>3000</v>
      </c>
      <c r="C280" s="616"/>
      <c r="D280" s="576"/>
      <c r="E280" s="616"/>
      <c r="F280" s="616"/>
      <c r="G280" s="616"/>
      <c r="H280" s="616"/>
      <c r="I280" s="616"/>
      <c r="J280" s="616"/>
      <c r="K280" s="1678">
        <f>D280</f>
        <v>0</v>
      </c>
      <c r="L280" s="576"/>
    </row>
    <row r="281" spans="1:12" ht="15.75" customHeight="1" thickTop="1" x14ac:dyDescent="0.2">
      <c r="A281" s="1613" t="s">
        <v>142</v>
      </c>
      <c r="B281" s="1614" t="s">
        <v>860</v>
      </c>
      <c r="C281" s="616"/>
      <c r="D281" s="566"/>
      <c r="E281" s="616"/>
      <c r="F281" s="616"/>
      <c r="G281" s="616"/>
      <c r="H281" s="616"/>
      <c r="I281" s="616"/>
      <c r="J281" s="616"/>
      <c r="K281" s="616"/>
      <c r="L281" s="616"/>
    </row>
    <row r="282" spans="1:12" ht="15.75" customHeight="1" x14ac:dyDescent="0.2">
      <c r="A282" s="1829" t="s">
        <v>496</v>
      </c>
      <c r="B282" s="690" t="s">
        <v>1845</v>
      </c>
      <c r="C282" s="616"/>
      <c r="D282" s="467"/>
      <c r="E282" s="616"/>
      <c r="F282" s="616"/>
      <c r="G282" s="616"/>
      <c r="H282" s="616"/>
      <c r="I282" s="616"/>
      <c r="J282" s="616"/>
      <c r="K282" s="1670">
        <f>D282</f>
        <v>0</v>
      </c>
      <c r="L282" s="467"/>
    </row>
    <row r="283" spans="1:12" x14ac:dyDescent="0.2">
      <c r="A283" s="1503" t="s">
        <v>304</v>
      </c>
      <c r="B283" s="614">
        <v>4120</v>
      </c>
      <c r="C283" s="616"/>
      <c r="D283" s="466"/>
      <c r="E283" s="616"/>
      <c r="F283" s="616"/>
      <c r="G283" s="616"/>
      <c r="H283" s="616"/>
      <c r="I283" s="616"/>
      <c r="J283" s="616"/>
      <c r="K283" s="1670">
        <f>D283</f>
        <v>0</v>
      </c>
      <c r="L283" s="466"/>
    </row>
    <row r="284" spans="1:12" x14ac:dyDescent="0.2">
      <c r="A284" s="1503"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876</v>
      </c>
      <c r="B286" s="1608"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1170</v>
      </c>
      <c r="B290" s="628" t="s">
        <v>617</v>
      </c>
      <c r="C290" s="616"/>
      <c r="D290" s="616"/>
      <c r="E290" s="616"/>
      <c r="F290" s="616"/>
      <c r="G290" s="616"/>
      <c r="H290" s="466"/>
      <c r="I290" s="616"/>
      <c r="J290" s="616"/>
      <c r="K290" s="1670">
        <f>H290</f>
        <v>0</v>
      </c>
      <c r="L290" s="466"/>
    </row>
    <row r="291" spans="1:14" x14ac:dyDescent="0.2">
      <c r="A291" s="1503" t="s">
        <v>89</v>
      </c>
      <c r="B291" s="614" t="s">
        <v>589</v>
      </c>
      <c r="C291" s="616"/>
      <c r="D291" s="616"/>
      <c r="E291" s="616"/>
      <c r="F291" s="616"/>
      <c r="G291" s="616"/>
      <c r="H291" s="466"/>
      <c r="I291" s="616"/>
      <c r="J291" s="616"/>
      <c r="K291" s="1670">
        <f>H291</f>
        <v>0</v>
      </c>
      <c r="L291" s="466"/>
    </row>
    <row r="292" spans="1:14" x14ac:dyDescent="0.2">
      <c r="A292" s="1503"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877</v>
      </c>
      <c r="B294" s="1612" t="s">
        <v>861</v>
      </c>
      <c r="C294" s="616"/>
      <c r="D294" s="623"/>
      <c r="E294" s="616"/>
      <c r="F294" s="616"/>
      <c r="G294" s="616"/>
      <c r="H294" s="686"/>
      <c r="I294" s="616"/>
      <c r="J294" s="616"/>
      <c r="K294" s="686"/>
      <c r="L294" s="578"/>
    </row>
    <row r="295" spans="1:14" ht="12.75" customHeight="1" thickTop="1" thickBot="1" x14ac:dyDescent="0.25">
      <c r="A295" s="2174" t="s">
        <v>505</v>
      </c>
      <c r="B295" s="2175"/>
      <c r="C295" s="616"/>
      <c r="D295" s="1669">
        <f>SUM(D229,D279,D280,D285)</f>
        <v>122916</v>
      </c>
      <c r="E295" s="616"/>
      <c r="F295" s="616"/>
      <c r="G295" s="616"/>
      <c r="H295" s="1669">
        <f>H293</f>
        <v>0</v>
      </c>
      <c r="I295" s="616"/>
      <c r="J295" s="616"/>
      <c r="K295" s="1669">
        <f>SUM(K229,K279,K280,K285,K293,K294)</f>
        <v>122916</v>
      </c>
      <c r="L295" s="1669">
        <f>SUM(L229,L279,L280,L285,L293,L294)</f>
        <v>144774</v>
      </c>
    </row>
    <row r="296" spans="1:14" ht="13.5" thickTop="1" x14ac:dyDescent="0.2">
      <c r="A296" s="2156" t="s">
        <v>996</v>
      </c>
      <c r="B296" s="2157"/>
      <c r="C296" s="616"/>
      <c r="D296" s="618"/>
      <c r="E296" s="616"/>
      <c r="F296" s="616"/>
      <c r="G296" s="616"/>
      <c r="H296" s="687"/>
      <c r="I296" s="616"/>
      <c r="J296" s="616"/>
      <c r="K296" s="1683">
        <f>'Revenues 9-14'!G268-'Expenditures 15-22'!K295</f>
        <v>13078</v>
      </c>
      <c r="L296" s="687"/>
    </row>
    <row r="297" spans="1:14" s="666" customFormat="1" ht="9.1999999999999993"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6" t="s">
        <v>143</v>
      </c>
      <c r="B298" s="2160"/>
      <c r="C298" s="1550"/>
      <c r="D298" s="1551"/>
      <c r="E298" s="1551"/>
      <c r="F298" s="1551"/>
      <c r="G298" s="1551"/>
      <c r="H298" s="1551"/>
      <c r="I298" s="1551"/>
      <c r="J298" s="1551"/>
      <c r="K298" s="1551"/>
      <c r="L298" s="1552"/>
    </row>
    <row r="299" spans="1:14" ht="15.75" customHeight="1" x14ac:dyDescent="0.2">
      <c r="A299" s="1611" t="s">
        <v>144</v>
      </c>
      <c r="B299" s="1614"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6" t="s">
        <v>608</v>
      </c>
      <c r="B301" s="689">
        <v>2530</v>
      </c>
      <c r="C301" s="466"/>
      <c r="D301" s="466"/>
      <c r="E301" s="466">
        <v>88719</v>
      </c>
      <c r="F301" s="466">
        <v>21693</v>
      </c>
      <c r="G301" s="466"/>
      <c r="H301" s="466"/>
      <c r="I301" s="467"/>
      <c r="J301" s="467"/>
      <c r="K301" s="1670">
        <f>SUM(C301:J301)</f>
        <v>110412</v>
      </c>
      <c r="L301" s="467">
        <v>92300</v>
      </c>
    </row>
    <row r="302" spans="1:14" ht="13.5" customHeight="1" x14ac:dyDescent="0.2">
      <c r="A302" s="1516"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88719</v>
      </c>
      <c r="F303" s="1676">
        <f t="shared" si="23"/>
        <v>21693</v>
      </c>
      <c r="G303" s="1676">
        <f t="shared" si="23"/>
        <v>0</v>
      </c>
      <c r="H303" s="1676">
        <f t="shared" si="23"/>
        <v>0</v>
      </c>
      <c r="I303" s="1676">
        <f t="shared" si="23"/>
        <v>0</v>
      </c>
      <c r="J303" s="1676">
        <f t="shared" si="23"/>
        <v>0</v>
      </c>
      <c r="K303" s="1676">
        <f t="shared" si="23"/>
        <v>110412</v>
      </c>
      <c r="L303" s="1676">
        <f t="shared" si="23"/>
        <v>92300</v>
      </c>
    </row>
    <row r="304" spans="1:14" ht="15.75" customHeight="1" thickTop="1" x14ac:dyDescent="0.2">
      <c r="A304" s="1611" t="s">
        <v>145</v>
      </c>
      <c r="B304" s="1612"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7" t="s">
        <v>1850</v>
      </c>
      <c r="B306" s="690" t="s">
        <v>1845</v>
      </c>
      <c r="C306" s="616"/>
      <c r="D306" s="616"/>
      <c r="E306" s="467"/>
      <c r="F306" s="616"/>
      <c r="G306" s="616"/>
      <c r="H306" s="467"/>
      <c r="I306" s="616"/>
      <c r="J306" s="616"/>
      <c r="K306" s="1670">
        <f>SUM(E306,H306)</f>
        <v>0</v>
      </c>
      <c r="L306" s="467"/>
    </row>
    <row r="307" spans="1:14" x14ac:dyDescent="0.2">
      <c r="A307" s="1503" t="s">
        <v>304</v>
      </c>
      <c r="B307" s="614">
        <v>4120</v>
      </c>
      <c r="C307" s="616"/>
      <c r="D307" s="616"/>
      <c r="E307" s="467"/>
      <c r="F307" s="616"/>
      <c r="G307" s="616"/>
      <c r="H307" s="467"/>
      <c r="I307" s="477"/>
      <c r="J307" s="616"/>
      <c r="K307" s="1670">
        <f>SUM(E307,H307)</f>
        <v>0</v>
      </c>
      <c r="L307" s="466"/>
    </row>
    <row r="308" spans="1:14" x14ac:dyDescent="0.2">
      <c r="A308" s="1503" t="s">
        <v>697</v>
      </c>
      <c r="B308" s="614">
        <v>4140</v>
      </c>
      <c r="C308" s="616"/>
      <c r="D308" s="616"/>
      <c r="E308" s="467"/>
      <c r="F308" s="616"/>
      <c r="G308" s="616"/>
      <c r="H308" s="467"/>
      <c r="I308" s="477"/>
      <c r="J308" s="616"/>
      <c r="K308" s="1670">
        <f>SUM(E308,H308)</f>
        <v>0</v>
      </c>
      <c r="L308" s="466"/>
    </row>
    <row r="309" spans="1:14" ht="12.75" customHeight="1" x14ac:dyDescent="0.2">
      <c r="A309" s="1507"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895</v>
      </c>
      <c r="B311" s="1610" t="s">
        <v>861</v>
      </c>
      <c r="C311" s="623"/>
      <c r="D311" s="623"/>
      <c r="E311" s="623"/>
      <c r="F311" s="623"/>
      <c r="G311" s="623"/>
      <c r="H311" s="623"/>
      <c r="I311" s="623"/>
      <c r="J311" s="616"/>
      <c r="K311" s="623"/>
      <c r="L311" s="576"/>
    </row>
    <row r="312" spans="1:14" s="674" customFormat="1" ht="12.75" customHeight="1" thickTop="1" thickBot="1" x14ac:dyDescent="0.25">
      <c r="A312" s="2171" t="s">
        <v>277</v>
      </c>
      <c r="B312" s="2172"/>
      <c r="C312" s="1669">
        <f>SUM(C303)</f>
        <v>0</v>
      </c>
      <c r="D312" s="1669">
        <f>SUM(D303)</f>
        <v>0</v>
      </c>
      <c r="E312" s="1669">
        <f>SUM(E303,E310)</f>
        <v>88719</v>
      </c>
      <c r="F312" s="1669">
        <f>SUM(F303)</f>
        <v>21693</v>
      </c>
      <c r="G312" s="1669">
        <f>SUM(G303)</f>
        <v>0</v>
      </c>
      <c r="H312" s="1669">
        <f>SUM(H303,H310)</f>
        <v>0</v>
      </c>
      <c r="I312" s="1669">
        <f>SUM(I303)</f>
        <v>0</v>
      </c>
      <c r="J312" s="1669">
        <f>SUM(J303)</f>
        <v>0</v>
      </c>
      <c r="K312" s="1669">
        <f>SUM(K303,K310,K311)</f>
        <v>110412</v>
      </c>
      <c r="L312" s="1669">
        <f>SUM(L303,L310,L311)</f>
        <v>92300</v>
      </c>
      <c r="M312" s="665"/>
      <c r="N312" s="665"/>
    </row>
    <row r="313" spans="1:14" ht="13.5" thickTop="1" x14ac:dyDescent="0.2">
      <c r="A313" s="2167" t="s">
        <v>996</v>
      </c>
      <c r="B313" s="2168"/>
      <c r="C313" s="626"/>
      <c r="D313" s="626"/>
      <c r="E313" s="626"/>
      <c r="F313" s="626"/>
      <c r="G313" s="626"/>
      <c r="H313" s="626"/>
      <c r="I313" s="626"/>
      <c r="J313" s="626"/>
      <c r="K313" s="1684">
        <f>'Revenues 9-14'!H268-'Expenditures 15-22'!K312</f>
        <v>4197</v>
      </c>
      <c r="L313" s="626"/>
    </row>
    <row r="314" spans="1:14" s="666" customFormat="1" ht="9.1999999999999993"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0" t="s">
        <v>149</v>
      </c>
      <c r="B315" s="2181"/>
      <c r="C315" s="1555"/>
      <c r="D315" s="1556"/>
      <c r="E315" s="1556"/>
      <c r="F315" s="1556"/>
      <c r="G315" s="1556"/>
      <c r="H315" s="1556"/>
      <c r="I315" s="1556"/>
      <c r="J315" s="1556"/>
      <c r="K315" s="1556"/>
      <c r="L315" s="1557"/>
    </row>
    <row r="316" spans="1:14" s="674" customFormat="1" ht="9.1999999999999993"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2" t="s">
        <v>898</v>
      </c>
      <c r="B317" s="2181"/>
      <c r="C317" s="1555"/>
      <c r="D317" s="1556"/>
      <c r="E317" s="1556"/>
      <c r="F317" s="1556"/>
      <c r="G317" s="1556"/>
      <c r="H317" s="1556"/>
      <c r="I317" s="1556"/>
      <c r="J317" s="1556"/>
      <c r="K317" s="1556"/>
      <c r="L317" s="1557"/>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8"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2" t="s">
        <v>1805</v>
      </c>
      <c r="B320" s="698" t="s">
        <v>282</v>
      </c>
      <c r="C320" s="467"/>
      <c r="D320" s="467"/>
      <c r="E320" s="467">
        <v>24668</v>
      </c>
      <c r="F320" s="467"/>
      <c r="G320" s="467"/>
      <c r="H320" s="467"/>
      <c r="I320" s="467"/>
      <c r="J320" s="467"/>
      <c r="K320" s="1670">
        <f t="shared" ref="K320:K327" si="24">SUM(C320:J320)</f>
        <v>24668</v>
      </c>
      <c r="L320" s="467">
        <v>31000</v>
      </c>
      <c r="M320" s="665"/>
      <c r="N320" s="665"/>
    </row>
    <row r="321" spans="1:14" s="674" customFormat="1" x14ac:dyDescent="0.2">
      <c r="A321" s="1518" t="s">
        <v>300</v>
      </c>
      <c r="B321" s="697" t="s">
        <v>283</v>
      </c>
      <c r="C321" s="467"/>
      <c r="D321" s="467"/>
      <c r="E321" s="467">
        <v>19033</v>
      </c>
      <c r="F321" s="467"/>
      <c r="G321" s="467"/>
      <c r="H321" s="467"/>
      <c r="I321" s="467"/>
      <c r="J321" s="467"/>
      <c r="K321" s="1670">
        <f t="shared" si="24"/>
        <v>19033</v>
      </c>
      <c r="L321" s="467">
        <v>19500</v>
      </c>
      <c r="M321" s="665"/>
      <c r="N321" s="665"/>
    </row>
    <row r="322" spans="1:14" s="674" customFormat="1" x14ac:dyDescent="0.2">
      <c r="A322" s="1518" t="s">
        <v>238</v>
      </c>
      <c r="B322" s="697" t="s">
        <v>284</v>
      </c>
      <c r="C322" s="467"/>
      <c r="D322" s="467"/>
      <c r="E322" s="467"/>
      <c r="F322" s="467"/>
      <c r="G322" s="467"/>
      <c r="H322" s="467"/>
      <c r="I322" s="467"/>
      <c r="J322" s="467"/>
      <c r="K322" s="1670">
        <f t="shared" si="24"/>
        <v>0</v>
      </c>
      <c r="L322" s="467"/>
      <c r="M322" s="665"/>
      <c r="N322" s="665"/>
    </row>
    <row r="323" spans="1:14" s="674" customFormat="1" x14ac:dyDescent="0.2">
      <c r="A323" s="1518" t="s">
        <v>702</v>
      </c>
      <c r="B323" s="697" t="s">
        <v>285</v>
      </c>
      <c r="C323" s="467"/>
      <c r="D323" s="467"/>
      <c r="E323" s="467"/>
      <c r="F323" s="467"/>
      <c r="G323" s="467"/>
      <c r="H323" s="467"/>
      <c r="I323" s="467"/>
      <c r="J323" s="467"/>
      <c r="K323" s="1670">
        <f t="shared" si="24"/>
        <v>0</v>
      </c>
      <c r="L323" s="467"/>
      <c r="M323" s="665"/>
      <c r="N323" s="665"/>
    </row>
    <row r="324" spans="1:14" s="674" customFormat="1" x14ac:dyDescent="0.2">
      <c r="A324" s="1518" t="s">
        <v>239</v>
      </c>
      <c r="B324" s="697" t="s">
        <v>286</v>
      </c>
      <c r="C324" s="467"/>
      <c r="D324" s="467"/>
      <c r="E324" s="467"/>
      <c r="F324" s="467"/>
      <c r="G324" s="467"/>
      <c r="H324" s="467"/>
      <c r="I324" s="467"/>
      <c r="J324" s="467"/>
      <c r="K324" s="1670">
        <f t="shared" si="24"/>
        <v>0</v>
      </c>
      <c r="L324" s="467"/>
      <c r="M324" s="665"/>
      <c r="N324" s="665"/>
    </row>
    <row r="325" spans="1:14" s="674" customFormat="1" ht="22.5" x14ac:dyDescent="0.2">
      <c r="A325" s="1518" t="s">
        <v>1029</v>
      </c>
      <c r="B325" s="698" t="s">
        <v>287</v>
      </c>
      <c r="C325" s="467">
        <v>66316</v>
      </c>
      <c r="D325" s="467">
        <v>15015</v>
      </c>
      <c r="E325" s="467">
        <v>3180</v>
      </c>
      <c r="F325" s="467">
        <v>1279</v>
      </c>
      <c r="G325" s="467"/>
      <c r="H325" s="467"/>
      <c r="I325" s="467"/>
      <c r="J325" s="467"/>
      <c r="K325" s="1670">
        <f t="shared" si="24"/>
        <v>85790</v>
      </c>
      <c r="L325" s="467">
        <v>81500</v>
      </c>
      <c r="M325" s="665"/>
      <c r="N325" s="665"/>
    </row>
    <row r="326" spans="1:14" s="674" customFormat="1" x14ac:dyDescent="0.2">
      <c r="A326" s="1518"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8" t="s">
        <v>971</v>
      </c>
      <c r="B327" s="697" t="s">
        <v>289</v>
      </c>
      <c r="C327" s="467"/>
      <c r="D327" s="467"/>
      <c r="E327" s="467">
        <v>5166</v>
      </c>
      <c r="F327" s="467"/>
      <c r="G327" s="467"/>
      <c r="H327" s="467"/>
      <c r="I327" s="467"/>
      <c r="J327" s="467"/>
      <c r="K327" s="1670">
        <f t="shared" si="24"/>
        <v>5166</v>
      </c>
      <c r="L327" s="467">
        <v>20000</v>
      </c>
      <c r="M327" s="665"/>
      <c r="N327" s="665"/>
    </row>
    <row r="328" spans="1:14" s="674" customFormat="1" x14ac:dyDescent="0.2">
      <c r="A328" s="1519" t="s">
        <v>472</v>
      </c>
      <c r="B328" s="690" t="s">
        <v>1132</v>
      </c>
      <c r="C328" s="474"/>
      <c r="D328" s="474"/>
      <c r="E328" s="474">
        <v>42320</v>
      </c>
      <c r="F328" s="474"/>
      <c r="G328" s="474"/>
      <c r="H328" s="474"/>
      <c r="I328" s="474"/>
      <c r="J328" s="474"/>
      <c r="K328" s="1698">
        <f>SUM(C328:J328)</f>
        <v>42320</v>
      </c>
      <c r="L328" s="474">
        <v>47000</v>
      </c>
      <c r="M328" s="665"/>
      <c r="N328" s="665"/>
    </row>
    <row r="329" spans="1:14" s="674" customFormat="1" x14ac:dyDescent="0.2">
      <c r="A329" s="1519"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66316</v>
      </c>
      <c r="D330" s="1669">
        <f t="shared" ref="D330:J330" si="25">SUM(D319:D329)</f>
        <v>15015</v>
      </c>
      <c r="E330" s="1669">
        <f t="shared" si="25"/>
        <v>94367</v>
      </c>
      <c r="F330" s="1669">
        <f t="shared" si="25"/>
        <v>1279</v>
      </c>
      <c r="G330" s="1669">
        <f t="shared" si="25"/>
        <v>0</v>
      </c>
      <c r="H330" s="1669">
        <f t="shared" si="25"/>
        <v>0</v>
      </c>
      <c r="I330" s="1669">
        <f t="shared" si="25"/>
        <v>0</v>
      </c>
      <c r="J330" s="1669">
        <f t="shared" si="25"/>
        <v>0</v>
      </c>
      <c r="K330" s="1669">
        <f>SUM(K319:K329)</f>
        <v>176977</v>
      </c>
      <c r="L330" s="1669">
        <f>SUM(L319:L329)</f>
        <v>199000</v>
      </c>
      <c r="M330" s="665"/>
      <c r="N330" s="665"/>
    </row>
    <row r="331" spans="1:14" s="674" customFormat="1" ht="12.75" customHeight="1" thickTop="1" x14ac:dyDescent="0.2">
      <c r="A331" s="1830" t="s">
        <v>1851</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1845</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1847</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1852</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899</v>
      </c>
      <c r="B335" s="1606"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7" t="s">
        <v>87</v>
      </c>
      <c r="B337" s="690" t="s">
        <v>900</v>
      </c>
      <c r="C337" s="638"/>
      <c r="D337" s="638"/>
      <c r="E337" s="638"/>
      <c r="F337" s="638"/>
      <c r="G337" s="638"/>
      <c r="H337" s="478"/>
      <c r="I337" s="638"/>
      <c r="J337" s="638"/>
      <c r="K337" s="1670">
        <f>H337</f>
        <v>0</v>
      </c>
      <c r="L337" s="478"/>
    </row>
    <row r="338" spans="1:14" ht="12.75" customHeight="1" x14ac:dyDescent="0.2">
      <c r="A338" s="1517" t="s">
        <v>1170</v>
      </c>
      <c r="B338" s="690" t="s">
        <v>617</v>
      </c>
      <c r="C338" s="638"/>
      <c r="D338" s="638"/>
      <c r="E338" s="638"/>
      <c r="F338" s="638"/>
      <c r="G338" s="638"/>
      <c r="H338" s="478"/>
      <c r="I338" s="638"/>
      <c r="J338" s="638"/>
      <c r="K338" s="1670">
        <f>H338</f>
        <v>0</v>
      </c>
      <c r="L338" s="478"/>
    </row>
    <row r="339" spans="1:14" x14ac:dyDescent="0.2">
      <c r="A339" s="1503"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903</v>
      </c>
      <c r="B341" s="1610"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66316</v>
      </c>
      <c r="D342" s="1669">
        <f>SUM(D330)</f>
        <v>15015</v>
      </c>
      <c r="E342" s="1669">
        <f>SUM(E330)</f>
        <v>94367</v>
      </c>
      <c r="F342" s="1669">
        <f>SUM(F330)</f>
        <v>1279</v>
      </c>
      <c r="G342" s="1669">
        <f>SUM(G330)</f>
        <v>0</v>
      </c>
      <c r="H342" s="1669">
        <f>SUM(H330,H334,H340)</f>
        <v>0</v>
      </c>
      <c r="I342" s="1669">
        <f>SUM(I330)</f>
        <v>0</v>
      </c>
      <c r="J342" s="1669">
        <f>SUM(J330)</f>
        <v>0</v>
      </c>
      <c r="K342" s="1669">
        <f>SUM(K330,K334,K340)</f>
        <v>176977</v>
      </c>
      <c r="L342" s="1676">
        <f>SUM(L330,L340,L341)</f>
        <v>199000</v>
      </c>
    </row>
    <row r="343" spans="1:14" ht="12.75" customHeight="1" thickTop="1" x14ac:dyDescent="0.2">
      <c r="A343" s="2169" t="s">
        <v>996</v>
      </c>
      <c r="B343" s="2170"/>
      <c r="C343" s="616"/>
      <c r="D343" s="616"/>
      <c r="E343" s="616"/>
      <c r="F343" s="616"/>
      <c r="G343" s="616"/>
      <c r="H343" s="616"/>
      <c r="I343" s="616"/>
      <c r="J343" s="616"/>
      <c r="K343" s="1683">
        <f>'Revenues 9-14'!J268-'Expenditures 15-22'!K342</f>
        <v>404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9" t="s">
        <v>966</v>
      </c>
      <c r="B345" s="2160"/>
      <c r="C345" s="1550"/>
      <c r="D345" s="1551"/>
      <c r="E345" s="1551"/>
      <c r="F345" s="1551"/>
      <c r="G345" s="1551"/>
      <c r="H345" s="1551"/>
      <c r="I345" s="1551"/>
      <c r="J345" s="1551"/>
      <c r="K345" s="1551"/>
      <c r="L345" s="1552"/>
      <c r="M345" s="667"/>
      <c r="N345" s="667"/>
    </row>
    <row r="346" spans="1:14" s="343" customFormat="1" ht="15.75" customHeight="1" x14ac:dyDescent="0.2">
      <c r="A346" s="1622" t="s">
        <v>844</v>
      </c>
      <c r="B346" s="1614"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row>
    <row r="349" spans="1:14" x14ac:dyDescent="0.2">
      <c r="A349" s="1503" t="s">
        <v>197</v>
      </c>
      <c r="B349" s="614">
        <v>2540</v>
      </c>
      <c r="C349" s="466"/>
      <c r="D349" s="466"/>
      <c r="E349" s="466"/>
      <c r="F349" s="466"/>
      <c r="G349" s="466"/>
      <c r="H349" s="466"/>
      <c r="I349" s="467"/>
      <c r="J349" s="467"/>
      <c r="K349" s="1670">
        <f>SUM(C349:J349)</f>
        <v>0</v>
      </c>
      <c r="L349" s="466"/>
    </row>
    <row r="350" spans="1:14" ht="12.75" customHeight="1" thickBot="1" x14ac:dyDescent="0.25">
      <c r="A350" s="1667" t="s">
        <v>719</v>
      </c>
      <c r="B350" s="1668" t="s">
        <v>35</v>
      </c>
      <c r="C350" s="1669">
        <f>SUM(C348:C349)</f>
        <v>0</v>
      </c>
      <c r="D350" s="1669">
        <f t="shared" ref="D350:L350" si="26">SUM(D348:D349)</f>
        <v>0</v>
      </c>
      <c r="E350" s="1669">
        <f t="shared" si="26"/>
        <v>0</v>
      </c>
      <c r="F350" s="1669">
        <f t="shared" si="26"/>
        <v>0</v>
      </c>
      <c r="G350" s="1669">
        <f t="shared" si="26"/>
        <v>0</v>
      </c>
      <c r="H350" s="1669">
        <f t="shared" si="26"/>
        <v>0</v>
      </c>
      <c r="I350" s="1669">
        <f t="shared" si="26"/>
        <v>0</v>
      </c>
      <c r="J350" s="1669">
        <f t="shared" si="26"/>
        <v>0</v>
      </c>
      <c r="K350" s="1669">
        <f t="shared" si="26"/>
        <v>0</v>
      </c>
      <c r="L350" s="1669">
        <f t="shared" si="26"/>
        <v>0</v>
      </c>
    </row>
    <row r="351" spans="1:14" ht="12.75" customHeight="1" thickTop="1" x14ac:dyDescent="0.2">
      <c r="A351" s="1509"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0</v>
      </c>
      <c r="F352" s="1669">
        <f t="shared" si="27"/>
        <v>0</v>
      </c>
      <c r="G352" s="1669">
        <f t="shared" si="27"/>
        <v>0</v>
      </c>
      <c r="H352" s="1669">
        <f t="shared" si="27"/>
        <v>0</v>
      </c>
      <c r="I352" s="1669">
        <f t="shared" si="27"/>
        <v>0</v>
      </c>
      <c r="J352" s="1669">
        <f t="shared" si="27"/>
        <v>0</v>
      </c>
      <c r="K352" s="1669">
        <f t="shared" si="27"/>
        <v>0</v>
      </c>
      <c r="L352" s="1669">
        <f t="shared" si="27"/>
        <v>0</v>
      </c>
    </row>
    <row r="353" spans="1:14" s="343" customFormat="1" ht="15.75" customHeight="1" thickTop="1" x14ac:dyDescent="0.2">
      <c r="A353" s="1611" t="s">
        <v>625</v>
      </c>
      <c r="B353" s="1608" t="s">
        <v>860</v>
      </c>
      <c r="C353" s="616"/>
      <c r="D353" s="616"/>
      <c r="E353" s="616"/>
      <c r="F353" s="616"/>
      <c r="G353" s="616"/>
      <c r="H353" s="616"/>
      <c r="I353" s="616"/>
      <c r="J353" s="616"/>
      <c r="K353" s="616"/>
      <c r="L353" s="616"/>
      <c r="M353" s="609"/>
      <c r="N353" s="609"/>
    </row>
    <row r="354" spans="1:14" x14ac:dyDescent="0.2">
      <c r="A354" s="1833" t="s">
        <v>1853</v>
      </c>
      <c r="B354" s="683" t="s">
        <v>1845</v>
      </c>
      <c r="C354" s="616"/>
      <c r="D354" s="616"/>
      <c r="E354" s="616"/>
      <c r="F354" s="616"/>
      <c r="G354" s="616"/>
      <c r="H354" s="474"/>
      <c r="I354" s="701"/>
      <c r="J354" s="616"/>
      <c r="K354" s="1698">
        <f>H354</f>
        <v>0</v>
      </c>
      <c r="L354" s="471"/>
    </row>
    <row r="355" spans="1:14" ht="12.75" customHeight="1" x14ac:dyDescent="0.2">
      <c r="A355" s="1512" t="s">
        <v>1854</v>
      </c>
      <c r="B355" s="690" t="s">
        <v>1847</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948</v>
      </c>
      <c r="B358" s="1608"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45" customHeight="1" x14ac:dyDescent="0.2">
      <c r="A364" s="702" t="s">
        <v>1672</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590</v>
      </c>
      <c r="B365" s="659" t="s">
        <v>492</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949</v>
      </c>
      <c r="B366" s="1612"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0</v>
      </c>
      <c r="F367" s="1669">
        <f t="shared" si="28"/>
        <v>0</v>
      </c>
      <c r="G367" s="1669">
        <f t="shared" si="28"/>
        <v>0</v>
      </c>
      <c r="H367" s="1669">
        <f t="shared" si="28"/>
        <v>0</v>
      </c>
      <c r="I367" s="1669">
        <f t="shared" si="28"/>
        <v>0</v>
      </c>
      <c r="J367" s="1669">
        <f t="shared" si="28"/>
        <v>0</v>
      </c>
      <c r="K367" s="1669">
        <f t="shared" si="28"/>
        <v>0</v>
      </c>
      <c r="L367" s="1669">
        <f t="shared" si="28"/>
        <v>0</v>
      </c>
    </row>
    <row r="368" spans="1:14" ht="13.5" thickTop="1" x14ac:dyDescent="0.2">
      <c r="A368" s="2156" t="s">
        <v>996</v>
      </c>
      <c r="B368" s="2157"/>
      <c r="C368" s="654"/>
      <c r="D368" s="654"/>
      <c r="E368" s="626"/>
      <c r="F368" s="626"/>
      <c r="G368" s="626"/>
      <c r="H368" s="626"/>
      <c r="I368" s="626"/>
      <c r="J368" s="623"/>
      <c r="K368" s="1670">
        <f>'Revenues 9-14'!K268-'Expenditures 15-22'!K367</f>
        <v>23887</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&amp;L&amp;8Notes to Financial Statements are an integral part of this statement.
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X26" sqref="X26"/>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950000000000003" customHeight="1" x14ac:dyDescent="0.2">
      <c r="A2" s="2183" t="s">
        <v>1802</v>
      </c>
      <c r="B2" s="1527" t="s">
        <v>1951</v>
      </c>
      <c r="C2" s="714" t="s">
        <v>1952</v>
      </c>
      <c r="D2" s="714" t="s">
        <v>1953</v>
      </c>
      <c r="E2" s="714" t="s">
        <v>1954</v>
      </c>
      <c r="F2" s="714" t="s">
        <v>1955</v>
      </c>
    </row>
    <row r="3" spans="1:6" ht="12" customHeight="1" x14ac:dyDescent="0.2">
      <c r="A3" s="2184"/>
      <c r="B3" s="1524"/>
      <c r="C3" s="1525"/>
      <c r="D3" s="1526" t="s">
        <v>256</v>
      </c>
      <c r="E3" s="1525"/>
      <c r="F3" s="1526" t="s">
        <v>257</v>
      </c>
    </row>
    <row r="4" spans="1:6" ht="13.7" customHeight="1" x14ac:dyDescent="0.2">
      <c r="A4" s="715" t="s">
        <v>1155</v>
      </c>
      <c r="B4" s="1748">
        <f>'Revenues 9-14'!C5</f>
        <v>494417</v>
      </c>
      <c r="C4" s="1523"/>
      <c r="D4" s="1751">
        <f>B4-C4</f>
        <v>494417</v>
      </c>
      <c r="E4" s="1523">
        <v>533308</v>
      </c>
      <c r="F4" s="1751">
        <f>E4-C4</f>
        <v>533308</v>
      </c>
    </row>
    <row r="5" spans="1:6" ht="13.7" customHeight="1" x14ac:dyDescent="0.2">
      <c r="A5" s="715" t="s">
        <v>870</v>
      </c>
      <c r="B5" s="1749">
        <f>'Revenues 9-14'!D5</f>
        <v>117718</v>
      </c>
      <c r="C5" s="585"/>
      <c r="D5" s="1752">
        <f t="shared" ref="D5:D18" si="0">B5-C5</f>
        <v>117718</v>
      </c>
      <c r="E5" s="585">
        <v>126978</v>
      </c>
      <c r="F5" s="1752">
        <f>E5-C5</f>
        <v>126978</v>
      </c>
    </row>
    <row r="6" spans="1:6" ht="13.7" customHeight="1" x14ac:dyDescent="0.2">
      <c r="A6" s="715" t="s">
        <v>411</v>
      </c>
      <c r="B6" s="1749">
        <f>'Revenues 9-14'!E5</f>
        <v>43684</v>
      </c>
      <c r="C6" s="585"/>
      <c r="D6" s="1752">
        <f t="shared" si="0"/>
        <v>43684</v>
      </c>
      <c r="E6" s="585">
        <v>42032</v>
      </c>
      <c r="F6" s="1752">
        <f t="shared" ref="F6:F18" si="1">E6-C6</f>
        <v>42032</v>
      </c>
    </row>
    <row r="7" spans="1:6" ht="13.7" customHeight="1" x14ac:dyDescent="0.2">
      <c r="A7" s="715" t="s">
        <v>155</v>
      </c>
      <c r="B7" s="1749">
        <f>'Revenues 9-14'!F5</f>
        <v>56504</v>
      </c>
      <c r="C7" s="585"/>
      <c r="D7" s="1752">
        <f t="shared" si="0"/>
        <v>56504</v>
      </c>
      <c r="E7" s="585">
        <v>60950</v>
      </c>
      <c r="F7" s="1752">
        <f t="shared" si="1"/>
        <v>60950</v>
      </c>
    </row>
    <row r="8" spans="1:6" ht="13.7" customHeight="1" x14ac:dyDescent="0.2">
      <c r="A8" s="715" t="s">
        <v>1179</v>
      </c>
      <c r="B8" s="1749">
        <f>'Revenues 9-14'!G5</f>
        <v>70247</v>
      </c>
      <c r="C8" s="585"/>
      <c r="D8" s="1752">
        <f t="shared" si="0"/>
        <v>70247</v>
      </c>
      <c r="E8" s="585">
        <v>60584</v>
      </c>
      <c r="F8" s="1752">
        <f t="shared" si="1"/>
        <v>60584</v>
      </c>
    </row>
    <row r="9" spans="1:6" ht="13.7" customHeight="1" x14ac:dyDescent="0.2">
      <c r="A9" s="715" t="s">
        <v>408</v>
      </c>
      <c r="B9" s="1749">
        <f>'Revenues 9-14'!H5</f>
        <v>0</v>
      </c>
      <c r="C9" s="585"/>
      <c r="D9" s="1752">
        <f t="shared" si="0"/>
        <v>0</v>
      </c>
      <c r="E9" s="585"/>
      <c r="F9" s="1752">
        <f t="shared" si="1"/>
        <v>0</v>
      </c>
    </row>
    <row r="10" spans="1:6" ht="13.7" customHeight="1" x14ac:dyDescent="0.2">
      <c r="A10" s="715" t="s">
        <v>407</v>
      </c>
      <c r="B10" s="1749">
        <f>'Revenues 9-14'!I5</f>
        <v>11771</v>
      </c>
      <c r="C10" s="585"/>
      <c r="D10" s="1752">
        <f t="shared" si="0"/>
        <v>11771</v>
      </c>
      <c r="E10" s="585">
        <v>12698</v>
      </c>
      <c r="F10" s="1752">
        <f t="shared" si="1"/>
        <v>12698</v>
      </c>
    </row>
    <row r="11" spans="1:6" x14ac:dyDescent="0.2">
      <c r="A11" s="715" t="s">
        <v>409</v>
      </c>
      <c r="B11" s="1749">
        <f>'Revenues 9-14'!J5</f>
        <v>174553</v>
      </c>
      <c r="C11" s="585"/>
      <c r="D11" s="1752">
        <f t="shared" si="0"/>
        <v>174553</v>
      </c>
      <c r="E11" s="585">
        <v>186800</v>
      </c>
      <c r="F11" s="1752">
        <f t="shared" si="1"/>
        <v>186800</v>
      </c>
    </row>
    <row r="12" spans="1:6" ht="13.7" customHeight="1" x14ac:dyDescent="0.2">
      <c r="A12" s="715" t="s">
        <v>157</v>
      </c>
      <c r="B12" s="1749">
        <f>'Revenues 9-14'!K5</f>
        <v>23544</v>
      </c>
      <c r="C12" s="585"/>
      <c r="D12" s="1752">
        <f t="shared" si="0"/>
        <v>23544</v>
      </c>
      <c r="E12" s="585">
        <v>25396</v>
      </c>
      <c r="F12" s="1752">
        <f t="shared" si="1"/>
        <v>25396</v>
      </c>
    </row>
    <row r="13" spans="1:6" ht="13.7" customHeight="1" x14ac:dyDescent="0.2">
      <c r="A13" s="715" t="s">
        <v>936</v>
      </c>
      <c r="B13" s="1749">
        <f>SUM('Revenues 9-14'!C6:D6)</f>
        <v>10232</v>
      </c>
      <c r="C13" s="585"/>
      <c r="D13" s="1752">
        <f t="shared" si="0"/>
        <v>10232</v>
      </c>
      <c r="E13" s="585">
        <v>12698</v>
      </c>
      <c r="F13" s="1752">
        <f t="shared" si="1"/>
        <v>12698</v>
      </c>
    </row>
    <row r="14" spans="1:6" ht="13.7" customHeight="1" x14ac:dyDescent="0.2">
      <c r="A14" s="715" t="s">
        <v>410</v>
      </c>
      <c r="B14" s="1749">
        <f>SUM('Revenues 9-14'!C7:D7,'Revenues 9-14'!F7:H7)</f>
        <v>9417</v>
      </c>
      <c r="C14" s="585"/>
      <c r="D14" s="1752">
        <f t="shared" si="0"/>
        <v>9417</v>
      </c>
      <c r="E14" s="585">
        <v>10158</v>
      </c>
      <c r="F14" s="1752">
        <f t="shared" si="1"/>
        <v>10158</v>
      </c>
    </row>
    <row r="15" spans="1:6" ht="13.7" customHeight="1" x14ac:dyDescent="0.2">
      <c r="A15" s="715" t="s">
        <v>1158</v>
      </c>
      <c r="B15" s="1749">
        <f>SUM('Revenues 9-14'!D9:E9,'Revenues 9-14'!H9)</f>
        <v>0</v>
      </c>
      <c r="C15" s="585"/>
      <c r="D15" s="1752">
        <f t="shared" si="0"/>
        <v>0</v>
      </c>
      <c r="E15" s="585"/>
      <c r="F15" s="1752">
        <f t="shared" si="1"/>
        <v>0</v>
      </c>
    </row>
    <row r="16" spans="1:6" ht="13.7" customHeight="1" x14ac:dyDescent="0.2">
      <c r="A16" s="715" t="s">
        <v>1159</v>
      </c>
      <c r="B16" s="1749">
        <f>'Revenues 9-14'!G8</f>
        <v>60199</v>
      </c>
      <c r="C16" s="585"/>
      <c r="D16" s="1752">
        <f t="shared" si="0"/>
        <v>60199</v>
      </c>
      <c r="E16" s="585">
        <v>65633</v>
      </c>
      <c r="F16" s="1752">
        <f t="shared" si="1"/>
        <v>65633</v>
      </c>
    </row>
    <row r="17" spans="1:6" ht="13.7" customHeight="1" x14ac:dyDescent="0.2">
      <c r="A17" s="715" t="s">
        <v>1160</v>
      </c>
      <c r="B17" s="1749">
        <f>'Revenues 9-14'!C10</f>
        <v>0</v>
      </c>
      <c r="C17" s="585"/>
      <c r="D17" s="1752">
        <f t="shared" si="0"/>
        <v>0</v>
      </c>
      <c r="E17" s="585"/>
      <c r="F17" s="1752">
        <f t="shared" si="1"/>
        <v>0</v>
      </c>
    </row>
    <row r="18" spans="1:6" ht="13.7" customHeight="1" x14ac:dyDescent="0.2">
      <c r="A18" s="715" t="s">
        <v>762</v>
      </c>
      <c r="B18" s="1749">
        <f>SUM('Revenues 9-14'!C11:K11)</f>
        <v>0</v>
      </c>
      <c r="C18" s="585"/>
      <c r="D18" s="1752">
        <f t="shared" si="0"/>
        <v>0</v>
      </c>
      <c r="E18" s="585"/>
      <c r="F18" s="1752">
        <f t="shared" si="1"/>
        <v>0</v>
      </c>
    </row>
    <row r="19" spans="1:6" ht="13.7" customHeight="1" thickBot="1" x14ac:dyDescent="0.25">
      <c r="A19" s="1753" t="s">
        <v>1161</v>
      </c>
      <c r="B19" s="1750">
        <f>SUM(B4:B18)</f>
        <v>1072286</v>
      </c>
      <c r="C19" s="1750">
        <f>SUM(C4:C18)</f>
        <v>0</v>
      </c>
      <c r="D19" s="1750">
        <f>SUM(D4:D18)</f>
        <v>1072286</v>
      </c>
      <c r="E19" s="1750">
        <f>SUM(E4:E18)</f>
        <v>1137235</v>
      </c>
      <c r="F19" s="1750">
        <f>SUM(F4:F18)</f>
        <v>1137235</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X26" sqref="X26"/>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2" customHeight="1" x14ac:dyDescent="0.2">
      <c r="A1" s="2205" t="s">
        <v>629</v>
      </c>
      <c r="B1" s="2203"/>
      <c r="C1" s="721"/>
    </row>
    <row r="2" spans="1:7" ht="33.75" x14ac:dyDescent="0.2">
      <c r="A2" s="2210" t="s">
        <v>1802</v>
      </c>
      <c r="B2" s="2211"/>
      <c r="C2" s="1883" t="s">
        <v>1956</v>
      </c>
      <c r="D2" s="723" t="s">
        <v>1957</v>
      </c>
      <c r="E2" s="723" t="s">
        <v>1958</v>
      </c>
      <c r="F2" s="1883" t="s">
        <v>1959</v>
      </c>
    </row>
    <row r="3" spans="1:7" ht="15.75" customHeight="1" x14ac:dyDescent="0.2">
      <c r="A3" s="2212" t="s">
        <v>1114</v>
      </c>
      <c r="B3" s="2213"/>
      <c r="C3" s="2206"/>
      <c r="D3" s="2207"/>
      <c r="E3" s="2207"/>
      <c r="F3" s="2208"/>
    </row>
    <row r="4" spans="1:7" ht="12.75" customHeight="1" thickBot="1" x14ac:dyDescent="0.25">
      <c r="A4" s="2200" t="s">
        <v>630</v>
      </c>
      <c r="B4" s="2201"/>
      <c r="C4" s="581"/>
      <c r="D4" s="581"/>
      <c r="E4" s="581"/>
      <c r="F4" s="1754">
        <f>SUM(C4+D4)-E4</f>
        <v>0</v>
      </c>
    </row>
    <row r="5" spans="1:7" ht="15.75" customHeight="1" thickTop="1" x14ac:dyDescent="0.2">
      <c r="A5" s="2204" t="s">
        <v>1110</v>
      </c>
      <c r="B5" s="2199"/>
      <c r="C5" s="2193"/>
      <c r="D5" s="2194"/>
      <c r="E5" s="2194"/>
      <c r="F5" s="2195"/>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196" t="s">
        <v>631</v>
      </c>
      <c r="B15" s="2197"/>
      <c r="C15" s="1754">
        <f>SUM(C6:C14)</f>
        <v>0</v>
      </c>
      <c r="D15" s="1754">
        <f>SUM(D6:D14)</f>
        <v>0</v>
      </c>
      <c r="E15" s="1754">
        <f>SUM(E6:E14)</f>
        <v>0</v>
      </c>
      <c r="F15" s="1754">
        <f>SUM(F6:F14)</f>
        <v>0</v>
      </c>
      <c r="G15" s="552"/>
    </row>
    <row r="16" spans="1:7" s="202" customFormat="1" ht="15.75" customHeight="1" thickTop="1" x14ac:dyDescent="0.2">
      <c r="A16" s="2209" t="s">
        <v>1111</v>
      </c>
      <c r="B16" s="2199"/>
      <c r="C16" s="2193"/>
      <c r="D16" s="2194"/>
      <c r="E16" s="2194"/>
      <c r="F16" s="2195"/>
    </row>
    <row r="17" spans="1:11" ht="12.75" customHeight="1" thickBot="1" x14ac:dyDescent="0.25">
      <c r="A17" s="2191" t="s">
        <v>64</v>
      </c>
      <c r="B17" s="2192"/>
      <c r="C17" s="726"/>
      <c r="D17" s="585"/>
      <c r="E17" s="726"/>
      <c r="F17" s="1754">
        <f>SUM(C17+D17)-E17</f>
        <v>0</v>
      </c>
    </row>
    <row r="18" spans="1:11" ht="12.75" customHeight="1" thickTop="1" thickBot="1" x14ac:dyDescent="0.25">
      <c r="A18" s="2191" t="s">
        <v>6</v>
      </c>
      <c r="B18" s="2192"/>
      <c r="C18" s="726"/>
      <c r="D18" s="585"/>
      <c r="E18" s="726"/>
      <c r="F18" s="1754">
        <f>SUM(C18+D18)-E18</f>
        <v>0</v>
      </c>
    </row>
    <row r="19" spans="1:11" ht="12.75" customHeight="1" thickTop="1" thickBot="1" x14ac:dyDescent="0.25">
      <c r="A19" s="2191" t="s">
        <v>388</v>
      </c>
      <c r="B19" s="2192"/>
      <c r="C19" s="726"/>
      <c r="D19" s="585"/>
      <c r="E19" s="726"/>
      <c r="F19" s="1754">
        <f>SUM(C19+D19)-E19</f>
        <v>0</v>
      </c>
    </row>
    <row r="20" spans="1:11" ht="12.75" customHeight="1" thickTop="1" thickBot="1" x14ac:dyDescent="0.25">
      <c r="A20" s="2191" t="s">
        <v>448</v>
      </c>
      <c r="B20" s="2192"/>
      <c r="C20" s="726"/>
      <c r="D20" s="585"/>
      <c r="E20" s="726"/>
      <c r="F20" s="1754">
        <f>SUM(C20+D20)-E20</f>
        <v>0</v>
      </c>
    </row>
    <row r="21" spans="1:11" ht="14.25" thickTop="1" thickBot="1" x14ac:dyDescent="0.25">
      <c r="A21" s="2196" t="s">
        <v>632</v>
      </c>
      <c r="B21" s="2197"/>
      <c r="C21" s="1754">
        <f>SUM(C17:C20)</f>
        <v>0</v>
      </c>
      <c r="D21" s="1754">
        <f>SUM(D17:D20)</f>
        <v>0</v>
      </c>
      <c r="E21" s="1754">
        <f>SUM(E17:E20)</f>
        <v>0</v>
      </c>
      <c r="F21" s="1754">
        <f>SUM(F17:F20)</f>
        <v>0</v>
      </c>
      <c r="G21" s="552"/>
    </row>
    <row r="22" spans="1:11" ht="15.75" customHeight="1" thickTop="1" x14ac:dyDescent="0.2">
      <c r="A22" s="2198" t="s">
        <v>1112</v>
      </c>
      <c r="B22" s="2199"/>
      <c r="C22" s="2193"/>
      <c r="D22" s="2194"/>
      <c r="E22" s="2194"/>
      <c r="F22" s="2195"/>
    </row>
    <row r="23" spans="1:11" ht="13.5" thickBot="1" x14ac:dyDescent="0.25">
      <c r="A23" s="2200" t="s">
        <v>633</v>
      </c>
      <c r="B23" s="2201"/>
      <c r="C23" s="581"/>
      <c r="D23" s="581"/>
      <c r="E23" s="581"/>
      <c r="F23" s="1754">
        <f>SUM(C23+D23)-E23</f>
        <v>0</v>
      </c>
      <c r="G23" s="552"/>
    </row>
    <row r="24" spans="1:11" ht="15.75" customHeight="1" thickTop="1" x14ac:dyDescent="0.2">
      <c r="A24" s="2198" t="s">
        <v>1113</v>
      </c>
      <c r="B24" s="2199"/>
      <c r="C24" s="2193"/>
      <c r="D24" s="2194"/>
      <c r="E24" s="2194"/>
      <c r="F24" s="2195"/>
    </row>
    <row r="25" spans="1:11" ht="13.5" thickBot="1" x14ac:dyDescent="0.25">
      <c r="A25" s="2200" t="s">
        <v>634</v>
      </c>
      <c r="B25" s="2201"/>
      <c r="C25" s="581"/>
      <c r="D25" s="581"/>
      <c r="E25" s="581"/>
      <c r="F25" s="1754">
        <f>SUM(C25+D25)-E25</f>
        <v>0</v>
      </c>
      <c r="G25" s="552"/>
    </row>
    <row r="26" spans="1:11" ht="15.75" customHeight="1" thickTop="1" x14ac:dyDescent="0.2">
      <c r="A26" s="2204" t="s">
        <v>657</v>
      </c>
      <c r="B26" s="2199"/>
      <c r="C26" s="727"/>
      <c r="D26" s="727"/>
      <c r="E26" s="727"/>
      <c r="F26" s="728"/>
    </row>
    <row r="27" spans="1:11" ht="13.5" thickBot="1" x14ac:dyDescent="0.25">
      <c r="A27" s="2196" t="s">
        <v>1070</v>
      </c>
      <c r="B27" s="2197"/>
      <c r="C27" s="585"/>
      <c r="D27" s="585"/>
      <c r="E27" s="585"/>
      <c r="F27" s="1754">
        <f>SUM(C27+D27)-E27</f>
        <v>0</v>
      </c>
      <c r="G27" s="552"/>
    </row>
    <row r="28" spans="1:11" ht="7.5" customHeight="1" thickTop="1" x14ac:dyDescent="0.2">
      <c r="A28" s="593"/>
    </row>
    <row r="29" spans="1:11" ht="23.25" customHeight="1" x14ac:dyDescent="0.2">
      <c r="A29" s="2202" t="s">
        <v>582</v>
      </c>
      <c r="B29" s="2203"/>
      <c r="C29" s="729"/>
      <c r="D29" s="729"/>
      <c r="E29" s="729"/>
      <c r="F29" s="729"/>
      <c r="G29" s="729"/>
      <c r="H29" s="729"/>
      <c r="I29" s="729"/>
      <c r="J29" s="729"/>
    </row>
    <row r="30" spans="1:11" ht="33.75" x14ac:dyDescent="0.2">
      <c r="A30" s="1528" t="s">
        <v>1071</v>
      </c>
      <c r="B30" s="730" t="s">
        <v>1124</v>
      </c>
      <c r="C30" s="1884" t="s">
        <v>583</v>
      </c>
      <c r="D30" s="1884" t="s">
        <v>1673</v>
      </c>
      <c r="E30" s="1884" t="s">
        <v>1960</v>
      </c>
      <c r="F30" s="1884" t="s">
        <v>1961</v>
      </c>
      <c r="G30" s="1884" t="s">
        <v>1911</v>
      </c>
      <c r="H30" s="1884" t="s">
        <v>1962</v>
      </c>
      <c r="I30" s="1884" t="s">
        <v>1963</v>
      </c>
      <c r="J30" s="1885" t="s">
        <v>2</v>
      </c>
      <c r="K30" s="731"/>
    </row>
    <row r="31" spans="1:11" ht="12" customHeight="1" x14ac:dyDescent="0.2">
      <c r="A31" s="732" t="s">
        <v>2081</v>
      </c>
      <c r="B31" s="733">
        <v>40603</v>
      </c>
      <c r="C31" s="734">
        <v>325000</v>
      </c>
      <c r="D31" s="735">
        <v>1</v>
      </c>
      <c r="E31" s="734">
        <v>185000</v>
      </c>
      <c r="F31" s="734"/>
      <c r="G31" s="734"/>
      <c r="H31" s="734">
        <v>35000</v>
      </c>
      <c r="I31" s="1755">
        <f>((E31+F31)-H31)+G31</f>
        <v>150000</v>
      </c>
      <c r="J31" s="734">
        <v>135930</v>
      </c>
      <c r="K31" s="736"/>
    </row>
    <row r="32" spans="1:11" ht="12" customHeight="1" x14ac:dyDescent="0.2">
      <c r="A32" s="732" t="s">
        <v>2082</v>
      </c>
      <c r="B32" s="733">
        <v>41913</v>
      </c>
      <c r="C32" s="734">
        <v>80251</v>
      </c>
      <c r="D32" s="735">
        <v>7</v>
      </c>
      <c r="E32" s="734">
        <v>16601</v>
      </c>
      <c r="F32" s="734"/>
      <c r="G32" s="734"/>
      <c r="H32" s="734">
        <v>16601</v>
      </c>
      <c r="I32" s="1755">
        <f>((E32+F32)-H32)+G32</f>
        <v>0</v>
      </c>
      <c r="J32" s="734"/>
      <c r="K32" s="736"/>
    </row>
    <row r="33" spans="1:11" ht="12" customHeight="1" x14ac:dyDescent="0.2">
      <c r="A33" s="732"/>
      <c r="B33" s="733"/>
      <c r="C33" s="734"/>
      <c r="D33" s="735"/>
      <c r="E33" s="734"/>
      <c r="F33" s="734"/>
      <c r="G33" s="734"/>
      <c r="H33" s="734"/>
      <c r="I33" s="1755">
        <f t="shared" ref="I33:I48" si="1">((E33+F33)-H33)+G33</f>
        <v>0</v>
      </c>
      <c r="J33" s="734"/>
      <c r="K33" s="736"/>
    </row>
    <row r="34" spans="1:11" ht="12" customHeight="1" x14ac:dyDescent="0.2">
      <c r="A34" s="732"/>
      <c r="B34" s="733"/>
      <c r="C34" s="734"/>
      <c r="D34" s="735"/>
      <c r="E34" s="734"/>
      <c r="F34" s="734"/>
      <c r="G34" s="734"/>
      <c r="H34" s="734"/>
      <c r="I34" s="1755">
        <f t="shared" si="1"/>
        <v>0</v>
      </c>
      <c r="J34" s="734"/>
      <c r="K34" s="737"/>
    </row>
    <row r="35" spans="1:11" ht="12" customHeight="1" x14ac:dyDescent="0.2">
      <c r="A35" s="732"/>
      <c r="B35" s="733"/>
      <c r="C35" s="738"/>
      <c r="D35" s="735"/>
      <c r="E35" s="738"/>
      <c r="F35" s="738"/>
      <c r="G35" s="738"/>
      <c r="H35" s="738"/>
      <c r="I35" s="1755">
        <f t="shared" si="1"/>
        <v>0</v>
      </c>
      <c r="J35" s="738"/>
      <c r="K35" s="737"/>
    </row>
    <row r="36" spans="1:11" ht="12" customHeight="1" x14ac:dyDescent="0.2">
      <c r="A36" s="732"/>
      <c r="B36" s="733"/>
      <c r="C36" s="734"/>
      <c r="D36" s="735"/>
      <c r="E36" s="734"/>
      <c r="F36" s="734"/>
      <c r="G36" s="734"/>
      <c r="H36" s="734"/>
      <c r="I36" s="1755">
        <f t="shared" si="1"/>
        <v>0</v>
      </c>
      <c r="J36" s="734"/>
      <c r="K36" s="739"/>
    </row>
    <row r="37" spans="1:11" ht="12" customHeight="1" x14ac:dyDescent="0.2">
      <c r="A37" s="732"/>
      <c r="B37" s="733"/>
      <c r="C37" s="467"/>
      <c r="D37" s="740"/>
      <c r="E37" s="467"/>
      <c r="F37" s="467"/>
      <c r="G37" s="467"/>
      <c r="H37" s="467"/>
      <c r="I37" s="1755">
        <f t="shared" si="1"/>
        <v>0</v>
      </c>
      <c r="J37" s="467"/>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405251</v>
      </c>
      <c r="D49" s="745"/>
      <c r="E49" s="1755">
        <f t="shared" ref="E49:J49" si="2">SUM(E31:E48)</f>
        <v>201601</v>
      </c>
      <c r="F49" s="1755">
        <f t="shared" si="2"/>
        <v>0</v>
      </c>
      <c r="G49" s="1755">
        <f t="shared" si="2"/>
        <v>0</v>
      </c>
      <c r="H49" s="1755">
        <f t="shared" si="2"/>
        <v>51601</v>
      </c>
      <c r="I49" s="1755">
        <f t="shared" si="2"/>
        <v>150000</v>
      </c>
      <c r="J49" s="1755">
        <f t="shared" si="2"/>
        <v>135930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45" customHeight="1" x14ac:dyDescent="0.2">
      <c r="A52" s="748" t="s">
        <v>912</v>
      </c>
      <c r="B52" s="2185" t="s">
        <v>584</v>
      </c>
      <c r="C52" s="2186"/>
      <c r="D52" s="2186"/>
      <c r="E52" s="749" t="s">
        <v>845</v>
      </c>
      <c r="F52" s="2187" t="s">
        <v>2083</v>
      </c>
      <c r="G52" s="2188"/>
      <c r="H52" s="736"/>
      <c r="I52" s="736"/>
      <c r="J52" s="746"/>
    </row>
    <row r="53" spans="1:11" ht="11.45" customHeight="1" x14ac:dyDescent="0.2">
      <c r="A53" s="750" t="s">
        <v>913</v>
      </c>
      <c r="B53" s="751" t="s">
        <v>951</v>
      </c>
      <c r="C53" s="746"/>
      <c r="D53" s="737"/>
      <c r="E53" s="749" t="s">
        <v>497</v>
      </c>
      <c r="F53" s="2189"/>
      <c r="G53" s="2190"/>
      <c r="H53" s="736"/>
      <c r="I53" s="736"/>
      <c r="J53" s="746"/>
    </row>
    <row r="54" spans="1:11" ht="11.45" customHeight="1" x14ac:dyDescent="0.2">
      <c r="A54" s="752" t="s">
        <v>914</v>
      </c>
      <c r="B54" s="747" t="s">
        <v>952</v>
      </c>
      <c r="C54" s="746"/>
      <c r="D54" s="737"/>
      <c r="E54" s="749" t="s">
        <v>498</v>
      </c>
      <c r="F54" s="2189"/>
      <c r="G54" s="2190"/>
      <c r="H54" s="736"/>
      <c r="I54" s="736"/>
      <c r="J54" s="746"/>
    </row>
    <row r="55" spans="1:11" ht="6" customHeight="1" x14ac:dyDescent="0.2">
      <c r="A55" s="737"/>
      <c r="B55" s="753"/>
      <c r="C55" s="754"/>
      <c r="D55" s="755"/>
      <c r="E55" s="756"/>
      <c r="F55" s="757"/>
      <c r="G55" s="746"/>
      <c r="H55" s="736"/>
      <c r="I55" s="736"/>
      <c r="J55" s="746"/>
    </row>
    <row r="56" spans="1:11" ht="11.45" customHeight="1" x14ac:dyDescent="0.2">
      <c r="A56" s="753"/>
      <c r="B56" s="758"/>
      <c r="C56" s="737"/>
      <c r="D56" s="737"/>
      <c r="E56" s="737"/>
      <c r="F56" s="737"/>
      <c r="G56" s="736"/>
      <c r="H56" s="736"/>
      <c r="I56" s="736"/>
      <c r="J56" s="746"/>
    </row>
    <row r="57" spans="1:11" ht="11.45" customHeight="1" x14ac:dyDescent="0.2">
      <c r="A57" s="737"/>
      <c r="B57" s="759"/>
      <c r="C57" s="737"/>
      <c r="D57" s="737"/>
      <c r="E57" s="737"/>
      <c r="F57" s="737"/>
      <c r="G57" s="736"/>
      <c r="H57" s="736"/>
      <c r="I57" s="736"/>
      <c r="J57" s="746"/>
    </row>
    <row r="58" spans="1:11" ht="11.45" customHeight="1" x14ac:dyDescent="0.2">
      <c r="A58" s="753"/>
      <c r="B58" s="758"/>
      <c r="C58" s="737"/>
      <c r="D58" s="737"/>
      <c r="E58" s="737"/>
      <c r="F58" s="737"/>
      <c r="G58" s="736"/>
      <c r="H58" s="736"/>
      <c r="I58" s="736"/>
      <c r="J58" s="746"/>
    </row>
    <row r="59" spans="1:11" ht="11.4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X26" sqref="X2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4" t="s">
        <v>856</v>
      </c>
      <c r="B1" s="2215"/>
      <c r="C1" s="2215"/>
      <c r="D1" s="2215"/>
      <c r="E1" s="2215"/>
      <c r="F1" s="2215"/>
      <c r="G1" s="2216"/>
      <c r="H1" s="1529"/>
      <c r="I1" s="760"/>
      <c r="J1" s="433"/>
    </row>
    <row r="2" spans="1:11" ht="26.25" x14ac:dyDescent="0.2">
      <c r="A2" s="2233" t="s">
        <v>1677</v>
      </c>
      <c r="B2" s="2234"/>
      <c r="C2" s="2234"/>
      <c r="D2" s="2234"/>
      <c r="E2" s="2235"/>
      <c r="F2" s="761" t="s">
        <v>904</v>
      </c>
      <c r="G2" s="762" t="s">
        <v>1674</v>
      </c>
      <c r="H2" s="762" t="s">
        <v>410</v>
      </c>
      <c r="I2" s="762" t="s">
        <v>1158</v>
      </c>
      <c r="J2" s="762" t="s">
        <v>1812</v>
      </c>
      <c r="K2" s="762" t="s">
        <v>138</v>
      </c>
    </row>
    <row r="3" spans="1:11" x14ac:dyDescent="0.2">
      <c r="A3" s="2236" t="s">
        <v>1964</v>
      </c>
      <c r="B3" s="2237"/>
      <c r="C3" s="2237"/>
      <c r="D3" s="2237"/>
      <c r="E3" s="2238"/>
      <c r="F3" s="763"/>
      <c r="G3" s="764">
        <v>0</v>
      </c>
      <c r="H3" s="764">
        <v>0</v>
      </c>
      <c r="I3" s="764">
        <v>0</v>
      </c>
      <c r="J3" s="765">
        <v>179427</v>
      </c>
      <c r="K3" s="765">
        <v>0</v>
      </c>
    </row>
    <row r="4" spans="1:11" x14ac:dyDescent="0.2">
      <c r="A4" s="2239" t="s">
        <v>369</v>
      </c>
      <c r="B4" s="2240"/>
      <c r="C4" s="2240"/>
      <c r="D4" s="2240"/>
      <c r="E4" s="2186"/>
      <c r="F4" s="766"/>
      <c r="G4" s="767"/>
      <c r="H4" s="768"/>
      <c r="I4" s="767"/>
      <c r="J4" s="769"/>
      <c r="K4" s="769"/>
    </row>
    <row r="5" spans="1:11" x14ac:dyDescent="0.2">
      <c r="A5" s="2217" t="s">
        <v>1069</v>
      </c>
      <c r="B5" s="2218"/>
      <c r="C5" s="2218"/>
      <c r="D5" s="2218"/>
      <c r="E5" s="2219"/>
      <c r="F5" s="770" t="s">
        <v>848</v>
      </c>
      <c r="G5" s="771"/>
      <c r="H5" s="764">
        <v>9417</v>
      </c>
      <c r="I5" s="772"/>
      <c r="J5" s="773"/>
      <c r="K5" s="773"/>
    </row>
    <row r="6" spans="1:11" x14ac:dyDescent="0.2">
      <c r="A6" s="774" t="s">
        <v>720</v>
      </c>
      <c r="B6" s="775"/>
      <c r="C6" s="775"/>
      <c r="D6" s="775"/>
      <c r="E6" s="776"/>
      <c r="F6" s="777" t="s">
        <v>849</v>
      </c>
      <c r="G6" s="764"/>
      <c r="H6" s="764"/>
      <c r="I6" s="764"/>
      <c r="J6" s="765">
        <v>899</v>
      </c>
      <c r="K6" s="765"/>
    </row>
    <row r="7" spans="1:11" x14ac:dyDescent="0.2">
      <c r="A7" s="778" t="s">
        <v>246</v>
      </c>
      <c r="B7" s="779"/>
      <c r="C7" s="779"/>
      <c r="D7" s="779"/>
      <c r="E7" s="780"/>
      <c r="F7" s="770" t="s">
        <v>850</v>
      </c>
      <c r="G7" s="767"/>
      <c r="H7" s="767"/>
      <c r="I7" s="767"/>
      <c r="J7" s="781"/>
      <c r="K7" s="765">
        <v>3600</v>
      </c>
    </row>
    <row r="8" spans="1:11" x14ac:dyDescent="0.2">
      <c r="A8" s="778" t="s">
        <v>345</v>
      </c>
      <c r="B8" s="779"/>
      <c r="C8" s="779"/>
      <c r="D8" s="779"/>
      <c r="E8" s="780"/>
      <c r="F8" s="770" t="s">
        <v>851</v>
      </c>
      <c r="G8" s="782"/>
      <c r="H8" s="782"/>
      <c r="I8" s="782"/>
      <c r="J8" s="765">
        <v>111614</v>
      </c>
      <c r="K8" s="769"/>
    </row>
    <row r="9" spans="1:11" x14ac:dyDescent="0.2">
      <c r="A9" s="778" t="s">
        <v>138</v>
      </c>
      <c r="B9" s="779"/>
      <c r="C9" s="779"/>
      <c r="D9" s="779"/>
      <c r="E9" s="780"/>
      <c r="F9" s="777" t="s">
        <v>853</v>
      </c>
      <c r="G9" s="782"/>
      <c r="H9" s="771"/>
      <c r="I9" s="771"/>
      <c r="J9" s="781"/>
      <c r="K9" s="765">
        <v>5986</v>
      </c>
    </row>
    <row r="10" spans="1:11" x14ac:dyDescent="0.2">
      <c r="A10" s="2217" t="s">
        <v>1813</v>
      </c>
      <c r="B10" s="2218"/>
      <c r="C10" s="2218"/>
      <c r="D10" s="2218"/>
      <c r="E10" s="2220"/>
      <c r="F10" s="783" t="s">
        <v>862</v>
      </c>
      <c r="G10" s="782"/>
      <c r="H10" s="784"/>
      <c r="I10" s="764"/>
      <c r="J10" s="765"/>
      <c r="K10" s="765"/>
    </row>
    <row r="11" spans="1:11" x14ac:dyDescent="0.2">
      <c r="A11" s="2217" t="s">
        <v>160</v>
      </c>
      <c r="B11" s="2218"/>
      <c r="C11" s="2218"/>
      <c r="D11" s="2218"/>
      <c r="E11" s="2219"/>
      <c r="F11" s="770" t="s">
        <v>852</v>
      </c>
      <c r="G11" s="771"/>
      <c r="H11" s="764"/>
      <c r="I11" s="764"/>
      <c r="J11" s="765"/>
      <c r="K11" s="773"/>
    </row>
    <row r="12" spans="1:11" ht="13.5" thickBot="1" x14ac:dyDescent="0.25">
      <c r="A12" s="2244" t="s">
        <v>905</v>
      </c>
      <c r="B12" s="2245"/>
      <c r="C12" s="2245"/>
      <c r="D12" s="2245"/>
      <c r="E12" s="2246"/>
      <c r="F12" s="1756"/>
      <c r="G12" s="1757">
        <f>SUM(G5:G11)</f>
        <v>0</v>
      </c>
      <c r="H12" s="1757">
        <f>SUM(H5:H11)</f>
        <v>9417</v>
      </c>
      <c r="I12" s="1757">
        <f>SUM(I5:I11)</f>
        <v>0</v>
      </c>
      <c r="J12" s="1757">
        <f>SUM(J5:J11)</f>
        <v>112513</v>
      </c>
      <c r="K12" s="1757">
        <f>SUM(K5:K11)</f>
        <v>9586</v>
      </c>
    </row>
    <row r="13" spans="1:11" ht="13.5" thickTop="1" x14ac:dyDescent="0.2">
      <c r="A13" s="2241" t="s">
        <v>370</v>
      </c>
      <c r="B13" s="2242"/>
      <c r="C13" s="2242"/>
      <c r="D13" s="2242"/>
      <c r="E13" s="2243"/>
      <c r="F13" s="785"/>
      <c r="G13" s="786"/>
      <c r="H13" s="787"/>
      <c r="I13" s="788"/>
      <c r="J13" s="788"/>
      <c r="K13" s="788"/>
    </row>
    <row r="14" spans="1:11" x14ac:dyDescent="0.2">
      <c r="A14" s="2224" t="s">
        <v>456</v>
      </c>
      <c r="B14" s="2224"/>
      <c r="C14" s="2224"/>
      <c r="D14" s="2224"/>
      <c r="E14" s="2225"/>
      <c r="F14" s="789" t="s">
        <v>854</v>
      </c>
      <c r="G14" s="782"/>
      <c r="H14" s="764">
        <v>9417</v>
      </c>
      <c r="I14" s="771"/>
      <c r="J14" s="773"/>
      <c r="K14" s="765">
        <v>9586</v>
      </c>
    </row>
    <row r="15" spans="1:11" x14ac:dyDescent="0.2">
      <c r="A15" s="2218" t="s">
        <v>4</v>
      </c>
      <c r="B15" s="2218"/>
      <c r="C15" s="2218"/>
      <c r="D15" s="2218"/>
      <c r="E15" s="2219"/>
      <c r="F15" s="789" t="s">
        <v>855</v>
      </c>
      <c r="G15" s="771"/>
      <c r="H15" s="764"/>
      <c r="I15" s="764"/>
      <c r="J15" s="765">
        <v>110412</v>
      </c>
      <c r="K15" s="765"/>
    </row>
    <row r="16" spans="1:11" x14ac:dyDescent="0.2">
      <c r="A16" s="2218" t="s">
        <v>298</v>
      </c>
      <c r="B16" s="2218"/>
      <c r="C16" s="2218"/>
      <c r="D16" s="2218"/>
      <c r="E16" s="2219"/>
      <c r="F16" s="789" t="s">
        <v>923</v>
      </c>
      <c r="G16" s="772"/>
      <c r="H16" s="767"/>
      <c r="I16" s="767"/>
      <c r="J16" s="769"/>
      <c r="K16" s="769"/>
    </row>
    <row r="17" spans="1:11" x14ac:dyDescent="0.2">
      <c r="A17" s="2249" t="s">
        <v>935</v>
      </c>
      <c r="B17" s="2249"/>
      <c r="C17" s="2249"/>
      <c r="D17" s="2249"/>
      <c r="E17" s="2250"/>
      <c r="F17" s="790"/>
      <c r="G17" s="791"/>
      <c r="H17" s="792"/>
      <c r="I17" s="792"/>
      <c r="J17" s="793"/>
      <c r="K17" s="794"/>
    </row>
    <row r="18" spans="1:11" x14ac:dyDescent="0.2">
      <c r="A18" s="2228" t="s">
        <v>368</v>
      </c>
      <c r="B18" s="2229"/>
      <c r="C18" s="2229"/>
      <c r="D18" s="2229"/>
      <c r="E18" s="2230"/>
      <c r="F18" s="789" t="s">
        <v>932</v>
      </c>
      <c r="G18" s="782"/>
      <c r="H18" s="782"/>
      <c r="I18" s="782"/>
      <c r="J18" s="765"/>
      <c r="K18" s="795"/>
    </row>
    <row r="19" spans="1:11" ht="21.95" customHeight="1" x14ac:dyDescent="0.2">
      <c r="A19" s="2226" t="s">
        <v>1809</v>
      </c>
      <c r="B19" s="2226"/>
      <c r="C19" s="2226"/>
      <c r="D19" s="2226"/>
      <c r="E19" s="2227"/>
      <c r="F19" s="789" t="s">
        <v>933</v>
      </c>
      <c r="G19" s="782"/>
      <c r="H19" s="782"/>
      <c r="I19" s="782"/>
      <c r="J19" s="765"/>
      <c r="K19" s="795"/>
    </row>
    <row r="20" spans="1:11" x14ac:dyDescent="0.2">
      <c r="A20" s="2228" t="s">
        <v>1814</v>
      </c>
      <c r="B20" s="2229"/>
      <c r="C20" s="2229"/>
      <c r="D20" s="2229"/>
      <c r="E20" s="2230"/>
      <c r="F20" s="789" t="s">
        <v>934</v>
      </c>
      <c r="G20" s="782"/>
      <c r="H20" s="782"/>
      <c r="I20" s="782"/>
      <c r="J20" s="765"/>
      <c r="K20" s="795"/>
    </row>
    <row r="21" spans="1:11" ht="13.5" thickBot="1" x14ac:dyDescent="0.25">
      <c r="A21" s="2247" t="s">
        <v>638</v>
      </c>
      <c r="B21" s="2247"/>
      <c r="C21" s="2247"/>
      <c r="D21" s="2247"/>
      <c r="E21" s="2247"/>
      <c r="F21" s="1758"/>
      <c r="G21" s="792"/>
      <c r="H21" s="796"/>
      <c r="I21" s="796"/>
      <c r="J21" s="1759">
        <f>SUM(J18:J20)</f>
        <v>0</v>
      </c>
      <c r="K21" s="793"/>
    </row>
    <row r="22" spans="1:11" ht="13.5" thickTop="1" x14ac:dyDescent="0.2">
      <c r="A22" s="2218" t="s">
        <v>1815</v>
      </c>
      <c r="B22" s="2218"/>
      <c r="C22" s="2218"/>
      <c r="D22" s="2218"/>
      <c r="E22" s="2219"/>
      <c r="F22" s="789" t="s">
        <v>862</v>
      </c>
      <c r="G22" s="782"/>
      <c r="H22" s="764"/>
      <c r="I22" s="764"/>
      <c r="J22" s="797"/>
      <c r="K22" s="765"/>
    </row>
    <row r="23" spans="1:11" ht="13.5" thickBot="1" x14ac:dyDescent="0.25">
      <c r="A23" s="2248" t="s">
        <v>906</v>
      </c>
      <c r="B23" s="2247"/>
      <c r="C23" s="2247"/>
      <c r="D23" s="2247"/>
      <c r="E23" s="2247"/>
      <c r="F23" s="1760"/>
      <c r="G23" s="1757">
        <f>SUM(G14:G16,G21,G22)</f>
        <v>0</v>
      </c>
      <c r="H23" s="1757">
        <f>SUM(H14:H16,H21,H22)</f>
        <v>9417</v>
      </c>
      <c r="I23" s="1757">
        <f>SUM(I14:I16,I21,I22)</f>
        <v>0</v>
      </c>
      <c r="J23" s="1757">
        <f>SUM(J14:J16,J21,J22)</f>
        <v>110412</v>
      </c>
      <c r="K23" s="1757">
        <f>SUM(K14:K16,K21,K22)</f>
        <v>9586</v>
      </c>
    </row>
    <row r="24" spans="1:11" ht="14.25" thickTop="1" thickBot="1" x14ac:dyDescent="0.25">
      <c r="A24" s="2248" t="s">
        <v>1965</v>
      </c>
      <c r="B24" s="2247"/>
      <c r="C24" s="2247"/>
      <c r="D24" s="2247"/>
      <c r="E24" s="2247"/>
      <c r="F24" s="1761"/>
      <c r="G24" s="1762">
        <f>SUM(G3,G12)-G23</f>
        <v>0</v>
      </c>
      <c r="H24" s="1762">
        <f>SUM(H3,H12)-H23</f>
        <v>0</v>
      </c>
      <c r="I24" s="1762">
        <f>SUM(I3,I12)-I23</f>
        <v>0</v>
      </c>
      <c r="J24" s="1762">
        <f>SUM(J3,J12)-J23</f>
        <v>181528</v>
      </c>
      <c r="K24" s="1762">
        <f>SUM(K3,K12)-K23</f>
        <v>0</v>
      </c>
    </row>
    <row r="25" spans="1:11" ht="13.5" thickTop="1" x14ac:dyDescent="0.2">
      <c r="A25" s="798" t="s">
        <v>420</v>
      </c>
      <c r="B25" s="799"/>
      <c r="C25" s="799"/>
      <c r="D25" s="799"/>
      <c r="E25" s="800"/>
      <c r="F25" s="801">
        <v>714</v>
      </c>
      <c r="G25" s="802"/>
      <c r="H25" s="802"/>
      <c r="I25" s="802"/>
      <c r="J25" s="797">
        <v>180629</v>
      </c>
      <c r="K25" s="797"/>
    </row>
    <row r="26" spans="1:11" ht="13.5" thickBot="1" x14ac:dyDescent="0.25">
      <c r="A26" s="798" t="s">
        <v>342</v>
      </c>
      <c r="B26" s="799"/>
      <c r="C26" s="799"/>
      <c r="D26" s="799"/>
      <c r="E26" s="800"/>
      <c r="F26" s="801">
        <v>730</v>
      </c>
      <c r="G26" s="1757">
        <f>G24-G25</f>
        <v>0</v>
      </c>
      <c r="H26" s="1757">
        <f>H24-H25</f>
        <v>0</v>
      </c>
      <c r="I26" s="1757">
        <f>I24-I25</f>
        <v>0</v>
      </c>
      <c r="J26" s="1757">
        <f>J24-J25</f>
        <v>899</v>
      </c>
      <c r="K26" s="1757">
        <f>K24-K25</f>
        <v>0</v>
      </c>
    </row>
    <row r="27" spans="1:11" ht="5.25" customHeight="1" thickTop="1" x14ac:dyDescent="0.2">
      <c r="I27" s="202"/>
      <c r="J27" s="202"/>
    </row>
    <row r="28" spans="1:11" ht="29.45" customHeight="1" x14ac:dyDescent="0.2">
      <c r="A28" s="1879" t="s">
        <v>1910</v>
      </c>
      <c r="B28" s="1880"/>
      <c r="C28" s="1880"/>
      <c r="D28" s="1880"/>
      <c r="E28" s="1881"/>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21"/>
      <c r="I31" s="2222"/>
      <c r="J31" s="2222"/>
      <c r="K31" s="2222"/>
    </row>
    <row r="32" spans="1:11" x14ac:dyDescent="0.2">
      <c r="A32" s="809"/>
      <c r="B32" s="237"/>
      <c r="C32" s="237"/>
      <c r="D32" s="237"/>
      <c r="E32" s="805"/>
      <c r="F32" s="811" t="s">
        <v>540</v>
      </c>
      <c r="G32" s="764"/>
      <c r="H32" s="2223"/>
      <c r="I32" s="2222"/>
      <c r="J32" s="2222"/>
      <c r="K32" s="2222"/>
    </row>
    <row r="33" spans="1:11" ht="1.5" customHeight="1" x14ac:dyDescent="0.2">
      <c r="A33" s="812" t="s">
        <v>1169</v>
      </c>
      <c r="B33" s="364"/>
      <c r="C33" s="364"/>
      <c r="D33" s="364"/>
      <c r="E33" s="364"/>
      <c r="F33" s="364"/>
      <c r="G33" s="813"/>
      <c r="H33" s="2223"/>
      <c r="I33" s="2222"/>
      <c r="J33" s="2222"/>
      <c r="K33" s="2222"/>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8" t="s">
        <v>541</v>
      </c>
      <c r="B41" s="2231"/>
      <c r="C41" s="2231"/>
      <c r="D41" s="2231"/>
      <c r="E41" s="2231"/>
      <c r="F41" s="2232"/>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0" t="s">
        <v>1810</v>
      </c>
      <c r="B46" s="408" t="s">
        <v>1675</v>
      </c>
    </row>
    <row r="47" spans="1:11" s="823" customFormat="1" ht="12.75" customHeight="1" x14ac:dyDescent="0.2">
      <c r="A47" s="821"/>
      <c r="B47" s="822" t="s">
        <v>1676</v>
      </c>
      <c r="E47" s="822"/>
      <c r="K47" s="824"/>
    </row>
    <row r="48" spans="1:11" ht="12.75" customHeight="1" x14ac:dyDescent="0.2">
      <c r="A48" s="1531"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X26" sqref="X2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3" t="s">
        <v>1909</v>
      </c>
      <c r="B1" s="2254"/>
      <c r="C1" s="2255"/>
      <c r="D1" s="826"/>
      <c r="E1" s="827"/>
      <c r="F1" s="827"/>
      <c r="G1" s="828"/>
      <c r="H1" s="829"/>
      <c r="I1" s="830"/>
      <c r="J1" s="2251"/>
      <c r="K1" s="2252"/>
      <c r="L1" s="2252"/>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8" t="s">
        <v>892</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893</v>
      </c>
      <c r="B5" s="840">
        <v>221</v>
      </c>
      <c r="C5" s="841">
        <v>42712</v>
      </c>
      <c r="D5" s="841"/>
      <c r="E5" s="841"/>
      <c r="F5" s="1759">
        <f>(C5+D5)-E5</f>
        <v>42712</v>
      </c>
      <c r="G5" s="837"/>
      <c r="H5" s="842"/>
      <c r="I5" s="842"/>
      <c r="J5" s="842"/>
      <c r="K5" s="793"/>
      <c r="L5" s="1768">
        <f>F5-K5</f>
        <v>42712</v>
      </c>
    </row>
    <row r="6" spans="1:14" ht="14.25" thickTop="1" thickBot="1" x14ac:dyDescent="0.25">
      <c r="A6" s="778" t="s">
        <v>1117</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1118</v>
      </c>
      <c r="B8" s="840">
        <v>231</v>
      </c>
      <c r="C8" s="844">
        <v>5117347</v>
      </c>
      <c r="D8" s="844"/>
      <c r="E8" s="844"/>
      <c r="F8" s="1759">
        <f>(C8+D8)-E8</f>
        <v>5117347</v>
      </c>
      <c r="G8" s="843">
        <v>50</v>
      </c>
      <c r="H8" s="765">
        <v>1872743</v>
      </c>
      <c r="I8" s="765">
        <v>91243</v>
      </c>
      <c r="J8" s="765"/>
      <c r="K8" s="1768">
        <f>(H8+I8)-J8</f>
        <v>1963986</v>
      </c>
      <c r="L8" s="1768">
        <f>F8-K8</f>
        <v>3153361</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271067</v>
      </c>
      <c r="D10" s="846"/>
      <c r="E10" s="846"/>
      <c r="F10" s="1763">
        <f>(C10+D10)-E10</f>
        <v>271067</v>
      </c>
      <c r="G10" s="843">
        <v>20</v>
      </c>
      <c r="H10" s="847">
        <v>152068</v>
      </c>
      <c r="I10" s="847">
        <v>13278</v>
      </c>
      <c r="J10" s="847"/>
      <c r="K10" s="1768">
        <f>(H10+I10)-J10</f>
        <v>165346</v>
      </c>
      <c r="L10" s="1768">
        <f>F10-K10</f>
        <v>105721</v>
      </c>
    </row>
    <row r="11" spans="1:14" ht="13.5" thickTop="1" x14ac:dyDescent="0.2">
      <c r="A11" s="1631" t="s">
        <v>1136</v>
      </c>
      <c r="B11" s="1629">
        <v>250</v>
      </c>
      <c r="C11" s="781"/>
      <c r="D11" s="781"/>
      <c r="E11" s="781"/>
      <c r="F11" s="773"/>
      <c r="G11" s="843"/>
      <c r="H11" s="781"/>
      <c r="I11" s="781"/>
      <c r="J11" s="781"/>
      <c r="K11" s="773"/>
      <c r="L11" s="773"/>
    </row>
    <row r="12" spans="1:14" ht="13.5" thickBot="1" x14ac:dyDescent="0.25">
      <c r="A12" s="848" t="s">
        <v>1121</v>
      </c>
      <c r="B12" s="840">
        <v>251</v>
      </c>
      <c r="C12" s="844">
        <v>817416</v>
      </c>
      <c r="D12" s="844">
        <v>759</v>
      </c>
      <c r="E12" s="844"/>
      <c r="F12" s="1759">
        <f>(C12+D12)-E12</f>
        <v>818175</v>
      </c>
      <c r="G12" s="843">
        <v>10</v>
      </c>
      <c r="H12" s="765">
        <v>713630</v>
      </c>
      <c r="I12" s="765">
        <v>20068</v>
      </c>
      <c r="J12" s="765"/>
      <c r="K12" s="1768">
        <f>(H12+I12)-J12</f>
        <v>733698</v>
      </c>
      <c r="L12" s="1768">
        <f>F12-K12</f>
        <v>84477</v>
      </c>
    </row>
    <row r="13" spans="1:14" ht="14.25" thickTop="1" thickBot="1" x14ac:dyDescent="0.25">
      <c r="A13" s="848" t="s">
        <v>1122</v>
      </c>
      <c r="B13" s="840">
        <v>252</v>
      </c>
      <c r="C13" s="844">
        <v>850673</v>
      </c>
      <c r="D13" s="844">
        <v>84185</v>
      </c>
      <c r="E13" s="844">
        <v>248589</v>
      </c>
      <c r="F13" s="1759">
        <f>(C13+D13)-E13</f>
        <v>686269</v>
      </c>
      <c r="G13" s="843">
        <v>5</v>
      </c>
      <c r="H13" s="765">
        <v>831071</v>
      </c>
      <c r="I13" s="765">
        <v>18856</v>
      </c>
      <c r="J13" s="765">
        <v>249049</v>
      </c>
      <c r="K13" s="1768">
        <f>(H13+I13)-J13</f>
        <v>600878</v>
      </c>
      <c r="L13" s="1768">
        <f>F13-K13</f>
        <v>85391</v>
      </c>
    </row>
    <row r="14" spans="1:14" ht="14.25" thickTop="1" thickBot="1" x14ac:dyDescent="0.25">
      <c r="A14" s="848" t="s">
        <v>1123</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0" t="s">
        <v>528</v>
      </c>
      <c r="B15" s="1629">
        <v>260</v>
      </c>
      <c r="C15" s="844"/>
      <c r="D15" s="844"/>
      <c r="E15" s="844"/>
      <c r="F15" s="1759">
        <f>(C15+D15)-E15</f>
        <v>0</v>
      </c>
      <c r="G15" s="849" t="s">
        <v>862</v>
      </c>
      <c r="H15" s="781"/>
      <c r="I15" s="781"/>
      <c r="J15" s="781"/>
      <c r="K15" s="781"/>
      <c r="L15" s="1768">
        <f>F15-K15</f>
        <v>0</v>
      </c>
    </row>
    <row r="16" spans="1:14" ht="15" customHeight="1" thickTop="1" thickBot="1" x14ac:dyDescent="0.25">
      <c r="A16" s="1764" t="s">
        <v>643</v>
      </c>
      <c r="B16" s="1765">
        <v>200</v>
      </c>
      <c r="C16" s="1759">
        <f>SUM(C3,C5:C6,C8:C10,C12:C15)</f>
        <v>7099215</v>
      </c>
      <c r="D16" s="1759">
        <f>SUM(D3,D5:D6,D8:D10,D12:D15)</f>
        <v>84944</v>
      </c>
      <c r="E16" s="1759">
        <f>SUM(E3,E5:E6,E8:E10,E12:E15)</f>
        <v>248589</v>
      </c>
      <c r="F16" s="1759">
        <f>SUM(F3,F5:F6,F8:F10,F12:F15)</f>
        <v>6935570</v>
      </c>
      <c r="G16" s="843"/>
      <c r="H16" s="1759">
        <f>SUM(H3,H6,H8:H10,H12:H14,)</f>
        <v>3569512</v>
      </c>
      <c r="I16" s="1759">
        <f>SUM(I3,I6,I8:I10,I12:I14,)</f>
        <v>143445</v>
      </c>
      <c r="J16" s="1759">
        <f>SUM(J3,J6,J8:J10,J12:J14,)</f>
        <v>249049</v>
      </c>
      <c r="K16" s="1759">
        <f>(H16+I16)-J16</f>
        <v>3463908</v>
      </c>
      <c r="L16" s="1759">
        <f>F16-K16</f>
        <v>3471662</v>
      </c>
    </row>
    <row r="17" spans="1:12" ht="15" customHeight="1" thickTop="1" thickBot="1" x14ac:dyDescent="0.25">
      <c r="A17" s="1632" t="s">
        <v>291</v>
      </c>
      <c r="B17" s="1629">
        <v>700</v>
      </c>
      <c r="C17" s="769"/>
      <c r="D17" s="769"/>
      <c r="E17" s="769"/>
      <c r="F17" s="1759">
        <f>SUM('Expenditures 15-22'!I114,'Expenditures 15-22'!I151,'Expenditures 15-22'!I210,'Expenditures 15-22'!I312,'Expenditures 15-22'!I342,'Expenditures 15-22'!I367)</f>
        <v>0</v>
      </c>
      <c r="G17" s="837">
        <v>10</v>
      </c>
      <c r="H17" s="769"/>
      <c r="I17" s="1768">
        <f>F17/G17</f>
        <v>0</v>
      </c>
      <c r="J17" s="769"/>
      <c r="K17" s="795"/>
      <c r="L17" s="795"/>
    </row>
    <row r="18" spans="1:12" ht="14.25" thickTop="1" thickBot="1" x14ac:dyDescent="0.25">
      <c r="A18" s="1766" t="s">
        <v>685</v>
      </c>
      <c r="B18" s="1767"/>
      <c r="C18" s="771"/>
      <c r="D18" s="771"/>
      <c r="E18" s="771"/>
      <c r="F18" s="850"/>
      <c r="G18" s="851"/>
      <c r="H18" s="773"/>
      <c r="I18" s="1759">
        <f>SUM(I16,I17)</f>
        <v>143445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157" activePane="bottomLeft" state="frozen"/>
      <selection activeCell="X26" sqref="X26"/>
      <selection pane="bottomLeft" activeCell="X26" sqref="X2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9" t="s">
        <v>1975</v>
      </c>
      <c r="B1" s="2260"/>
      <c r="C1" s="2260"/>
      <c r="D1" s="2260"/>
      <c r="E1" s="2260"/>
      <c r="F1" s="2261"/>
      <c r="G1" s="855"/>
    </row>
    <row r="2" spans="1:7" ht="15" customHeight="1" thickBot="1" x14ac:dyDescent="0.25">
      <c r="A2" s="2262" t="s">
        <v>477</v>
      </c>
      <c r="B2" s="2263"/>
      <c r="C2" s="2263"/>
      <c r="D2" s="2263"/>
      <c r="E2" s="2263"/>
      <c r="F2" s="2264"/>
      <c r="G2" s="857"/>
    </row>
    <row r="3" spans="1:7" ht="5.25" customHeight="1" thickTop="1" x14ac:dyDescent="0.2">
      <c r="A3" s="858"/>
      <c r="B3" s="859"/>
      <c r="C3" s="860"/>
      <c r="D3" s="859"/>
      <c r="E3" s="860"/>
      <c r="F3" s="859"/>
      <c r="G3" s="859"/>
    </row>
    <row r="4" spans="1:7" ht="12.4" customHeight="1" x14ac:dyDescent="0.2">
      <c r="A4" s="861" t="s">
        <v>1077</v>
      </c>
      <c r="B4" s="862" t="s">
        <v>115</v>
      </c>
      <c r="D4" s="864" t="s">
        <v>511</v>
      </c>
      <c r="F4" s="862" t="s">
        <v>865</v>
      </c>
    </row>
    <row r="5" spans="1:7" ht="7.5" customHeight="1" x14ac:dyDescent="0.2">
      <c r="A5" s="2265"/>
      <c r="B5" s="2266"/>
      <c r="C5" s="2266"/>
      <c r="D5" s="2266"/>
      <c r="E5" s="2266"/>
      <c r="F5" s="2266"/>
    </row>
    <row r="6" spans="1:7" ht="13.5" customHeight="1" thickBot="1" x14ac:dyDescent="0.25">
      <c r="A6" s="2256" t="s">
        <v>1104</v>
      </c>
      <c r="B6" s="2257"/>
      <c r="C6" s="2257"/>
      <c r="D6" s="2257"/>
      <c r="E6" s="2257"/>
      <c r="F6" s="225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7">
        <f>'Expenditures 15-22'!K114</f>
        <v>2850317</v>
      </c>
      <c r="G8" s="865"/>
    </row>
    <row r="9" spans="1:7" x14ac:dyDescent="0.2">
      <c r="A9" s="869" t="s">
        <v>460</v>
      </c>
      <c r="B9" s="870" t="s">
        <v>1877</v>
      </c>
      <c r="C9" s="871"/>
      <c r="D9" s="869" t="s">
        <v>501</v>
      </c>
      <c r="E9" s="868"/>
      <c r="F9" s="1908">
        <f>'Expenditures 15-22'!K151</f>
        <v>326412</v>
      </c>
      <c r="G9" s="872"/>
    </row>
    <row r="10" spans="1:7" x14ac:dyDescent="0.2">
      <c r="A10" s="869" t="s">
        <v>499</v>
      </c>
      <c r="B10" s="870" t="s">
        <v>1878</v>
      </c>
      <c r="C10" s="871"/>
      <c r="D10" s="869" t="s">
        <v>501</v>
      </c>
      <c r="E10" s="868"/>
      <c r="F10" s="1908">
        <f>'Expenditures 15-22'!K174</f>
        <v>44033</v>
      </c>
      <c r="G10" s="872"/>
    </row>
    <row r="11" spans="1:7" x14ac:dyDescent="0.2">
      <c r="A11" s="869" t="s">
        <v>461</v>
      </c>
      <c r="B11" s="870" t="s">
        <v>1879</v>
      </c>
      <c r="C11" s="871"/>
      <c r="D11" s="869" t="s">
        <v>501</v>
      </c>
      <c r="E11" s="868"/>
      <c r="F11" s="1908">
        <f>'Expenditures 15-22'!K210</f>
        <v>295187</v>
      </c>
      <c r="G11" s="872"/>
    </row>
    <row r="12" spans="1:7" x14ac:dyDescent="0.2">
      <c r="A12" s="869" t="s">
        <v>462</v>
      </c>
      <c r="B12" s="870" t="s">
        <v>1880</v>
      </c>
      <c r="C12" s="871"/>
      <c r="D12" s="869" t="s">
        <v>501</v>
      </c>
      <c r="E12" s="868"/>
      <c r="F12" s="1908">
        <f>'Expenditures 15-22'!K295</f>
        <v>122916</v>
      </c>
      <c r="G12" s="872"/>
    </row>
    <row r="13" spans="1:7" x14ac:dyDescent="0.2">
      <c r="A13" s="869" t="s">
        <v>106</v>
      </c>
      <c r="B13" s="870" t="s">
        <v>1881</v>
      </c>
      <c r="C13" s="871"/>
      <c r="D13" s="869" t="s">
        <v>501</v>
      </c>
      <c r="E13" s="868"/>
      <c r="F13" s="1908">
        <f>'Expenditures 15-22'!K342</f>
        <v>176977</v>
      </c>
      <c r="G13" s="873"/>
    </row>
    <row r="14" spans="1:7" ht="12" customHeight="1" thickBot="1" x14ac:dyDescent="0.25">
      <c r="A14" s="1769"/>
      <c r="B14" s="1770"/>
      <c r="C14" s="1771"/>
      <c r="D14" s="1772" t="s">
        <v>501</v>
      </c>
      <c r="E14" s="1773" t="s">
        <v>958</v>
      </c>
      <c r="F14" s="1774">
        <f>SUM(F8:F13)</f>
        <v>3815842</v>
      </c>
      <c r="G14" s="865"/>
    </row>
    <row r="15" spans="1:7" ht="3.9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9">
        <f>'Revenues 9-14'!F43</f>
        <v>0</v>
      </c>
      <c r="G18" s="865"/>
    </row>
    <row r="19" spans="1:7" x14ac:dyDescent="0.2">
      <c r="A19" s="869" t="s">
        <v>461</v>
      </c>
      <c r="B19" s="870" t="s">
        <v>1011</v>
      </c>
      <c r="C19" s="877">
        <f>'Revenues 9-14'!B47</f>
        <v>1421</v>
      </c>
      <c r="D19" s="878" t="str">
        <f>'Revenues 9-14'!A47</f>
        <v>Summer Sch - Transp. Fees from Pupils or Parents (In State)</v>
      </c>
      <c r="E19" s="879"/>
      <c r="F19" s="1910">
        <f>'Revenues 9-14'!F47</f>
        <v>0</v>
      </c>
      <c r="G19" s="865"/>
    </row>
    <row r="20" spans="1:7" x14ac:dyDescent="0.2">
      <c r="A20" s="869" t="s">
        <v>461</v>
      </c>
      <c r="B20" s="870" t="s">
        <v>1012</v>
      </c>
      <c r="C20" s="875">
        <f>'Revenues 9-14'!B48</f>
        <v>1422</v>
      </c>
      <c r="D20" s="876" t="str">
        <f>'Revenues 9-14'!A48</f>
        <v>Summer Sch - Transp. Fees from Other Districts (In State)</v>
      </c>
      <c r="E20" s="868"/>
      <c r="F20" s="1911">
        <f>'Revenues 9-14'!F48</f>
        <v>0</v>
      </c>
      <c r="G20" s="865"/>
    </row>
    <row r="21" spans="1:7" x14ac:dyDescent="0.2">
      <c r="A21" s="869" t="s">
        <v>461</v>
      </c>
      <c r="B21" s="870" t="s">
        <v>1013</v>
      </c>
      <c r="C21" s="877">
        <f>'Revenues 9-14'!B49</f>
        <v>1423</v>
      </c>
      <c r="D21" s="876" t="str">
        <f>'Revenues 9-14'!A49</f>
        <v>Summer Sch - Transp. Fees from Other Sources (In State)</v>
      </c>
      <c r="E21" s="868"/>
      <c r="F21" s="1912">
        <f>'Revenues 9-14'!F49</f>
        <v>0</v>
      </c>
      <c r="G21" s="865"/>
    </row>
    <row r="22" spans="1:7" x14ac:dyDescent="0.2">
      <c r="A22" s="869" t="s">
        <v>461</v>
      </c>
      <c r="B22" s="870" t="s">
        <v>1014</v>
      </c>
      <c r="C22" s="877">
        <f>'Revenues 9-14'!B50</f>
        <v>1424</v>
      </c>
      <c r="D22" s="876" t="str">
        <f>'Revenues 9-14'!A50</f>
        <v>Summer Sch - Transp. Fees from Other Sources (Out of State)</v>
      </c>
      <c r="E22" s="868"/>
      <c r="F22" s="1912">
        <f>'Revenues 9-14'!F50</f>
        <v>0</v>
      </c>
      <c r="G22" s="865"/>
    </row>
    <row r="23" spans="1:7" x14ac:dyDescent="0.2">
      <c r="A23" s="869" t="s">
        <v>461</v>
      </c>
      <c r="B23" s="870" t="s">
        <v>1015</v>
      </c>
      <c r="C23" s="875">
        <f>'Revenues 9-14'!B52</f>
        <v>1432</v>
      </c>
      <c r="D23" s="876" t="str">
        <f>'Revenues 9-14'!A52</f>
        <v>CTE - Transp Fees from Other Districts (In State)</v>
      </c>
      <c r="E23" s="868"/>
      <c r="F23" s="1912">
        <f>'Revenues 9-14'!F52</f>
        <v>0</v>
      </c>
      <c r="G23" s="865"/>
    </row>
    <row r="24" spans="1:7" x14ac:dyDescent="0.2">
      <c r="A24" s="869" t="s">
        <v>461</v>
      </c>
      <c r="B24" s="870" t="s">
        <v>1016</v>
      </c>
      <c r="C24" s="875">
        <f>'Revenues 9-14'!B56</f>
        <v>1442</v>
      </c>
      <c r="D24" s="876" t="str">
        <f>'Revenues 9-14'!A56</f>
        <v>Special Ed - Transp Fees from Other Districts (In State)</v>
      </c>
      <c r="E24" s="868"/>
      <c r="F24" s="1912">
        <f>'Revenues 9-14'!F56</f>
        <v>0</v>
      </c>
      <c r="G24" s="865"/>
    </row>
    <row r="25" spans="1:7" x14ac:dyDescent="0.2">
      <c r="A25" s="869" t="s">
        <v>461</v>
      </c>
      <c r="B25" s="870" t="s">
        <v>1017</v>
      </c>
      <c r="C25" s="875">
        <f>'Revenues 9-14'!B59</f>
        <v>1451</v>
      </c>
      <c r="D25" s="876" t="str">
        <f>'Revenues 9-14'!A59</f>
        <v>Adult - Transp Fees from Pupils or Parents (In State)</v>
      </c>
      <c r="E25" s="868"/>
      <c r="F25" s="1912">
        <f>'Revenues 9-14'!F59</f>
        <v>0</v>
      </c>
      <c r="G25" s="865"/>
    </row>
    <row r="26" spans="1:7" x14ac:dyDescent="0.2">
      <c r="A26" s="869" t="s">
        <v>461</v>
      </c>
      <c r="B26" s="870" t="s">
        <v>1018</v>
      </c>
      <c r="C26" s="875">
        <f>'Revenues 9-14'!B60</f>
        <v>1452</v>
      </c>
      <c r="D26" s="876" t="str">
        <f>'Revenues 9-14'!A60</f>
        <v>Adult - Transp Fees from Other Districts (In State)</v>
      </c>
      <c r="E26" s="868"/>
      <c r="F26" s="1912">
        <f>'Revenues 9-14'!F60</f>
        <v>0</v>
      </c>
      <c r="G26" s="865"/>
    </row>
    <row r="27" spans="1:7" x14ac:dyDescent="0.2">
      <c r="A27" s="869" t="s">
        <v>461</v>
      </c>
      <c r="B27" s="870" t="s">
        <v>1019</v>
      </c>
      <c r="C27" s="875">
        <f>'Revenues 9-14'!B61</f>
        <v>1453</v>
      </c>
      <c r="D27" s="876" t="str">
        <f>'Revenues 9-14'!A61</f>
        <v>Adult - Transp Fees from Other Sources (In State)</v>
      </c>
      <c r="E27" s="868"/>
      <c r="F27" s="1912">
        <f>'Revenues 9-14'!F61</f>
        <v>0</v>
      </c>
      <c r="G27" s="865"/>
    </row>
    <row r="28" spans="1:7" x14ac:dyDescent="0.2">
      <c r="A28" s="869" t="s">
        <v>461</v>
      </c>
      <c r="B28" s="870" t="s">
        <v>1020</v>
      </c>
      <c r="C28" s="875">
        <f>'Revenues 9-14'!B62</f>
        <v>1454</v>
      </c>
      <c r="D28" s="876" t="str">
        <f>'Revenues 9-14'!A62</f>
        <v>Adult - Transp Fees from Other Sources (Out of State)</v>
      </c>
      <c r="E28" s="868"/>
      <c r="F28" s="1912">
        <f>'Revenues 9-14'!F62</f>
        <v>0</v>
      </c>
      <c r="G28" s="865"/>
    </row>
    <row r="29" spans="1:7" x14ac:dyDescent="0.2">
      <c r="A29" s="869" t="s">
        <v>1097</v>
      </c>
      <c r="B29" s="870" t="s">
        <v>810</v>
      </c>
      <c r="C29" s="880">
        <f>'Revenues 9-14'!B149</f>
        <v>3410</v>
      </c>
      <c r="D29" s="881" t="str">
        <f>'Revenues 9-14'!A149</f>
        <v>Adult Ed (from ICCB)</v>
      </c>
      <c r="E29" s="868"/>
      <c r="F29" s="1912">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3">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2">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2">
        <f>SUM('Revenues 9-14'!D212,'Revenues 9-14'!F212)</f>
        <v>0</v>
      </c>
      <c r="G32" s="865"/>
    </row>
    <row r="33" spans="1:7" x14ac:dyDescent="0.2">
      <c r="A33" s="869" t="s">
        <v>460</v>
      </c>
      <c r="B33" s="870" t="s">
        <v>2002</v>
      </c>
      <c r="C33" s="875">
        <f>'Revenues 9-14'!B222</f>
        <v>4810</v>
      </c>
      <c r="D33" s="883" t="str">
        <f>'Revenues 9-14'!A222</f>
        <v>Federal - Adult Education</v>
      </c>
      <c r="E33" s="868"/>
      <c r="F33" s="1912">
        <f>'Revenues 9-14'!D222</f>
        <v>0</v>
      </c>
      <c r="G33" s="865"/>
    </row>
    <row r="34" spans="1:7" x14ac:dyDescent="0.2">
      <c r="A34" s="869" t="s">
        <v>459</v>
      </c>
      <c r="B34" s="869" t="s">
        <v>1469</v>
      </c>
      <c r="C34" s="886" t="str">
        <f>'Expenditures 15-22'!B7</f>
        <v>1125</v>
      </c>
      <c r="D34" s="887" t="str">
        <f>'Expenditures 15-22'!A7</f>
        <v>Pre-K Programs</v>
      </c>
      <c r="E34" s="868"/>
      <c r="F34" s="1912">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2">
        <f>'Expenditures 15-22'!K9-SUM('Expenditures 15-22'!G9+'Expenditures 15-22'!I9)</f>
        <v>49630</v>
      </c>
      <c r="G35" s="865"/>
    </row>
    <row r="36" spans="1:7" x14ac:dyDescent="0.2">
      <c r="A36" s="869" t="s">
        <v>459</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2">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2">
        <f>'Expenditures 15-22'!K20</f>
        <v>0</v>
      </c>
      <c r="G39" s="865"/>
    </row>
    <row r="40" spans="1:7" x14ac:dyDescent="0.2">
      <c r="A40" s="869" t="s">
        <v>459</v>
      </c>
      <c r="B40" s="869" t="s">
        <v>118</v>
      </c>
      <c r="C40" s="886" t="str">
        <f>'Expenditures 15-22'!B21</f>
        <v>1911</v>
      </c>
      <c r="D40" s="888" t="str">
        <f>'Expenditures 15-22'!A21</f>
        <v>Regular K-12 Programs - Private Tuition</v>
      </c>
      <c r="E40" s="868"/>
      <c r="F40" s="1912">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2">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459</v>
      </c>
      <c r="B46" s="869" t="s">
        <v>124</v>
      </c>
      <c r="C46" s="886" t="str">
        <f>'Expenditures 15-22'!B27</f>
        <v>1917</v>
      </c>
      <c r="D46" s="888" t="str">
        <f>'Expenditures 15-22'!A27</f>
        <v>CTE Programs - Private Tuition</v>
      </c>
      <c r="E46" s="868"/>
      <c r="F46" s="1912">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459</v>
      </c>
      <c r="B49" s="869" t="s">
        <v>127</v>
      </c>
      <c r="C49" s="886" t="str">
        <f>'Expenditures 15-22'!B30</f>
        <v>1920</v>
      </c>
      <c r="D49" s="888" t="str">
        <f>'Expenditures 15-22'!A30</f>
        <v>Gifted Programs - Private Tuition</v>
      </c>
      <c r="E49" s="868"/>
      <c r="F49" s="1912">
        <f>'Expenditures 15-22'!K30</f>
        <v>0</v>
      </c>
      <c r="G49" s="865"/>
    </row>
    <row r="50" spans="1:7" x14ac:dyDescent="0.2">
      <c r="A50" s="869" t="s">
        <v>459</v>
      </c>
      <c r="B50" s="869" t="s">
        <v>128</v>
      </c>
      <c r="C50" s="886" t="str">
        <f>'Expenditures 15-22'!B31</f>
        <v>1921</v>
      </c>
      <c r="D50" s="888" t="str">
        <f>'Expenditures 15-22'!A31</f>
        <v>Bilingual Programs - Private Tuition</v>
      </c>
      <c r="E50" s="868"/>
      <c r="F50" s="1912">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2">
        <f>'Expenditures 15-22'!K32</f>
        <v>0</v>
      </c>
      <c r="G51" s="865"/>
    </row>
    <row r="52" spans="1:7" x14ac:dyDescent="0.2">
      <c r="A52" s="869" t="s">
        <v>459</v>
      </c>
      <c r="B52" s="869" t="s">
        <v>1474</v>
      </c>
      <c r="C52" s="889" t="str">
        <f>'Expenditures 15-22'!B75</f>
        <v>3000</v>
      </c>
      <c r="D52" s="888" t="s">
        <v>449</v>
      </c>
      <c r="E52" s="868"/>
      <c r="F52" s="1912">
        <f>'Expenditures 15-22'!K75-SUM('Expenditures 15-22'!G75,'Expenditures 15-22'!I75)</f>
        <v>1160</v>
      </c>
      <c r="G52" s="865"/>
    </row>
    <row r="53" spans="1:7" x14ac:dyDescent="0.2">
      <c r="A53" s="869" t="s">
        <v>459</v>
      </c>
      <c r="B53" s="869" t="s">
        <v>1475</v>
      </c>
      <c r="C53" s="889">
        <f>'Expenditures 15-22'!B102</f>
        <v>4000</v>
      </c>
      <c r="D53" s="888" t="str">
        <f>'Expenditures 15-22'!A102</f>
        <v>Total Payments to Other Govt Units</v>
      </c>
      <c r="E53" s="868"/>
      <c r="F53" s="1912">
        <f>'Expenditures 15-22'!K102</f>
        <v>39129</v>
      </c>
      <c r="G53" s="865"/>
    </row>
    <row r="54" spans="1:7" x14ac:dyDescent="0.2">
      <c r="A54" s="869" t="s">
        <v>459</v>
      </c>
      <c r="B54" s="869" t="s">
        <v>1476</v>
      </c>
      <c r="C54" s="889" t="s">
        <v>982</v>
      </c>
      <c r="D54" s="885" t="s">
        <v>1095</v>
      </c>
      <c r="E54" s="868"/>
      <c r="F54" s="1912">
        <f>'Expenditures 15-22'!G114</f>
        <v>759</v>
      </c>
      <c r="G54" s="865"/>
    </row>
    <row r="55" spans="1:7" x14ac:dyDescent="0.2">
      <c r="A55" s="869" t="s">
        <v>459</v>
      </c>
      <c r="B55" s="869" t="s">
        <v>1477</v>
      </c>
      <c r="C55" s="889" t="s">
        <v>982</v>
      </c>
      <c r="D55" s="885" t="s">
        <v>291</v>
      </c>
      <c r="E55" s="868"/>
      <c r="F55" s="1912">
        <f>'Expenditures 15-22'!I114</f>
        <v>0</v>
      </c>
      <c r="G55" s="865"/>
    </row>
    <row r="56" spans="1:7" x14ac:dyDescent="0.2">
      <c r="A56" s="869" t="s">
        <v>460</v>
      </c>
      <c r="B56" s="869" t="s">
        <v>1478</v>
      </c>
      <c r="C56" s="886" t="str">
        <f>'Expenditures 15-22'!B130</f>
        <v>3000</v>
      </c>
      <c r="D56" s="892" t="s">
        <v>449</v>
      </c>
      <c r="E56" s="868"/>
      <c r="F56" s="1912">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2">
        <f>'Expenditures 15-22'!K139</f>
        <v>0</v>
      </c>
      <c r="G57" s="865"/>
    </row>
    <row r="58" spans="1:7" x14ac:dyDescent="0.2">
      <c r="A58" s="869" t="s">
        <v>460</v>
      </c>
      <c r="B58" s="869" t="s">
        <v>1883</v>
      </c>
      <c r="C58" s="886" t="s">
        <v>982</v>
      </c>
      <c r="D58" s="885" t="s">
        <v>1095</v>
      </c>
      <c r="E58" s="868"/>
      <c r="F58" s="1914">
        <f>'Expenditures 15-22'!G151</f>
        <v>0</v>
      </c>
      <c r="G58" s="865"/>
    </row>
    <row r="59" spans="1:7" x14ac:dyDescent="0.2">
      <c r="A59" s="893" t="s">
        <v>460</v>
      </c>
      <c r="B59" s="856" t="s">
        <v>1884</v>
      </c>
      <c r="C59" s="894" t="s">
        <v>982</v>
      </c>
      <c r="D59" s="856" t="s">
        <v>291</v>
      </c>
      <c r="F59" s="1915">
        <f>'Expenditures 15-22'!I151</f>
        <v>0</v>
      </c>
      <c r="G59" s="865"/>
    </row>
    <row r="60" spans="1:7" x14ac:dyDescent="0.2">
      <c r="A60" s="893" t="s">
        <v>499</v>
      </c>
      <c r="B60" s="856" t="s">
        <v>1885</v>
      </c>
      <c r="C60" s="894">
        <v>4000</v>
      </c>
      <c r="D60" s="856" t="s">
        <v>312</v>
      </c>
      <c r="F60" s="1913">
        <f>'Expenditures 15-22'!K160</f>
        <v>0</v>
      </c>
      <c r="G60" s="865"/>
    </row>
    <row r="61" spans="1:7" x14ac:dyDescent="0.2">
      <c r="A61" s="895" t="s">
        <v>499</v>
      </c>
      <c r="B61" s="895" t="s">
        <v>1886</v>
      </c>
      <c r="C61" s="896" t="str">
        <f>'Expenditures 15-22'!B170</f>
        <v>5300</v>
      </c>
      <c r="D61" s="897" t="s">
        <v>311</v>
      </c>
      <c r="E61" s="879"/>
      <c r="F61" s="1912">
        <f>'Expenditures 15-22'!K170</f>
        <v>35000</v>
      </c>
      <c r="G61" s="865"/>
    </row>
    <row r="62" spans="1:7" x14ac:dyDescent="0.2">
      <c r="A62" s="869" t="s">
        <v>461</v>
      </c>
      <c r="B62" s="869" t="s">
        <v>1887</v>
      </c>
      <c r="C62" s="886">
        <f>'Expenditures 15-22'!B185</f>
        <v>3000</v>
      </c>
      <c r="D62" s="876" t="s">
        <v>449</v>
      </c>
      <c r="E62" s="868"/>
      <c r="F62" s="1912">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2">
        <f>'Expenditures 15-22'!K196</f>
        <v>0</v>
      </c>
      <c r="G63" s="865"/>
    </row>
    <row r="64" spans="1:7" x14ac:dyDescent="0.2">
      <c r="A64" s="895" t="s">
        <v>461</v>
      </c>
      <c r="B64" s="895" t="s">
        <v>1889</v>
      </c>
      <c r="C64" s="896" t="str">
        <f>'Expenditures 15-22'!B206</f>
        <v>5300</v>
      </c>
      <c r="D64" s="892" t="s">
        <v>311</v>
      </c>
      <c r="E64" s="868"/>
      <c r="F64" s="1912">
        <f>'Expenditures 15-22'!K206</f>
        <v>0</v>
      </c>
      <c r="G64" s="865"/>
    </row>
    <row r="65" spans="1:8" x14ac:dyDescent="0.2">
      <c r="A65" s="869" t="s">
        <v>461</v>
      </c>
      <c r="B65" s="869" t="s">
        <v>1890</v>
      </c>
      <c r="C65" s="886" t="s">
        <v>982</v>
      </c>
      <c r="D65" s="885" t="s">
        <v>1095</v>
      </c>
      <c r="E65" s="868"/>
      <c r="F65" s="1912">
        <f>'Expenditures 15-22'!G210</f>
        <v>101375</v>
      </c>
      <c r="G65" s="865"/>
    </row>
    <row r="66" spans="1:8" x14ac:dyDescent="0.2">
      <c r="A66" s="869" t="s">
        <v>461</v>
      </c>
      <c r="B66" s="869" t="s">
        <v>1891</v>
      </c>
      <c r="C66" s="886" t="s">
        <v>982</v>
      </c>
      <c r="D66" s="885" t="s">
        <v>291</v>
      </c>
      <c r="E66" s="868"/>
      <c r="F66" s="1912">
        <f>'Expenditures 15-22'!I210</f>
        <v>0</v>
      </c>
      <c r="G66" s="865"/>
    </row>
    <row r="67" spans="1:8" x14ac:dyDescent="0.2">
      <c r="A67" s="869" t="s">
        <v>462</v>
      </c>
      <c r="B67" s="869" t="s">
        <v>1892</v>
      </c>
      <c r="C67" s="886" t="str">
        <f>'Expenditures 15-22'!B216</f>
        <v>1125</v>
      </c>
      <c r="D67" s="892" t="str">
        <f>'Expenditures 15-22'!A216</f>
        <v>Pre-K Programs</v>
      </c>
      <c r="E67" s="868"/>
      <c r="F67" s="1912">
        <f>'Expenditures 15-22'!K216</f>
        <v>0</v>
      </c>
      <c r="G67" s="865"/>
    </row>
    <row r="68" spans="1:8" x14ac:dyDescent="0.2">
      <c r="A68" s="869" t="s">
        <v>462</v>
      </c>
      <c r="B68" s="869" t="s">
        <v>1479</v>
      </c>
      <c r="C68" s="886" t="str">
        <f>'Expenditures 15-22'!B218</f>
        <v>1225</v>
      </c>
      <c r="D68" s="892" t="str">
        <f>'Expenditures 15-22'!A218</f>
        <v>Special Education Programs - Pre-K</v>
      </c>
      <c r="E68" s="868"/>
      <c r="F68" s="1912">
        <f>'Expenditures 15-22'!K218</f>
        <v>619</v>
      </c>
      <c r="G68" s="865"/>
    </row>
    <row r="69" spans="1:8" x14ac:dyDescent="0.2">
      <c r="A69" s="869" t="s">
        <v>462</v>
      </c>
      <c r="B69" s="869" t="s">
        <v>1893</v>
      </c>
      <c r="C69" s="886" t="str">
        <f>'Expenditures 15-22'!B220</f>
        <v>1275</v>
      </c>
      <c r="D69" s="892" t="str">
        <f>'Expenditures 15-22'!A220</f>
        <v>Remedial and Supplemental Programs - Pre-K</v>
      </c>
      <c r="E69" s="868"/>
      <c r="F69" s="1912">
        <f>'Expenditures 15-22'!K220</f>
        <v>0</v>
      </c>
      <c r="G69" s="865"/>
    </row>
    <row r="70" spans="1:8" x14ac:dyDescent="0.2">
      <c r="A70" s="869" t="s">
        <v>462</v>
      </c>
      <c r="B70" s="869" t="s">
        <v>1894</v>
      </c>
      <c r="C70" s="886">
        <f>'Expenditures 15-22'!B221</f>
        <v>1300</v>
      </c>
      <c r="D70" s="887" t="str">
        <f>'Expenditures 15-22'!A221</f>
        <v>Adult/Continuing Education Programs</v>
      </c>
      <c r="E70" s="868"/>
      <c r="F70" s="1912">
        <f>'Expenditures 15-22'!K221</f>
        <v>0</v>
      </c>
      <c r="G70" s="865"/>
    </row>
    <row r="71" spans="1:8" x14ac:dyDescent="0.2">
      <c r="A71" s="869" t="s">
        <v>462</v>
      </c>
      <c r="B71" s="869" t="s">
        <v>1895</v>
      </c>
      <c r="C71" s="886">
        <f>'Expenditures 15-22'!B224</f>
        <v>1600</v>
      </c>
      <c r="D71" s="887" t="str">
        <f>'Expenditures 15-22'!A224</f>
        <v>Summer School Programs</v>
      </c>
      <c r="E71" s="868"/>
      <c r="F71" s="1912">
        <f>'Expenditures 15-22'!K224</f>
        <v>0</v>
      </c>
      <c r="G71" s="865"/>
    </row>
    <row r="72" spans="1:8" x14ac:dyDescent="0.2">
      <c r="A72" s="869" t="s">
        <v>462</v>
      </c>
      <c r="B72" s="869" t="s">
        <v>1896</v>
      </c>
      <c r="C72" s="886">
        <f>'Expenditures 15-22'!B280</f>
        <v>3000</v>
      </c>
      <c r="D72" s="876" t="s">
        <v>449</v>
      </c>
      <c r="E72" s="868"/>
      <c r="F72" s="1912">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2">
        <f>'Expenditures 15-22'!K285</f>
        <v>0</v>
      </c>
      <c r="G73" s="865"/>
    </row>
    <row r="74" spans="1:8" x14ac:dyDescent="0.2">
      <c r="A74" s="869" t="s">
        <v>436</v>
      </c>
      <c r="B74" s="869" t="s">
        <v>1898</v>
      </c>
      <c r="C74" s="886" t="s">
        <v>860</v>
      </c>
      <c r="D74" s="887" t="s">
        <v>1487</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1899</v>
      </c>
      <c r="E76" s="1773" t="s">
        <v>958</v>
      </c>
      <c r="F76" s="1777">
        <f>SUM(F18:F74)</f>
        <v>227672</v>
      </c>
      <c r="G76" s="865"/>
    </row>
    <row r="77" spans="1:8" s="893" customFormat="1" ht="12" customHeight="1" thickTop="1" thickBot="1" x14ac:dyDescent="0.25">
      <c r="A77" s="1778"/>
      <c r="B77" s="1775"/>
      <c r="C77" s="1771"/>
      <c r="D77" s="1776" t="s">
        <v>1900</v>
      </c>
      <c r="E77" s="1773"/>
      <c r="F77" s="1779">
        <f>(F14-F76)</f>
        <v>3588170</v>
      </c>
      <c r="G77" s="869"/>
    </row>
    <row r="78" spans="1:8" s="893" customFormat="1" ht="12" customHeight="1" thickTop="1" x14ac:dyDescent="0.2">
      <c r="A78" s="1780"/>
      <c r="B78" s="1775"/>
      <c r="C78" s="1771"/>
      <c r="D78" s="1776" t="s">
        <v>2062</v>
      </c>
      <c r="E78" s="1773"/>
      <c r="F78" s="898">
        <v>315.5</v>
      </c>
      <c r="G78" s="899"/>
      <c r="H78" s="869"/>
    </row>
    <row r="79" spans="1:8" s="893" customFormat="1" ht="12" customHeight="1" thickBot="1" x14ac:dyDescent="0.25">
      <c r="A79" s="1781"/>
      <c r="B79" s="1775"/>
      <c r="C79" s="1771"/>
      <c r="D79" s="1776" t="s">
        <v>1901</v>
      </c>
      <c r="E79" s="1773" t="s">
        <v>958</v>
      </c>
      <c r="F79" s="1782">
        <f>IF(F78&gt;0,F77/F78," Complete Line 78")</f>
        <v>11372.963549920762</v>
      </c>
      <c r="G79" s="869"/>
    </row>
    <row r="80" spans="1:8" s="893" customFormat="1" ht="8.25" customHeight="1" thickTop="1" x14ac:dyDescent="0.2">
      <c r="A80" s="900"/>
      <c r="B80" s="869"/>
      <c r="C80" s="871"/>
      <c r="D80" s="901"/>
      <c r="E80" s="868"/>
      <c r="F80" s="902"/>
      <c r="G80" s="869"/>
    </row>
    <row r="81" spans="1:7" s="893" customFormat="1" ht="12" thickBot="1" x14ac:dyDescent="0.25">
      <c r="A81" s="2256" t="s">
        <v>1105</v>
      </c>
      <c r="B81" s="2257"/>
      <c r="C81" s="2257"/>
      <c r="D81" s="2257"/>
      <c r="E81" s="2257"/>
      <c r="F81" s="225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6">
        <f>'Revenues 9-14'!F42</f>
        <v>0</v>
      </c>
      <c r="G84" s="912"/>
    </row>
    <row r="85" spans="1:7" x14ac:dyDescent="0.2">
      <c r="A85" s="908" t="s">
        <v>461</v>
      </c>
      <c r="B85" s="908" t="s">
        <v>183</v>
      </c>
      <c r="C85" s="913">
        <f>'Revenues 9-14'!B44</f>
        <v>1413</v>
      </c>
      <c r="D85" s="911" t="str">
        <f>'Revenues 9-14'!A44</f>
        <v>Regular - Transp Fees from Other Sources (In State)</v>
      </c>
      <c r="E85" s="906"/>
      <c r="F85" s="1788">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0</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29884</v>
      </c>
      <c r="G94" s="912"/>
    </row>
    <row r="95" spans="1:7" x14ac:dyDescent="0.2">
      <c r="A95" s="908" t="s">
        <v>140</v>
      </c>
      <c r="B95" s="908" t="s">
        <v>175</v>
      </c>
      <c r="C95" s="910">
        <v>1700</v>
      </c>
      <c r="D95" s="918" t="str">
        <f>'Revenues 9-14'!A82</f>
        <v>Total District/School Activity Income</v>
      </c>
      <c r="E95" s="906"/>
      <c r="F95" s="1788">
        <f>SUM('Revenues 9-14'!C82,'Revenues 9-14'!D82)</f>
        <v>13670</v>
      </c>
      <c r="G95" s="912"/>
    </row>
    <row r="96" spans="1:7" x14ac:dyDescent="0.2">
      <c r="A96" s="908" t="s">
        <v>459</v>
      </c>
      <c r="B96" s="908" t="s">
        <v>176</v>
      </c>
      <c r="C96" s="910">
        <f>'Revenues 9-14'!B84</f>
        <v>1811</v>
      </c>
      <c r="D96" s="911" t="str">
        <f>'Revenues 9-14'!A84</f>
        <v>Rentals - Regular Textbooks</v>
      </c>
      <c r="E96" s="906"/>
      <c r="F96" s="1788">
        <f>'Revenues 9-14'!C84</f>
        <v>19090</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0</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1003</v>
      </c>
      <c r="G103" s="912"/>
    </row>
    <row r="104" spans="1:7" x14ac:dyDescent="0.2">
      <c r="A104" s="908" t="s">
        <v>459</v>
      </c>
      <c r="B104" s="908" t="s">
        <v>808</v>
      </c>
      <c r="C104" s="910">
        <f>'Revenues 9-14'!B106</f>
        <v>1993</v>
      </c>
      <c r="D104" s="911" t="str">
        <f>'Revenues 9-14'!A106</f>
        <v>Other Local Fees (Describe &amp; Itemize)</v>
      </c>
      <c r="E104" s="906"/>
      <c r="F104" s="1788">
        <f>('Revenues 9-14'!C106)</f>
        <v>0</v>
      </c>
      <c r="G104" s="912"/>
    </row>
    <row r="105" spans="1:7" x14ac:dyDescent="0.2">
      <c r="A105" s="908" t="s">
        <v>503</v>
      </c>
      <c r="B105" s="908" t="s">
        <v>2003</v>
      </c>
      <c r="C105" s="913">
        <v>3100</v>
      </c>
      <c r="D105" s="919" t="str">
        <f>'Revenues 9-14'!A132</f>
        <v>Total Special Education</v>
      </c>
      <c r="E105" s="906"/>
      <c r="F105" s="1788">
        <f>SUM('Revenues 9-14'!C132:D132,'Revenues 9-14'!F132)</f>
        <v>28510</v>
      </c>
      <c r="G105" s="912"/>
    </row>
    <row r="106" spans="1:7" x14ac:dyDescent="0.2">
      <c r="A106" s="908" t="s">
        <v>673</v>
      </c>
      <c r="B106" s="908" t="s">
        <v>2004</v>
      </c>
      <c r="C106" s="920">
        <v>3200</v>
      </c>
      <c r="D106" s="911" t="str">
        <f>'Revenues 9-14'!A141</f>
        <v>Total Career and Technical Education</v>
      </c>
      <c r="E106" s="906"/>
      <c r="F106" s="1788">
        <f>SUM('Revenues 9-14'!C141,'Revenues 9-14'!D141,'Revenues 9-14'!G141)</f>
        <v>7475</v>
      </c>
      <c r="G106" s="912"/>
    </row>
    <row r="107" spans="1:7" x14ac:dyDescent="0.2">
      <c r="A107" s="921" t="s">
        <v>664</v>
      </c>
      <c r="B107" s="908" t="s">
        <v>2005</v>
      </c>
      <c r="C107" s="920">
        <v>3300</v>
      </c>
      <c r="D107" s="911" t="str">
        <f>'Revenues 9-14'!A145</f>
        <v>Total Bilingual Ed</v>
      </c>
      <c r="E107" s="906"/>
      <c r="F107" s="1788">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8">
        <f>'Revenues 9-14'!C146</f>
        <v>2181</v>
      </c>
      <c r="G108" s="912"/>
    </row>
    <row r="109" spans="1:7" x14ac:dyDescent="0.2">
      <c r="A109" s="908" t="s">
        <v>673</v>
      </c>
      <c r="B109" s="908" t="s">
        <v>2007</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8">
        <f>SUM('Revenues 9-14'!C148,'Revenues 9-14'!D148)</f>
        <v>5986</v>
      </c>
      <c r="G110" s="912"/>
    </row>
    <row r="111" spans="1:7" x14ac:dyDescent="0.2">
      <c r="A111" s="908" t="s">
        <v>668</v>
      </c>
      <c r="B111" s="908" t="s">
        <v>2009</v>
      </c>
      <c r="C111" s="922">
        <v>3500</v>
      </c>
      <c r="D111" s="911" t="str">
        <f>'Revenues 9-14'!A155</f>
        <v>Total Transportation</v>
      </c>
      <c r="E111" s="906"/>
      <c r="F111" s="1788">
        <f>SUM('Revenues 9-14'!C155,'Revenues 9-14'!D155,'Revenues 9-14'!F155,'Revenues 9-14'!G155)</f>
        <v>143958</v>
      </c>
      <c r="G111" s="912"/>
    </row>
    <row r="112" spans="1:7" x14ac:dyDescent="0.2">
      <c r="A112" s="908" t="s">
        <v>459</v>
      </c>
      <c r="B112" s="908" t="s">
        <v>2010</v>
      </c>
      <c r="C112" s="920">
        <f>'Revenues 9-14'!B156</f>
        <v>3610</v>
      </c>
      <c r="D112" s="911" t="str">
        <f>'Revenues 9-14'!A156</f>
        <v>Learning Improvement - Change Grants</v>
      </c>
      <c r="E112" s="906"/>
      <c r="F112" s="1788">
        <f>'Revenues 9-14'!C156</f>
        <v>0</v>
      </c>
      <c r="G112" s="912"/>
    </row>
    <row r="113" spans="1:7" x14ac:dyDescent="0.2">
      <c r="A113" s="908" t="s">
        <v>668</v>
      </c>
      <c r="B113" s="908" t="s">
        <v>2011</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6">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6">
        <f>SUM('Revenues 9-14'!C163:G163)</f>
        <v>0</v>
      </c>
      <c r="G118" s="912"/>
    </row>
    <row r="119" spans="1:7" x14ac:dyDescent="0.2">
      <c r="A119" s="923" t="s">
        <v>504</v>
      </c>
      <c r="B119" s="923" t="s">
        <v>2017</v>
      </c>
      <c r="C119" s="924">
        <f>'Revenues 9-14'!B164</f>
        <v>3815</v>
      </c>
      <c r="D119" s="925" t="str">
        <f>'Revenues 9-14'!A164</f>
        <v>State Charter Schools</v>
      </c>
      <c r="E119" s="906"/>
      <c r="F119" s="1906">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8">
        <f>'Revenues 9-14'!D167</f>
        <v>0</v>
      </c>
      <c r="G120" s="930"/>
    </row>
    <row r="121" spans="1:7" x14ac:dyDescent="0.2">
      <c r="A121" s="927" t="s">
        <v>500</v>
      </c>
      <c r="B121" s="927" t="s">
        <v>2019</v>
      </c>
      <c r="C121" s="928">
        <f>'Revenues 9-14'!B168</f>
        <v>3999</v>
      </c>
      <c r="D121" s="929" t="s">
        <v>543</v>
      </c>
      <c r="E121" s="931"/>
      <c r="F121" s="1788">
        <f>SUM('Revenues 9-14'!C168:G168,'Revenues 9-14'!J168)</f>
        <v>750</v>
      </c>
      <c r="G121" s="930"/>
    </row>
    <row r="122" spans="1:7" x14ac:dyDescent="0.2">
      <c r="A122" s="927" t="s">
        <v>459</v>
      </c>
      <c r="B122" s="927" t="s">
        <v>2020</v>
      </c>
      <c r="C122" s="932">
        <f>'Revenues 9-14'!B177</f>
        <v>4045</v>
      </c>
      <c r="D122" s="929" t="str">
        <f>'Revenues 9-14'!A177 &amp; " (Subtract)"</f>
        <v>Head Start (Subtract)</v>
      </c>
      <c r="E122" s="906"/>
      <c r="F122" s="1788">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8">
        <f>SUM('Revenues 9-14'!C181,'Revenues 9-14'!D181,'Revenues 9-14'!F181,'Revenues 9-14'!G181)</f>
        <v>44716</v>
      </c>
      <c r="G123" s="930"/>
    </row>
    <row r="124" spans="1:7" x14ac:dyDescent="0.2">
      <c r="A124" s="927" t="s">
        <v>668</v>
      </c>
      <c r="B124" s="927" t="s">
        <v>2022</v>
      </c>
      <c r="C124" s="932">
        <v>4100</v>
      </c>
      <c r="D124" s="933" t="str">
        <f>'Revenues 9-14'!A188</f>
        <v>Total Title V</v>
      </c>
      <c r="E124" s="906"/>
      <c r="F124" s="1788">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8">
        <f>SUM('Revenues 9-14'!C198,'Revenues 9-14'!G198)</f>
        <v>122809</v>
      </c>
      <c r="G125" s="930"/>
    </row>
    <row r="126" spans="1:7" x14ac:dyDescent="0.2">
      <c r="A126" s="927" t="s">
        <v>668</v>
      </c>
      <c r="B126" s="927" t="s">
        <v>2024</v>
      </c>
      <c r="C126" s="932">
        <v>4300</v>
      </c>
      <c r="D126" s="933" t="str">
        <f>'Revenues 9-14'!A204</f>
        <v>Total Title I</v>
      </c>
      <c r="E126" s="906"/>
      <c r="F126" s="1788">
        <f>SUM('Revenues 9-14'!C204,'Revenues 9-14'!D204,'Revenues 9-14'!F204,'Revenues 9-14'!G204)</f>
        <v>103325</v>
      </c>
      <c r="G126" s="930"/>
    </row>
    <row r="127" spans="1:7" x14ac:dyDescent="0.2">
      <c r="A127" s="927" t="s">
        <v>668</v>
      </c>
      <c r="B127" s="927" t="s">
        <v>2025</v>
      </c>
      <c r="C127" s="932">
        <v>4400</v>
      </c>
      <c r="D127" s="933" t="str">
        <f>'Revenues 9-14'!A209</f>
        <v>Total Title IV</v>
      </c>
      <c r="E127" s="906"/>
      <c r="F127" s="1788">
        <f>SUM('Revenues 9-14'!C209,'Revenues 9-14'!D209,'Revenues 9-14'!F209,'Revenues 9-14'!G209)</f>
        <v>9539</v>
      </c>
      <c r="G127" s="930"/>
    </row>
    <row r="128" spans="1:7" x14ac:dyDescent="0.2">
      <c r="A128" s="927" t="s">
        <v>668</v>
      </c>
      <c r="B128" s="927" t="s">
        <v>2026</v>
      </c>
      <c r="C128" s="932">
        <f>'Revenues 9-14'!B213</f>
        <v>4620</v>
      </c>
      <c r="D128" s="933" t="str">
        <f>'Revenues 9-14'!A213</f>
        <v>Fed - Spec Education - IDEA - Flow Through</v>
      </c>
      <c r="E128" s="906"/>
      <c r="F128" s="1788">
        <f>SUM('Revenues 9-14'!C213:D213,'Revenues 9-14'!F213:G213)</f>
        <v>118184</v>
      </c>
      <c r="G128" s="930"/>
    </row>
    <row r="129" spans="1:7" x14ac:dyDescent="0.2">
      <c r="A129" s="927" t="s">
        <v>668</v>
      </c>
      <c r="B129" s="927" t="s">
        <v>2027</v>
      </c>
      <c r="C129" s="932">
        <f>'Revenues 9-14'!B214</f>
        <v>4625</v>
      </c>
      <c r="D129" s="933" t="str">
        <f>'Revenues 9-14'!A214</f>
        <v>Fed - Spec Education - IDEA - Room &amp; Board</v>
      </c>
      <c r="E129" s="906"/>
      <c r="F129" s="1788">
        <f>SUM('Revenues 9-14'!C214,'Revenues 9-14'!D214,'Revenues 9-14'!F214,'Revenues 9-14'!G214)</f>
        <v>45922</v>
      </c>
      <c r="G129" s="930"/>
    </row>
    <row r="130" spans="1:7" x14ac:dyDescent="0.2">
      <c r="A130" s="927" t="s">
        <v>668</v>
      </c>
      <c r="B130" s="927" t="s">
        <v>2028</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2029</v>
      </c>
      <c r="C132" s="932">
        <v>4700</v>
      </c>
      <c r="D132" s="929" t="str">
        <f>'Revenues 9-14'!A221</f>
        <v>Total CTE - Perkins</v>
      </c>
      <c r="E132" s="906"/>
      <c r="F132" s="1788">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8">
        <v>0</v>
      </c>
      <c r="G138" s="905"/>
    </row>
    <row r="139" spans="1:7" s="867" customFormat="1" hidden="1" x14ac:dyDescent="0.2">
      <c r="A139" s="934" t="s">
        <v>206</v>
      </c>
      <c r="B139" s="934" t="s">
        <v>2036</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2044</v>
      </c>
      <c r="C157" s="940" t="s">
        <v>841</v>
      </c>
      <c r="D157" s="941" t="s">
        <v>777</v>
      </c>
      <c r="E157" s="942"/>
      <c r="F157" s="1788">
        <f>SUM(F133:F156)</f>
        <v>0</v>
      </c>
      <c r="G157" s="905"/>
    </row>
    <row r="158" spans="1:7" s="867" customFormat="1" x14ac:dyDescent="0.2">
      <c r="A158" s="938" t="s">
        <v>459</v>
      </c>
      <c r="B158" s="939" t="s">
        <v>2045</v>
      </c>
      <c r="C158" s="940" t="s">
        <v>1427</v>
      </c>
      <c r="D158" s="941" t="s">
        <v>1428</v>
      </c>
      <c r="E158" s="942"/>
      <c r="F158" s="1788">
        <f>SUM('Revenues 9-14'!C253)</f>
        <v>0</v>
      </c>
      <c r="G158" s="905"/>
    </row>
    <row r="159" spans="1:7" s="867" customFormat="1" x14ac:dyDescent="0.2">
      <c r="A159" s="938" t="s">
        <v>500</v>
      </c>
      <c r="B159" s="939" t="s">
        <v>2046</v>
      </c>
      <c r="C159" s="940" t="s">
        <v>1466</v>
      </c>
      <c r="D159" s="941" t="s">
        <v>1467</v>
      </c>
      <c r="E159" s="942"/>
      <c r="F159" s="1788">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6">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6">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8">
        <f>SUM('Revenues 9-14'!C263:D263,'Revenues 9-14'!F263:G263)</f>
        <v>5117</v>
      </c>
      <c r="G168" s="947">
        <v>6320</v>
      </c>
    </row>
    <row r="169" spans="1:7" x14ac:dyDescent="0.2">
      <c r="A169" s="927" t="s">
        <v>668</v>
      </c>
      <c r="B169" s="927" t="s">
        <v>2054</v>
      </c>
      <c r="C169" s="932">
        <f>'Revenues 9-14'!B264</f>
        <v>4992</v>
      </c>
      <c r="D169" s="933" t="str">
        <f>'Revenues 9-14'!A264</f>
        <v>Medicaid Matching Funds - Fee-for-Service Program</v>
      </c>
      <c r="E169" s="906"/>
      <c r="F169" s="1788">
        <f>SUM('Revenues 9-14'!C264:D264,'Revenues 9-14'!F264:G264)</f>
        <v>8018</v>
      </c>
      <c r="G169" s="947"/>
    </row>
    <row r="170" spans="1:7" x14ac:dyDescent="0.2">
      <c r="A170" s="948" t="s">
        <v>668</v>
      </c>
      <c r="B170" s="944" t="s">
        <v>2055</v>
      </c>
      <c r="C170" s="945">
        <f>'Revenues 9-14'!B265</f>
        <v>4999</v>
      </c>
      <c r="D170" s="946" t="str">
        <f>'Revenues 9-14'!A265</f>
        <v>Other Restricted Revenue from Federal Sources (Describe &amp; Itemize)</v>
      </c>
      <c r="E170" s="906"/>
      <c r="F170" s="1788">
        <f>SUM('Revenues 9-14'!C265:D265,'Revenues 9-14'!F265:G265)</f>
        <v>0</v>
      </c>
      <c r="G170" s="927"/>
    </row>
    <row r="171" spans="1:7" x14ac:dyDescent="0.2">
      <c r="A171" s="1917" t="s">
        <v>5</v>
      </c>
      <c r="B171" s="1918" t="s">
        <v>1920</v>
      </c>
      <c r="C171" s="1919">
        <v>3100</v>
      </c>
      <c r="D171" s="1920" t="s">
        <v>1922</v>
      </c>
      <c r="E171" s="906"/>
      <c r="F171" s="1905">
        <v>127744</v>
      </c>
      <c r="G171" s="927"/>
    </row>
    <row r="172" spans="1:7" x14ac:dyDescent="0.2">
      <c r="A172" s="1917" t="s">
        <v>664</v>
      </c>
      <c r="B172" s="1918" t="s">
        <v>1920</v>
      </c>
      <c r="C172" s="1919">
        <v>3300</v>
      </c>
      <c r="D172" s="1920" t="s">
        <v>1923</v>
      </c>
      <c r="E172" s="906"/>
      <c r="F172" s="1905">
        <v>0</v>
      </c>
      <c r="G172" s="927"/>
    </row>
    <row r="173" spans="1:7" ht="6" customHeight="1" x14ac:dyDescent="0.2">
      <c r="A173" s="927"/>
      <c r="B173" s="927"/>
      <c r="C173" s="949"/>
      <c r="D173" s="927"/>
      <c r="E173" s="906"/>
      <c r="F173" s="950"/>
      <c r="G173" s="947"/>
    </row>
    <row r="174" spans="1:7" x14ac:dyDescent="0.2">
      <c r="A174" s="1769"/>
      <c r="B174" s="1783"/>
      <c r="C174" s="1784"/>
      <c r="D174" s="1785" t="s">
        <v>2056</v>
      </c>
      <c r="E174" s="1786" t="s">
        <v>958</v>
      </c>
      <c r="F174" s="1787">
        <f>SUM(F84:F132,F157:F172)</f>
        <v>837881</v>
      </c>
    </row>
    <row r="175" spans="1:7" ht="12" customHeight="1" x14ac:dyDescent="0.2">
      <c r="A175" s="1769"/>
      <c r="B175" s="1783"/>
      <c r="C175" s="1784"/>
      <c r="D175" s="1785" t="s">
        <v>2057</v>
      </c>
      <c r="E175" s="1786"/>
      <c r="F175" s="1788">
        <f>'PCTC-OEPP 27-28'!F77-F174</f>
        <v>2750289</v>
      </c>
    </row>
    <row r="176" spans="1:7" ht="12" customHeight="1" x14ac:dyDescent="0.2">
      <c r="A176" s="1769"/>
      <c r="B176" s="1783"/>
      <c r="C176" s="1784"/>
      <c r="D176" s="1785" t="s">
        <v>1817</v>
      </c>
      <c r="E176" s="1786"/>
      <c r="F176" s="1788">
        <f>'Cap Outlay Deprec 26'!I18</f>
        <v>143445</v>
      </c>
    </row>
    <row r="177" spans="1:7" ht="12" customHeight="1" x14ac:dyDescent="0.2">
      <c r="A177" s="1769"/>
      <c r="B177" s="1783"/>
      <c r="C177" s="1784"/>
      <c r="D177" s="1785" t="s">
        <v>2058</v>
      </c>
      <c r="E177" s="1786"/>
      <c r="F177" s="1788">
        <f>F175+F176</f>
        <v>2893734</v>
      </c>
    </row>
    <row r="178" spans="1:7" ht="12" customHeight="1" x14ac:dyDescent="0.2">
      <c r="A178" s="1769"/>
      <c r="B178" s="1789"/>
      <c r="C178" s="1784"/>
      <c r="D178" s="1785" t="str">
        <f>D78</f>
        <v>9 Month ADA from District Average Daily Attendance/Prior General State Aid Inquiry 2018-2019</v>
      </c>
      <c r="E178" s="1786"/>
      <c r="F178" s="1790">
        <f>'PCTC-OEPP 27-28'!F78</f>
        <v>315.5</v>
      </c>
      <c r="G178" s="930"/>
    </row>
    <row r="179" spans="1:7" ht="12" customHeight="1" thickBot="1" x14ac:dyDescent="0.25">
      <c r="A179" s="1769"/>
      <c r="B179" s="1789"/>
      <c r="C179" s="1784"/>
      <c r="D179" s="1785" t="s">
        <v>2059</v>
      </c>
      <c r="E179" s="1786" t="s">
        <v>1545</v>
      </c>
      <c r="F179" s="1791">
        <f>F177/F178</f>
        <v>9171.8985736925515</v>
      </c>
      <c r="G179" s="856">
        <v>6323</v>
      </c>
    </row>
    <row r="180" spans="1:7" ht="12" thickTop="1" x14ac:dyDescent="0.2">
      <c r="B180" s="930"/>
      <c r="C180" s="949"/>
      <c r="D180" s="930"/>
      <c r="E180" s="949"/>
      <c r="F180" s="930"/>
      <c r="G180" s="951">
        <v>6326</v>
      </c>
    </row>
    <row r="181" spans="1:7" ht="12.4" customHeight="1" x14ac:dyDescent="0.2">
      <c r="A181" s="930" t="s">
        <v>1921</v>
      </c>
      <c r="B181" s="930"/>
      <c r="C181" s="949"/>
      <c r="D181" s="930"/>
      <c r="E181" s="949"/>
      <c r="F181" s="930"/>
      <c r="G181" s="930"/>
    </row>
    <row r="182" spans="1:7" s="1921" customFormat="1" ht="12.4" customHeight="1" x14ac:dyDescent="0.2">
      <c r="A182" s="1921" t="s">
        <v>1994</v>
      </c>
      <c r="B182" s="1922"/>
      <c r="C182" s="1923"/>
      <c r="D182" s="1922"/>
      <c r="E182" s="1923"/>
      <c r="F182" s="1922"/>
      <c r="G182" s="1922"/>
    </row>
    <row r="183" spans="1:7" s="1921" customFormat="1" ht="12.4" customHeight="1" x14ac:dyDescent="0.2">
      <c r="A183" s="1924" t="s">
        <v>1996</v>
      </c>
      <c r="C183" s="1923"/>
      <c r="D183" s="1922"/>
      <c r="E183" s="1923"/>
      <c r="F183" s="1922"/>
      <c r="G183" s="1922"/>
    </row>
    <row r="184" spans="1:7" ht="12" customHeight="1" x14ac:dyDescent="0.2">
      <c r="C184" s="949"/>
      <c r="D184" s="930"/>
      <c r="E184" s="949"/>
      <c r="F184" s="930"/>
      <c r="G184" s="930"/>
    </row>
    <row r="185" spans="1:7" x14ac:dyDescent="0.2">
      <c r="A185" s="1925" t="s">
        <v>1925</v>
      </c>
      <c r="B185" s="1926"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10" zoomScaleNormal="100" workbookViewId="0">
      <selection activeCell="B40" sqref="B40"/>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1832</v>
      </c>
      <c r="B1" s="1659"/>
      <c r="C1" s="1659"/>
      <c r="D1" s="1659"/>
      <c r="E1" s="1659"/>
      <c r="F1" s="1659"/>
      <c r="G1" s="1659"/>
    </row>
    <row r="2" spans="1:7" x14ac:dyDescent="0.25">
      <c r="A2" s="1656"/>
      <c r="B2" s="1656"/>
      <c r="C2" s="1657" t="s">
        <v>979</v>
      </c>
      <c r="D2" s="1656"/>
      <c r="E2" s="1656"/>
      <c r="F2" s="1656"/>
      <c r="G2" s="1656"/>
    </row>
    <row r="3" spans="1:7" ht="5.25" customHeight="1" x14ac:dyDescent="0.25">
      <c r="A3" s="1544"/>
      <c r="B3" s="1544"/>
      <c r="C3" s="1544"/>
      <c r="D3" s="1544"/>
      <c r="E3" s="1544"/>
      <c r="F3" s="1544"/>
      <c r="G3" s="1544"/>
    </row>
    <row r="4" spans="1:7" ht="18.75" customHeight="1" x14ac:dyDescent="0.25">
      <c r="A4" s="2270" t="s">
        <v>1818</v>
      </c>
      <c r="B4" s="2271"/>
      <c r="C4" s="2271"/>
      <c r="D4" s="2271"/>
      <c r="E4" s="2271"/>
      <c r="F4" s="2271"/>
      <c r="G4" s="2272"/>
    </row>
    <row r="5" spans="1:7" x14ac:dyDescent="0.25">
      <c r="A5" s="2273"/>
      <c r="B5" s="2274"/>
      <c r="C5" s="2274"/>
      <c r="D5" s="2274"/>
      <c r="E5" s="2274"/>
      <c r="F5" s="2274"/>
      <c r="G5" s="2275"/>
    </row>
    <row r="6" spans="1:7" ht="18.75" x14ac:dyDescent="0.25">
      <c r="A6" s="1533" t="s">
        <v>1819</v>
      </c>
      <c r="B6" s="1534"/>
      <c r="C6" s="1534"/>
      <c r="D6" s="1534"/>
      <c r="E6" s="1534"/>
      <c r="F6" s="1534"/>
      <c r="G6" s="1535"/>
    </row>
    <row r="7" spans="1:7" ht="30.75" customHeight="1" x14ac:dyDescent="0.25">
      <c r="A7" s="2276" t="s">
        <v>1932</v>
      </c>
      <c r="B7" s="2277"/>
      <c r="C7" s="2277"/>
      <c r="D7" s="2277"/>
      <c r="E7" s="2277"/>
      <c r="F7" s="2277"/>
      <c r="G7" s="2278"/>
    </row>
    <row r="8" spans="1:7" ht="15.75" customHeight="1" x14ac:dyDescent="0.25">
      <c r="A8" s="2279" t="s">
        <v>1907</v>
      </c>
      <c r="B8" s="2280"/>
      <c r="C8" s="2280"/>
      <c r="D8" s="2280"/>
      <c r="E8" s="2280"/>
      <c r="F8" s="2280"/>
      <c r="G8" s="2281"/>
    </row>
    <row r="9" spans="1:7" ht="35.25" customHeight="1" x14ac:dyDescent="0.25">
      <c r="A9" s="2276" t="s">
        <v>1935</v>
      </c>
      <c r="B9" s="2277"/>
      <c r="C9" s="2277"/>
      <c r="D9" s="2277"/>
      <c r="E9" s="2277"/>
      <c r="F9" s="2277"/>
      <c r="G9" s="2278"/>
    </row>
    <row r="10" spans="1:7" ht="15" customHeight="1" x14ac:dyDescent="0.25">
      <c r="A10" s="1536" t="s">
        <v>1820</v>
      </c>
      <c r="B10" s="1537"/>
      <c r="C10" s="1537"/>
      <c r="D10" s="1537"/>
      <c r="E10" s="1537"/>
      <c r="F10" s="1537"/>
      <c r="G10" s="1538"/>
    </row>
    <row r="11" spans="1:7" ht="17.25" customHeight="1" x14ac:dyDescent="0.25">
      <c r="A11" s="2276" t="s">
        <v>1934</v>
      </c>
      <c r="B11" s="2277"/>
      <c r="C11" s="2277"/>
      <c r="D11" s="2277"/>
      <c r="E11" s="2277"/>
      <c r="F11" s="2277"/>
      <c r="G11" s="2278"/>
    </row>
    <row r="12" spans="1:7" ht="15" customHeight="1" x14ac:dyDescent="0.25">
      <c r="A12" s="1536" t="s">
        <v>1825</v>
      </c>
      <c r="B12" s="1537"/>
      <c r="C12" s="1537"/>
      <c r="D12" s="1537"/>
      <c r="E12" s="1537"/>
      <c r="F12" s="1537"/>
      <c r="G12" s="1538"/>
    </row>
    <row r="13" spans="1:7" ht="32.25" customHeight="1" x14ac:dyDescent="0.25">
      <c r="A13" s="2267" t="s">
        <v>1976</v>
      </c>
      <c r="B13" s="2268"/>
      <c r="C13" s="2268"/>
      <c r="D13" s="2268"/>
      <c r="E13" s="2268"/>
      <c r="F13" s="2268"/>
      <c r="G13" s="2269"/>
    </row>
    <row r="14" spans="1:7" x14ac:dyDescent="0.25">
      <c r="A14" s="1660" t="s">
        <v>1833</v>
      </c>
      <c r="B14" s="1661"/>
      <c r="C14" s="1661"/>
      <c r="D14" s="1661"/>
      <c r="E14" s="1661"/>
      <c r="F14" s="1661"/>
      <c r="G14" s="1662"/>
    </row>
    <row r="15" spans="1:7" ht="61.5" customHeight="1" x14ac:dyDescent="0.25">
      <c r="A15" s="1545" t="s">
        <v>1826</v>
      </c>
      <c r="B15" s="1545" t="s">
        <v>1827</v>
      </c>
      <c r="C15" s="1545" t="s">
        <v>1828</v>
      </c>
      <c r="D15" s="1546" t="s">
        <v>1829</v>
      </c>
      <c r="E15" s="1546" t="s">
        <v>1821</v>
      </c>
      <c r="F15" s="1546" t="s">
        <v>1830</v>
      </c>
      <c r="G15" s="1546" t="s">
        <v>1831</v>
      </c>
    </row>
    <row r="16" spans="1:7" x14ac:dyDescent="0.25">
      <c r="A16" s="1647" t="s">
        <v>1834</v>
      </c>
      <c r="B16" s="1648" t="s">
        <v>1824</v>
      </c>
      <c r="C16" s="1649" t="s">
        <v>1822</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35" t="s">
        <v>2102</v>
      </c>
      <c r="B17" s="2487" t="s">
        <v>2131</v>
      </c>
      <c r="C17" s="1936" t="s">
        <v>2100</v>
      </c>
      <c r="D17" s="1843">
        <v>29400</v>
      </c>
      <c r="E17" s="1539">
        <f t="shared" ref="E17:E141" si="0">IF(D17&lt;=25000,D17,IF(D17&gt;25000,25000,0))</f>
        <v>25000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2">
        <f>IF(F17=0,0,D17-F17)</f>
        <v>4400</v>
      </c>
      <c r="H17" s="1646"/>
    </row>
    <row r="18" spans="1:8" x14ac:dyDescent="0.25">
      <c r="A18" s="1935" t="s">
        <v>2101</v>
      </c>
      <c r="B18" s="2487" t="s">
        <v>2132</v>
      </c>
      <c r="C18" s="1936" t="s">
        <v>2103</v>
      </c>
      <c r="D18" s="1843">
        <v>17636</v>
      </c>
      <c r="E18" s="1539">
        <f t="shared" ref="E18:E140" si="2">IF(D18&lt;=25000,D18,IF(D18&gt;25000,25000,0))</f>
        <v>17636</v>
      </c>
      <c r="F18" s="1931">
        <f t="shared" si="1"/>
        <v>17636</v>
      </c>
      <c r="G18" s="1792">
        <f t="shared" ref="G18:G140" si="3">IF(F18=0,0,D18-F18)</f>
        <v>0</v>
      </c>
    </row>
    <row r="19" spans="1:8" x14ac:dyDescent="0.25">
      <c r="A19" s="1935" t="s">
        <v>2101</v>
      </c>
      <c r="B19" s="2487" t="s">
        <v>2132</v>
      </c>
      <c r="C19" s="1936" t="s">
        <v>2104</v>
      </c>
      <c r="D19" s="1843">
        <v>3204</v>
      </c>
      <c r="E19" s="1539">
        <f t="shared" si="2"/>
        <v>3204</v>
      </c>
      <c r="F19" s="1931">
        <f t="shared" si="1"/>
        <v>3204</v>
      </c>
      <c r="G19" s="1792">
        <f t="shared" si="3"/>
        <v>0</v>
      </c>
    </row>
    <row r="20" spans="1:8" x14ac:dyDescent="0.25">
      <c r="A20" s="1935" t="s">
        <v>2101</v>
      </c>
      <c r="B20" s="2487" t="s">
        <v>2132</v>
      </c>
      <c r="C20" s="1936" t="s">
        <v>2105</v>
      </c>
      <c r="D20" s="1843">
        <v>4887</v>
      </c>
      <c r="E20" s="1539">
        <f t="shared" si="2"/>
        <v>4887</v>
      </c>
      <c r="F20" s="1931">
        <f t="shared" si="1"/>
        <v>4887</v>
      </c>
      <c r="G20" s="1792">
        <f t="shared" si="3"/>
        <v>0</v>
      </c>
    </row>
    <row r="21" spans="1:8" x14ac:dyDescent="0.25">
      <c r="A21" s="1935" t="s">
        <v>2101</v>
      </c>
      <c r="B21" s="2487" t="s">
        <v>2132</v>
      </c>
      <c r="C21" s="1936" t="s">
        <v>2106</v>
      </c>
      <c r="D21" s="1843">
        <v>11193</v>
      </c>
      <c r="E21" s="1539">
        <f t="shared" si="2"/>
        <v>11193</v>
      </c>
      <c r="F21" s="1931">
        <f t="shared" si="1"/>
        <v>11193</v>
      </c>
      <c r="G21" s="1792">
        <f t="shared" si="3"/>
        <v>0</v>
      </c>
    </row>
    <row r="22" spans="1:8" x14ac:dyDescent="0.25">
      <c r="A22" s="1935" t="s">
        <v>2101</v>
      </c>
      <c r="B22" s="2487" t="s">
        <v>2132</v>
      </c>
      <c r="C22" s="1936" t="s">
        <v>2107</v>
      </c>
      <c r="D22" s="1843">
        <v>560</v>
      </c>
      <c r="E22" s="1539">
        <f t="shared" si="2"/>
        <v>560</v>
      </c>
      <c r="F22" s="1931">
        <f t="shared" si="1"/>
        <v>560</v>
      </c>
      <c r="G22" s="1792">
        <f t="shared" si="3"/>
        <v>0</v>
      </c>
    </row>
    <row r="23" spans="1:8" x14ac:dyDescent="0.25">
      <c r="A23" s="1935" t="s">
        <v>2101</v>
      </c>
      <c r="B23" s="2487" t="s">
        <v>2133</v>
      </c>
      <c r="C23" s="1936" t="s">
        <v>2108</v>
      </c>
      <c r="D23" s="1843">
        <v>650</v>
      </c>
      <c r="E23" s="1539">
        <f t="shared" si="2"/>
        <v>650</v>
      </c>
      <c r="F23" s="1931">
        <f t="shared" si="1"/>
        <v>650</v>
      </c>
      <c r="G23" s="1792">
        <f t="shared" si="3"/>
        <v>0</v>
      </c>
    </row>
    <row r="24" spans="1:8" x14ac:dyDescent="0.25">
      <c r="A24" s="1935" t="s">
        <v>2101</v>
      </c>
      <c r="B24" s="2487" t="s">
        <v>2133</v>
      </c>
      <c r="C24" s="1936" t="s">
        <v>2109</v>
      </c>
      <c r="D24" s="1843">
        <v>886</v>
      </c>
      <c r="E24" s="1539">
        <f t="shared" si="2"/>
        <v>886</v>
      </c>
      <c r="F24" s="1931">
        <f t="shared" si="1"/>
        <v>886</v>
      </c>
      <c r="G24" s="1792">
        <f t="shared" si="3"/>
        <v>0</v>
      </c>
    </row>
    <row r="25" spans="1:8" x14ac:dyDescent="0.25">
      <c r="A25" s="1935" t="s">
        <v>2101</v>
      </c>
      <c r="B25" s="2487" t="s">
        <v>2132</v>
      </c>
      <c r="C25" s="1936" t="s">
        <v>2110</v>
      </c>
      <c r="D25" s="1843">
        <v>10</v>
      </c>
      <c r="E25" s="1539">
        <f t="shared" si="2"/>
        <v>10</v>
      </c>
      <c r="F25" s="1931">
        <f t="shared" si="1"/>
        <v>10</v>
      </c>
      <c r="G25" s="1792">
        <f t="shared" si="3"/>
        <v>0</v>
      </c>
    </row>
    <row r="26" spans="1:8" x14ac:dyDescent="0.25">
      <c r="A26" s="1935" t="s">
        <v>2101</v>
      </c>
      <c r="B26" s="2487" t="s">
        <v>2133</v>
      </c>
      <c r="C26" s="1936" t="s">
        <v>2111</v>
      </c>
      <c r="D26" s="1843">
        <v>10460</v>
      </c>
      <c r="E26" s="1539">
        <f t="shared" si="2"/>
        <v>10460</v>
      </c>
      <c r="F26" s="1931">
        <f t="shared" si="1"/>
        <v>10460</v>
      </c>
      <c r="G26" s="1792">
        <f t="shared" si="3"/>
        <v>0</v>
      </c>
    </row>
    <row r="27" spans="1:8" x14ac:dyDescent="0.25">
      <c r="A27" s="1935" t="s">
        <v>2101</v>
      </c>
      <c r="B27" s="2487" t="s">
        <v>2133</v>
      </c>
      <c r="C27" s="1936" t="s">
        <v>2112</v>
      </c>
      <c r="D27" s="1843">
        <v>1200</v>
      </c>
      <c r="E27" s="1539">
        <f t="shared" si="2"/>
        <v>1200</v>
      </c>
      <c r="F27" s="1931">
        <f t="shared" si="1"/>
        <v>1200</v>
      </c>
      <c r="G27" s="1792">
        <f t="shared" si="3"/>
        <v>0</v>
      </c>
    </row>
    <row r="28" spans="1:8" x14ac:dyDescent="0.25">
      <c r="A28" s="1935" t="s">
        <v>2101</v>
      </c>
      <c r="B28" s="2487" t="s">
        <v>2133</v>
      </c>
      <c r="C28" s="1936" t="s">
        <v>2113</v>
      </c>
      <c r="D28" s="1843">
        <v>6082</v>
      </c>
      <c r="E28" s="1539">
        <f t="shared" si="2"/>
        <v>6082</v>
      </c>
      <c r="F28" s="1931">
        <f t="shared" si="1"/>
        <v>6082</v>
      </c>
      <c r="G28" s="1792">
        <f t="shared" si="3"/>
        <v>0</v>
      </c>
    </row>
    <row r="29" spans="1:8" x14ac:dyDescent="0.25">
      <c r="A29" s="1935" t="s">
        <v>2101</v>
      </c>
      <c r="B29" s="2487" t="s">
        <v>2133</v>
      </c>
      <c r="C29" s="1936" t="s">
        <v>2114</v>
      </c>
      <c r="D29" s="1843">
        <v>1755</v>
      </c>
      <c r="E29" s="1539">
        <f t="shared" si="2"/>
        <v>1755</v>
      </c>
      <c r="F29" s="1931">
        <f t="shared" si="1"/>
        <v>1755</v>
      </c>
      <c r="G29" s="1792">
        <f t="shared" si="3"/>
        <v>0</v>
      </c>
    </row>
    <row r="30" spans="1:8" x14ac:dyDescent="0.25">
      <c r="A30" s="1935" t="s">
        <v>2101</v>
      </c>
      <c r="B30" s="2487" t="s">
        <v>2133</v>
      </c>
      <c r="C30" s="1936" t="s">
        <v>2069</v>
      </c>
      <c r="D30" s="1843">
        <v>2000</v>
      </c>
      <c r="E30" s="1539">
        <f t="shared" si="2"/>
        <v>2000</v>
      </c>
      <c r="F30" s="1931">
        <f t="shared" si="1"/>
        <v>2000</v>
      </c>
      <c r="G30" s="1792">
        <f t="shared" si="3"/>
        <v>0</v>
      </c>
    </row>
    <row r="31" spans="1:8" x14ac:dyDescent="0.25">
      <c r="A31" s="1937" t="s">
        <v>2127</v>
      </c>
      <c r="B31" s="2487" t="s">
        <v>2115</v>
      </c>
      <c r="C31" s="1936" t="s">
        <v>2116</v>
      </c>
      <c r="D31" s="1843">
        <v>1130</v>
      </c>
      <c r="E31" s="1539">
        <f t="shared" si="2"/>
        <v>1130</v>
      </c>
      <c r="F31" s="1931">
        <f t="shared" si="1"/>
        <v>1130</v>
      </c>
      <c r="G31" s="1792">
        <f t="shared" si="3"/>
        <v>0</v>
      </c>
    </row>
    <row r="32" spans="1:8" x14ac:dyDescent="0.25">
      <c r="A32" s="1935" t="s">
        <v>2117</v>
      </c>
      <c r="B32" s="2487" t="s">
        <v>2118</v>
      </c>
      <c r="C32" s="1936" t="s">
        <v>2119</v>
      </c>
      <c r="D32" s="1843">
        <v>4728</v>
      </c>
      <c r="E32" s="1539">
        <f t="shared" si="2"/>
        <v>4728</v>
      </c>
      <c r="F32" s="1931">
        <f t="shared" si="1"/>
        <v>4728</v>
      </c>
      <c r="G32" s="1792">
        <f t="shared" si="3"/>
        <v>0</v>
      </c>
    </row>
    <row r="33" spans="1:7" x14ac:dyDescent="0.25">
      <c r="A33" s="1935" t="s">
        <v>2117</v>
      </c>
      <c r="B33" s="2487" t="s">
        <v>2118</v>
      </c>
      <c r="C33" s="1936" t="s">
        <v>2120</v>
      </c>
      <c r="D33" s="1843">
        <v>9200</v>
      </c>
      <c r="E33" s="1539">
        <f t="shared" si="2"/>
        <v>9200</v>
      </c>
      <c r="F33" s="1931">
        <f t="shared" si="1"/>
        <v>9200</v>
      </c>
      <c r="G33" s="1792">
        <f t="shared" si="3"/>
        <v>0</v>
      </c>
    </row>
    <row r="34" spans="1:7" x14ac:dyDescent="0.25">
      <c r="A34" s="1935" t="s">
        <v>2117</v>
      </c>
      <c r="B34" s="2487" t="s">
        <v>2118</v>
      </c>
      <c r="C34" s="1936" t="s">
        <v>2121</v>
      </c>
      <c r="D34" s="1843">
        <v>657</v>
      </c>
      <c r="E34" s="1539">
        <f t="shared" si="2"/>
        <v>657</v>
      </c>
      <c r="F34" s="1931">
        <f t="shared" si="1"/>
        <v>657</v>
      </c>
      <c r="G34" s="1792">
        <f t="shared" si="3"/>
        <v>0</v>
      </c>
    </row>
    <row r="35" spans="1:7" x14ac:dyDescent="0.25">
      <c r="A35" s="1935" t="s">
        <v>2117</v>
      </c>
      <c r="B35" s="2487" t="s">
        <v>2118</v>
      </c>
      <c r="C35" s="1936" t="s">
        <v>2122</v>
      </c>
      <c r="D35" s="1843">
        <v>780</v>
      </c>
      <c r="E35" s="1539">
        <f t="shared" si="2"/>
        <v>780</v>
      </c>
      <c r="F35" s="1931">
        <f t="shared" si="1"/>
        <v>780</v>
      </c>
      <c r="G35" s="1792">
        <f t="shared" si="3"/>
        <v>0</v>
      </c>
    </row>
    <row r="36" spans="1:7" x14ac:dyDescent="0.25">
      <c r="A36" s="1935" t="s">
        <v>2126</v>
      </c>
      <c r="B36" s="2487" t="s">
        <v>2125</v>
      </c>
      <c r="C36" s="1936" t="s">
        <v>2123</v>
      </c>
      <c r="D36" s="1843">
        <v>957</v>
      </c>
      <c r="E36" s="1539">
        <f t="shared" si="2"/>
        <v>957</v>
      </c>
      <c r="F36" s="1931">
        <f t="shared" si="1"/>
        <v>957</v>
      </c>
      <c r="G36" s="1792">
        <f t="shared" si="3"/>
        <v>0</v>
      </c>
    </row>
    <row r="37" spans="1:7" x14ac:dyDescent="0.25">
      <c r="A37" s="1935" t="s">
        <v>2126</v>
      </c>
      <c r="B37" s="2487" t="s">
        <v>2125</v>
      </c>
      <c r="C37" s="1936" t="s">
        <v>2124</v>
      </c>
      <c r="D37" s="1843">
        <v>4924</v>
      </c>
      <c r="E37" s="1539">
        <f t="shared" si="2"/>
        <v>4924</v>
      </c>
      <c r="F37" s="1931">
        <f t="shared" si="1"/>
        <v>4924</v>
      </c>
      <c r="G37" s="1792">
        <f t="shared" si="3"/>
        <v>0</v>
      </c>
    </row>
    <row r="38" spans="1:7" x14ac:dyDescent="0.25">
      <c r="A38" s="1935" t="s">
        <v>2126</v>
      </c>
      <c r="B38" s="2487" t="s">
        <v>2125</v>
      </c>
      <c r="C38" s="1936" t="s">
        <v>2124</v>
      </c>
      <c r="D38" s="1843">
        <v>899</v>
      </c>
      <c r="E38" s="1539">
        <f t="shared" si="2"/>
        <v>899</v>
      </c>
      <c r="F38" s="1931">
        <f t="shared" si="1"/>
        <v>899</v>
      </c>
      <c r="G38" s="1792">
        <f t="shared" si="3"/>
        <v>0</v>
      </c>
    </row>
    <row r="39" spans="1:7" x14ac:dyDescent="0.25">
      <c r="A39" s="1938" t="s">
        <v>2101</v>
      </c>
      <c r="B39" s="2487" t="s">
        <v>2128</v>
      </c>
      <c r="C39" s="1936" t="s">
        <v>2103</v>
      </c>
      <c r="D39" s="1843">
        <v>38308</v>
      </c>
      <c r="E39" s="1539">
        <f t="shared" si="2"/>
        <v>25000</v>
      </c>
      <c r="F39" s="1931">
        <f t="shared" si="1"/>
        <v>25000</v>
      </c>
      <c r="G39" s="1792">
        <f t="shared" si="3"/>
        <v>13308</v>
      </c>
    </row>
    <row r="40" spans="1:7" x14ac:dyDescent="0.25">
      <c r="A40" s="1939"/>
      <c r="B40" s="1940"/>
      <c r="C40" s="1653"/>
      <c r="D40" s="1843"/>
      <c r="E40" s="1539">
        <f t="shared" si="2"/>
        <v>0</v>
      </c>
      <c r="F40" s="1931">
        <f t="shared" si="1"/>
        <v>0</v>
      </c>
      <c r="G40" s="1792">
        <f t="shared" si="3"/>
        <v>0</v>
      </c>
    </row>
    <row r="41" spans="1:7" x14ac:dyDescent="0.25">
      <c r="A41" s="1652"/>
      <c r="B41" s="1933"/>
      <c r="C41" s="1653"/>
      <c r="D41" s="1843"/>
      <c r="E41" s="1539">
        <f t="shared" si="2"/>
        <v>0</v>
      </c>
      <c r="F41" s="1931">
        <f t="shared" si="1"/>
        <v>0</v>
      </c>
      <c r="G41" s="1792">
        <f t="shared" si="3"/>
        <v>0</v>
      </c>
    </row>
    <row r="42" spans="1:7" x14ac:dyDescent="0.25">
      <c r="A42" s="1652"/>
      <c r="B42" s="1933"/>
      <c r="C42" s="1653"/>
      <c r="D42" s="1843"/>
      <c r="E42" s="1539">
        <f t="shared" si="2"/>
        <v>0</v>
      </c>
      <c r="F42" s="1931">
        <f t="shared" si="1"/>
        <v>0</v>
      </c>
      <c r="G42" s="1792">
        <f t="shared" si="3"/>
        <v>0</v>
      </c>
    </row>
    <row r="43" spans="1:7" x14ac:dyDescent="0.25">
      <c r="A43" s="1652"/>
      <c r="B43" s="1933"/>
      <c r="C43" s="1653"/>
      <c r="D43" s="1843"/>
      <c r="E43" s="1539">
        <f t="shared" si="2"/>
        <v>0</v>
      </c>
      <c r="F43" s="1931">
        <f t="shared" si="1"/>
        <v>0</v>
      </c>
      <c r="G43" s="1792">
        <f t="shared" si="3"/>
        <v>0</v>
      </c>
    </row>
    <row r="44" spans="1:7" x14ac:dyDescent="0.25">
      <c r="A44" s="1652"/>
      <c r="B44" s="1933"/>
      <c r="C44" s="1653"/>
      <c r="D44" s="1843"/>
      <c r="E44" s="1539">
        <f t="shared" si="2"/>
        <v>0</v>
      </c>
      <c r="F44" s="1931">
        <f t="shared" si="1"/>
        <v>0</v>
      </c>
      <c r="G44" s="1792">
        <f t="shared" si="3"/>
        <v>0</v>
      </c>
    </row>
    <row r="45" spans="1:7" x14ac:dyDescent="0.25">
      <c r="A45" s="1652"/>
      <c r="B45" s="1933"/>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151506</v>
      </c>
      <c r="E141" s="1540">
        <f t="shared" si="0"/>
        <v>25000</v>
      </c>
      <c r="F141" s="1932">
        <f>SUM(F17:F140)</f>
        <v>133798</v>
      </c>
      <c r="G141" s="1794">
        <f>SUM(G17:G140)</f>
        <v>17708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6" colorId="8" zoomScale="110" zoomScaleNormal="110" workbookViewId="0">
      <selection activeCell="X26" sqref="X2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2" customHeight="1" x14ac:dyDescent="0.2">
      <c r="A1" s="1633" t="s">
        <v>1115</v>
      </c>
      <c r="B1" s="1634"/>
      <c r="C1" s="1635"/>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2" t="s">
        <v>1679</v>
      </c>
      <c r="B5" s="2283"/>
      <c r="C5" s="2283"/>
      <c r="D5" s="2283"/>
      <c r="E5" s="2283"/>
      <c r="F5" s="2283"/>
      <c r="G5" s="2284"/>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76666</v>
      </c>
      <c r="F10" s="974"/>
      <c r="G10" s="975"/>
      <c r="H10" s="162"/>
      <c r="I10" s="162"/>
    </row>
    <row r="11" spans="1:9" s="668" customFormat="1" ht="22.5" customHeight="1" x14ac:dyDescent="0.2">
      <c r="A11" s="2287" t="s">
        <v>1977</v>
      </c>
      <c r="B11" s="2288"/>
      <c r="C11" s="2288"/>
      <c r="D11" s="2289"/>
      <c r="E11" s="977">
        <v>12523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7" t="s">
        <v>532</v>
      </c>
      <c r="E17" s="1638"/>
      <c r="F17" s="1637" t="s">
        <v>433</v>
      </c>
      <c r="G17" s="1639"/>
      <c r="H17" s="162"/>
      <c r="I17" s="162"/>
    </row>
    <row r="18" spans="1:9" s="259" customFormat="1" ht="11.25" x14ac:dyDescent="0.2">
      <c r="A18" s="988"/>
      <c r="C18" s="989" t="s">
        <v>434</v>
      </c>
      <c r="D18" s="1640" t="s">
        <v>435</v>
      </c>
      <c r="E18" s="1640" t="s">
        <v>53</v>
      </c>
      <c r="F18" s="1640" t="s">
        <v>435</v>
      </c>
      <c r="G18" s="1640"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1955739</v>
      </c>
      <c r="F19" s="1798"/>
      <c r="G19" s="1800">
        <f>'Expenditures 15-22'!K33-SUM('Expenditures 15-22'!G33,'Expenditures 15-22'!I33)+'Expenditures 15-22'!D229</f>
        <v>1955739</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120535</v>
      </c>
      <c r="F21" s="1801"/>
      <c r="G21" s="1804">
        <f>'Expenditures 15-22'!K42-SUM('Expenditures 15-22'!G42,'Expenditures 15-22'!I42)+'Expenditures 15-22'!K120-SUM('Expenditures 15-22'!G120,'Expenditures 15-22'!I120)+'Expenditures 15-22'!K180-SUM('Expenditures 15-22'!G180,'Expenditures 15-22'!I180)+'Expenditures 15-22'!D238</f>
        <v>120535</v>
      </c>
      <c r="H21" s="987"/>
      <c r="I21" s="162"/>
    </row>
    <row r="22" spans="1:9" s="668" customFormat="1" ht="12" customHeight="1" x14ac:dyDescent="0.2">
      <c r="A22" s="994" t="s">
        <v>564</v>
      </c>
      <c r="B22" s="995"/>
      <c r="C22" s="993">
        <v>2200</v>
      </c>
      <c r="D22" s="1801"/>
      <c r="E22" s="1803">
        <f>'Expenditures 15-22'!K47-SUM('Expenditures 15-22'!G47,'Expenditures 15-22'!I47)+'Expenditures 15-22'!D243</f>
        <v>94314</v>
      </c>
      <c r="F22" s="1801"/>
      <c r="G22" s="1804">
        <f>'Expenditures 15-22'!K47-SUM('Expenditures 15-22'!G47,'Expenditures 15-22'!I47)+'Expenditures 15-22'!D243</f>
        <v>94314</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356921</v>
      </c>
      <c r="F23" s="1801"/>
      <c r="G23" s="1803">
        <f>'Expenditures 15-22'!K53-SUM('Expenditures 15-22'!G53,'Expenditures 15-22'!I53)+'Expenditures 15-22'!D257+'Expenditures 15-22'!K330-SUM('Expenditures 15-22'!G330,'Expenditures 15-22'!I330)</f>
        <v>356921</v>
      </c>
      <c r="H23" s="987"/>
      <c r="I23" s="162"/>
    </row>
    <row r="24" spans="1:9" s="668" customFormat="1" ht="12" customHeight="1" x14ac:dyDescent="0.2">
      <c r="A24" s="994" t="s">
        <v>566</v>
      </c>
      <c r="B24" s="995"/>
      <c r="C24" s="993">
        <v>2400</v>
      </c>
      <c r="D24" s="1801"/>
      <c r="E24" s="1803">
        <f>'Expenditures 15-22'!K57-SUM('Expenditures 15-22'!G57,'Expenditures 15-22'!I57)+'Expenditures 15-22'!D261</f>
        <v>290410</v>
      </c>
      <c r="F24" s="1801"/>
      <c r="G24" s="1804">
        <f>'Expenditures 15-22'!K57-SUM('Expenditures 15-22'!G57,'Expenditures 15-22'!I57)+'Expenditures 15-22'!D261</f>
        <v>290410</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23707</v>
      </c>
      <c r="E27" s="1803">
        <f>E8</f>
        <v>0</v>
      </c>
      <c r="F27" s="1803">
        <f>'Expenditures 15-22'!K60-SUM('Expenditures 15-22'!G60,'Expenditures 15-22'!I60)+'Expenditures 15-22'!D264-E8</f>
        <v>23707</v>
      </c>
      <c r="G27" s="1804">
        <f>E8</f>
        <v>0</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348963</v>
      </c>
      <c r="F28" s="1805">
        <f>'Expenditures 15-22'!K61-SUM('Expenditures 15-22'!G61,'Expenditures 15-22'!I61)+'Expenditures 15-22'!K124-SUM('Expenditures 15-22'!G124,'Expenditures 15-22'!I124)+'Expenditures 15-22'!D266-E9</f>
        <v>348963</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217343</v>
      </c>
      <c r="F29" s="1801"/>
      <c r="G29" s="1804">
        <f>'Expenditures 15-22'!K62-SUM('Expenditures 15-22'!G62,'Expenditures 15-22'!I62)+'Expenditures 15-22'!K125-SUM('Expenditures 15-22'!G125,'Expenditures 15-22'!I125)+'Expenditures 15-22'!K182-SUM('Expenditures 15-22'!G182,'Expenditures 15-22'!I182)+'Expenditures 15-22'!D267</f>
        <v>217343</v>
      </c>
      <c r="H29" s="985"/>
    </row>
    <row r="30" spans="1:9" ht="12" customHeight="1" x14ac:dyDescent="0.2">
      <c r="A30" s="994" t="s">
        <v>100</v>
      </c>
      <c r="B30" s="997"/>
      <c r="C30" s="993">
        <v>2560</v>
      </c>
      <c r="D30" s="1801"/>
      <c r="E30" s="1803">
        <f>'Expenditures 15-22'!K63-SUM('Expenditures 15-22'!G63,'Expenditures 15-22'!I63)+'Expenditures 15-22'!D268-E10</f>
        <v>106468</v>
      </c>
      <c r="F30" s="1801"/>
      <c r="G30" s="1803">
        <f>'Expenditures 15-22'!K63-SUM('Expenditures 15-22'!G63,'Expenditures 15-22'!I63)+'Expenditures 15-22'!D268-E10</f>
        <v>106468</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994" t="s">
        <v>520</v>
      </c>
      <c r="B34" s="997"/>
      <c r="C34" s="993">
        <v>2620</v>
      </c>
      <c r="D34" s="1801"/>
      <c r="E34" s="1803">
        <f>'Expenditures 15-22'!K68-SUM('Expenditures 15-22'!G68,'Expenditures 15-22'!I68)+'Expenditures 15-22'!D273</f>
        <v>38308</v>
      </c>
      <c r="F34" s="1801"/>
      <c r="G34" s="1803">
        <f>'Expenditures 15-22'!K68-SUM('Expenditures 15-22'!G68,'Expenditures 15-22'!I68)+'Expenditures 15-22'!D273</f>
        <v>38308</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404</v>
      </c>
      <c r="B37" s="997"/>
      <c r="C37" s="99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12</v>
      </c>
      <c r="F38" s="1801"/>
      <c r="G38" s="1803">
        <f>'Expenditures 15-22'!K73-SUM('Expenditures 15-22'!G73,'Expenditures 15-22'!I73)+'Expenditures 15-22'!K128-SUM('Expenditures 15-22'!G128,'Expenditures 15-22'!I128)+'Expenditures 15-22'!K183-SUM('Expenditures 15-22'!G183,'Expenditures 15-22'!I183)+'Expenditures 15-22'!D278</f>
        <v>12</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1160</v>
      </c>
      <c r="F39" s="1801"/>
      <c r="G39" s="1803">
        <f>'Expenditures 15-22'!K75-SUM('Expenditures 15-22'!G75,'Expenditures 15-22'!I75)+'Expenditures 15-22'!K130-SUM('Expenditures 15-22'!G130,'Expenditures 15-22'!I130)+'Expenditures 15-22'!K185-SUM('Expenditures 15-22'!G185,'Expenditures 15-22'!I185)+'Expenditures 15-22'!D280</f>
        <v>1160</v>
      </c>
    </row>
    <row r="40" spans="1:7" ht="12" customHeight="1" x14ac:dyDescent="0.2">
      <c r="A40" s="990" t="s">
        <v>1823</v>
      </c>
      <c r="B40" s="991"/>
      <c r="C40" s="993"/>
      <c r="D40" s="1801"/>
      <c r="E40" s="1805">
        <f>-'Contracts Paid in CY 29'!G141</f>
        <v>-17708</v>
      </c>
      <c r="F40" s="1801"/>
      <c r="G40" s="1805">
        <f>-'Contracts Paid in CY 29'!G141</f>
        <v>-17708</v>
      </c>
    </row>
    <row r="41" spans="1:7" ht="12" customHeight="1" x14ac:dyDescent="0.2">
      <c r="A41" s="998" t="s">
        <v>156</v>
      </c>
      <c r="B41" s="999"/>
      <c r="C41" s="1000"/>
      <c r="D41" s="1805">
        <f>SUM(D19:D39)</f>
        <v>23707</v>
      </c>
      <c r="E41" s="1805">
        <f>SUM(E19:E40)</f>
        <v>3512465</v>
      </c>
      <c r="F41" s="1805">
        <f>SUM(F19:F39)</f>
        <v>372670</v>
      </c>
      <c r="G41" s="1805">
        <f>SUM(G19:G40)</f>
        <v>3163502</v>
      </c>
    </row>
    <row r="42" spans="1:7" x14ac:dyDescent="0.2">
      <c r="A42" s="987"/>
      <c r="B42" s="162"/>
      <c r="C42" s="1001"/>
      <c r="D42" s="2285" t="s">
        <v>522</v>
      </c>
      <c r="E42" s="2286"/>
      <c r="F42" s="1002" t="s">
        <v>523</v>
      </c>
      <c r="G42" s="1003"/>
    </row>
    <row r="43" spans="1:7" ht="12" customHeight="1" x14ac:dyDescent="0.2">
      <c r="A43" s="987"/>
      <c r="B43" s="162"/>
      <c r="C43" s="1001"/>
      <c r="D43" s="1806" t="s">
        <v>473</v>
      </c>
      <c r="E43" s="1807">
        <f>D41</f>
        <v>23707</v>
      </c>
      <c r="F43" s="1806" t="s">
        <v>473</v>
      </c>
      <c r="G43" s="1807">
        <f>F41</f>
        <v>372670</v>
      </c>
    </row>
    <row r="44" spans="1:7" ht="12" customHeight="1" x14ac:dyDescent="0.2">
      <c r="A44" s="987"/>
      <c r="B44" s="162"/>
      <c r="C44" s="1001"/>
      <c r="D44" s="1806" t="s">
        <v>474</v>
      </c>
      <c r="E44" s="1807">
        <f>E41</f>
        <v>3512465</v>
      </c>
      <c r="F44" s="1806" t="s">
        <v>474</v>
      </c>
      <c r="G44" s="1807">
        <f>G41</f>
        <v>3163502</v>
      </c>
    </row>
    <row r="45" spans="1:7" ht="12" customHeight="1" x14ac:dyDescent="0.2">
      <c r="A45" s="987"/>
      <c r="B45" s="162"/>
      <c r="C45" s="162"/>
      <c r="D45" s="1808" t="s">
        <v>1006</v>
      </c>
      <c r="E45" s="1809">
        <f>(E43/E44)</f>
        <v>6.7493910971354876E-3</v>
      </c>
      <c r="F45" s="1808" t="s">
        <v>1006</v>
      </c>
      <c r="G45" s="1809">
        <f>(G43/G44)</f>
        <v>0.11780299174775297</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7" activePane="bottomLeft" state="frozen"/>
      <selection activeCell="X26" sqref="X26"/>
      <selection pane="bottomLeft" activeCell="X26" sqref="X26"/>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04" t="s">
        <v>1379</v>
      </c>
      <c r="B1" s="2304"/>
      <c r="C1" s="2304"/>
      <c r="D1" s="2304"/>
      <c r="E1" s="2304"/>
      <c r="F1" s="2304"/>
    </row>
    <row r="2" spans="1:10" x14ac:dyDescent="0.2">
      <c r="A2" s="1886" t="s">
        <v>1912</v>
      </c>
      <c r="B2" s="1847"/>
      <c r="C2" s="1886"/>
      <c r="D2" s="1847"/>
      <c r="E2" s="1847"/>
      <c r="F2" s="1848"/>
    </row>
    <row r="3" spans="1:10" x14ac:dyDescent="0.2">
      <c r="A3" s="1886" t="s">
        <v>1978</v>
      </c>
      <c r="B3" s="1847"/>
      <c r="C3" s="1886"/>
      <c r="D3" s="1847"/>
      <c r="E3" s="1847"/>
      <c r="F3" s="1848"/>
    </row>
    <row r="4" spans="1:10" ht="3.95" customHeight="1" x14ac:dyDescent="0.2">
      <c r="A4" s="1847"/>
      <c r="B4" s="1847"/>
      <c r="C4" s="1847"/>
      <c r="D4" s="1847"/>
      <c r="E4" s="1847"/>
      <c r="F4" s="1848"/>
    </row>
    <row r="5" spans="1:10" ht="15" x14ac:dyDescent="0.25">
      <c r="A5" s="2305" t="s">
        <v>1546</v>
      </c>
      <c r="B5" s="2306"/>
      <c r="C5" s="2307"/>
      <c r="D5" s="2307"/>
      <c r="E5" s="2307"/>
      <c r="F5" s="2307"/>
    </row>
    <row r="6" spans="1:10" ht="12" customHeight="1" x14ac:dyDescent="0.25">
      <c r="A6" s="1849"/>
      <c r="B6" s="1850"/>
      <c r="C6" s="2308" t="str">
        <f>COVER!A17</f>
        <v>Cowden-Herrick CUSD 3A</v>
      </c>
      <c r="D6" s="2308"/>
      <c r="E6" s="2308"/>
      <c r="F6" s="1851"/>
    </row>
    <row r="7" spans="1:10" ht="11.45" customHeight="1" thickBot="1" x14ac:dyDescent="0.3">
      <c r="A7" s="1849"/>
      <c r="B7" s="1850"/>
      <c r="C7" s="2309" t="str">
        <f>COVER!A13</f>
        <v>11087003A26</v>
      </c>
      <c r="D7" s="2309"/>
      <c r="E7" s="2309"/>
      <c r="F7" s="1851"/>
    </row>
    <row r="8" spans="1:10" ht="25.5" customHeight="1" thickBot="1" x14ac:dyDescent="0.25">
      <c r="A8" s="1892" t="s">
        <v>1908</v>
      </c>
      <c r="B8" s="1852"/>
      <c r="C8" s="1888" t="s">
        <v>1681</v>
      </c>
      <c r="D8" s="1887" t="s">
        <v>1682</v>
      </c>
      <c r="E8" s="1889" t="s">
        <v>1380</v>
      </c>
      <c r="F8" s="1887" t="s">
        <v>1683</v>
      </c>
      <c r="H8" s="1853" t="b">
        <v>0</v>
      </c>
    </row>
    <row r="9" spans="1:10" ht="15.75" customHeight="1" x14ac:dyDescent="0.2">
      <c r="A9" s="1854" t="s">
        <v>1542</v>
      </c>
      <c r="B9" s="1855"/>
      <c r="C9" s="1856"/>
      <c r="D9" s="1856"/>
      <c r="E9" s="1857"/>
      <c r="F9" s="1858"/>
    </row>
    <row r="10" spans="1:10" ht="27.75" customHeight="1" x14ac:dyDescent="0.2">
      <c r="A10" s="1859" t="s">
        <v>1680</v>
      </c>
      <c r="B10" s="1860"/>
      <c r="C10" s="1861"/>
      <c r="D10" s="1861"/>
      <c r="E10" s="1890" t="s">
        <v>1381</v>
      </c>
      <c r="F10" s="1891" t="s">
        <v>1382</v>
      </c>
    </row>
    <row r="11" spans="1:10" ht="12" customHeight="1" x14ac:dyDescent="0.2">
      <c r="A11" s="1862" t="s">
        <v>1383</v>
      </c>
      <c r="B11" s="1863"/>
      <c r="C11" s="1864"/>
      <c r="D11" s="1864"/>
      <c r="E11" s="1865"/>
      <c r="F11" s="1866"/>
      <c r="H11" s="1877">
        <f>IF(C11="X",5,0)</f>
        <v>0</v>
      </c>
      <c r="I11" s="1877">
        <f>IF(D11="X",5,0)</f>
        <v>0</v>
      </c>
      <c r="J11" s="1877">
        <f>IF(E11="X",5,0)</f>
        <v>0</v>
      </c>
    </row>
    <row r="12" spans="1:10" ht="12" customHeight="1" x14ac:dyDescent="0.2">
      <c r="A12" s="1862" t="s">
        <v>1384</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1385</v>
      </c>
      <c r="B13" s="1863"/>
      <c r="C13" s="1864"/>
      <c r="D13" s="1864"/>
      <c r="E13" s="1867"/>
      <c r="F13" s="1866"/>
      <c r="H13" s="1877">
        <f t="shared" si="0"/>
        <v>0</v>
      </c>
      <c r="I13" s="1877">
        <f t="shared" si="1"/>
        <v>0</v>
      </c>
      <c r="J13" s="1877">
        <f t="shared" si="2"/>
        <v>0</v>
      </c>
    </row>
    <row r="14" spans="1:10" ht="12" customHeight="1" x14ac:dyDescent="0.2">
      <c r="A14" s="1862" t="s">
        <v>1386</v>
      </c>
      <c r="B14" s="1863"/>
      <c r="C14" s="1864"/>
      <c r="D14" s="1864"/>
      <c r="E14" s="1867"/>
      <c r="F14" s="1866"/>
      <c r="H14" s="1877">
        <f t="shared" si="0"/>
        <v>0</v>
      </c>
      <c r="I14" s="1877">
        <f t="shared" si="1"/>
        <v>0</v>
      </c>
      <c r="J14" s="1877">
        <f t="shared" si="2"/>
        <v>0</v>
      </c>
    </row>
    <row r="15" spans="1:10" ht="12" customHeight="1" x14ac:dyDescent="0.2">
      <c r="A15" s="1862" t="s">
        <v>1387</v>
      </c>
      <c r="B15" s="1863"/>
      <c r="C15" s="1864"/>
      <c r="D15" s="1864"/>
      <c r="E15" s="1867"/>
      <c r="F15" s="1866"/>
      <c r="H15" s="1877">
        <f t="shared" si="0"/>
        <v>0</v>
      </c>
      <c r="I15" s="1877">
        <f t="shared" si="1"/>
        <v>0</v>
      </c>
      <c r="J15" s="1877">
        <f t="shared" si="2"/>
        <v>0</v>
      </c>
    </row>
    <row r="16" spans="1:10" ht="12" customHeight="1" x14ac:dyDescent="0.2">
      <c r="A16" s="1862" t="s">
        <v>1388</v>
      </c>
      <c r="B16" s="1863"/>
      <c r="C16" s="1864"/>
      <c r="D16" s="1864"/>
      <c r="E16" s="1867"/>
      <c r="F16" s="1866"/>
      <c r="H16" s="1877">
        <f t="shared" si="0"/>
        <v>0</v>
      </c>
      <c r="I16" s="1877">
        <f t="shared" si="1"/>
        <v>0</v>
      </c>
      <c r="J16" s="1877">
        <f t="shared" si="2"/>
        <v>0</v>
      </c>
    </row>
    <row r="17" spans="1:12" ht="12" customHeight="1" x14ac:dyDescent="0.2">
      <c r="A17" s="1862" t="s">
        <v>1389</v>
      </c>
      <c r="B17" s="1863"/>
      <c r="C17" s="1864"/>
      <c r="D17" s="1864"/>
      <c r="E17" s="1867"/>
      <c r="F17" s="1866"/>
      <c r="H17" s="1877">
        <f t="shared" si="0"/>
        <v>0</v>
      </c>
      <c r="I17" s="1877">
        <f t="shared" si="1"/>
        <v>0</v>
      </c>
      <c r="J17" s="1877">
        <f t="shared" si="2"/>
        <v>0</v>
      </c>
    </row>
    <row r="18" spans="1:12" ht="12" customHeight="1" x14ac:dyDescent="0.2">
      <c r="A18" s="1862" t="s">
        <v>1390</v>
      </c>
      <c r="B18" s="1863"/>
      <c r="C18" s="1864"/>
      <c r="D18" s="1864"/>
      <c r="E18" s="1867"/>
      <c r="F18" s="1866"/>
      <c r="H18" s="1877">
        <f t="shared" si="0"/>
        <v>0</v>
      </c>
      <c r="I18" s="1877">
        <f t="shared" si="1"/>
        <v>0</v>
      </c>
      <c r="J18" s="1877">
        <f t="shared" si="2"/>
        <v>0</v>
      </c>
    </row>
    <row r="19" spans="1:12" ht="12" customHeight="1" x14ac:dyDescent="0.2">
      <c r="A19" s="1862" t="s">
        <v>1527</v>
      </c>
      <c r="B19" s="1863"/>
      <c r="C19" s="1864"/>
      <c r="D19" s="1864"/>
      <c r="E19" s="1867"/>
      <c r="F19" s="1866"/>
      <c r="H19" s="1877">
        <f t="shared" si="0"/>
        <v>0</v>
      </c>
      <c r="I19" s="1877">
        <f t="shared" si="1"/>
        <v>0</v>
      </c>
      <c r="J19" s="1877">
        <f t="shared" si="2"/>
        <v>0</v>
      </c>
    </row>
    <row r="20" spans="1:12" ht="12" customHeight="1" x14ac:dyDescent="0.2">
      <c r="A20" s="1862" t="s">
        <v>1528</v>
      </c>
      <c r="B20" s="1863"/>
      <c r="C20" s="1864"/>
      <c r="D20" s="1864"/>
      <c r="E20" s="1867"/>
      <c r="F20" s="1866"/>
      <c r="H20" s="1877">
        <f t="shared" si="0"/>
        <v>0</v>
      </c>
      <c r="I20" s="1877">
        <f t="shared" si="1"/>
        <v>0</v>
      </c>
      <c r="J20" s="1877">
        <f t="shared" si="2"/>
        <v>0</v>
      </c>
    </row>
    <row r="21" spans="1:12" ht="12" customHeight="1" x14ac:dyDescent="0.2">
      <c r="A21" s="1862" t="s">
        <v>1529</v>
      </c>
      <c r="B21" s="1863"/>
      <c r="C21" s="1864"/>
      <c r="D21" s="1864"/>
      <c r="E21" s="1867"/>
      <c r="F21" s="1866"/>
      <c r="H21" s="1877">
        <f t="shared" si="0"/>
        <v>0</v>
      </c>
      <c r="I21" s="1877">
        <f t="shared" si="1"/>
        <v>0</v>
      </c>
      <c r="J21" s="1877">
        <f t="shared" si="2"/>
        <v>0</v>
      </c>
    </row>
    <row r="22" spans="1:12" ht="12" customHeight="1" x14ac:dyDescent="0.2">
      <c r="A22" s="1862" t="s">
        <v>1530</v>
      </c>
      <c r="B22" s="1863"/>
      <c r="C22" s="1864"/>
      <c r="D22" s="1864"/>
      <c r="E22" s="1867"/>
      <c r="F22" s="1866"/>
      <c r="H22" s="1877">
        <f t="shared" si="0"/>
        <v>0</v>
      </c>
      <c r="I22" s="1877">
        <f t="shared" si="1"/>
        <v>0</v>
      </c>
      <c r="J22" s="1877">
        <f t="shared" si="2"/>
        <v>0</v>
      </c>
    </row>
    <row r="23" spans="1:12" ht="12" customHeight="1" x14ac:dyDescent="0.2">
      <c r="A23" s="1862" t="s">
        <v>1531</v>
      </c>
      <c r="B23" s="1863"/>
      <c r="C23" s="1864"/>
      <c r="D23" s="1864"/>
      <c r="E23" s="1867"/>
      <c r="F23" s="1866"/>
      <c r="H23" s="1877">
        <f t="shared" si="0"/>
        <v>0</v>
      </c>
      <c r="I23" s="1877">
        <f t="shared" si="1"/>
        <v>0</v>
      </c>
      <c r="J23" s="1877">
        <f t="shared" si="2"/>
        <v>0</v>
      </c>
    </row>
    <row r="24" spans="1:12" ht="12" customHeight="1" x14ac:dyDescent="0.2">
      <c r="A24" s="1862" t="s">
        <v>1532</v>
      </c>
      <c r="B24" s="1863"/>
      <c r="C24" s="1864"/>
      <c r="D24" s="1864"/>
      <c r="E24" s="1867"/>
      <c r="F24" s="1866"/>
      <c r="H24" s="1877">
        <f t="shared" si="0"/>
        <v>0</v>
      </c>
      <c r="I24" s="1877">
        <f t="shared" si="1"/>
        <v>0</v>
      </c>
      <c r="J24" s="1877">
        <f t="shared" si="2"/>
        <v>0</v>
      </c>
    </row>
    <row r="25" spans="1:12" ht="12" customHeight="1" x14ac:dyDescent="0.2">
      <c r="A25" s="1862" t="s">
        <v>1533</v>
      </c>
      <c r="B25" s="1863"/>
      <c r="C25" s="1864"/>
      <c r="D25" s="1864" t="s">
        <v>2064</v>
      </c>
      <c r="E25" s="1867" t="s">
        <v>2064</v>
      </c>
      <c r="F25" s="1866"/>
      <c r="H25" s="1877">
        <f t="shared" si="0"/>
        <v>0</v>
      </c>
      <c r="I25" s="1877">
        <f t="shared" si="1"/>
        <v>5</v>
      </c>
      <c r="J25" s="1877">
        <f t="shared" si="2"/>
        <v>5</v>
      </c>
    </row>
    <row r="26" spans="1:12" ht="12" customHeight="1" x14ac:dyDescent="0.2">
      <c r="A26" s="1862" t="s">
        <v>1534</v>
      </c>
      <c r="B26" s="1863"/>
      <c r="C26" s="1864" t="s">
        <v>2064</v>
      </c>
      <c r="D26" s="1864" t="s">
        <v>2064</v>
      </c>
      <c r="E26" s="1867" t="s">
        <v>2064</v>
      </c>
      <c r="F26" s="1866"/>
      <c r="H26" s="1877">
        <f t="shared" si="0"/>
        <v>5</v>
      </c>
      <c r="I26" s="1877">
        <f t="shared" si="1"/>
        <v>5</v>
      </c>
      <c r="J26" s="1877">
        <f t="shared" si="2"/>
        <v>5</v>
      </c>
    </row>
    <row r="27" spans="1:12" ht="18.75" x14ac:dyDescent="0.2">
      <c r="A27" s="1862" t="s">
        <v>1535</v>
      </c>
      <c r="B27" s="1863"/>
      <c r="C27" s="1864"/>
      <c r="D27" s="1864"/>
      <c r="E27" s="1867"/>
      <c r="F27" s="1866"/>
      <c r="H27" s="1877">
        <f t="shared" si="0"/>
        <v>0</v>
      </c>
      <c r="I27" s="1877">
        <f t="shared" si="1"/>
        <v>0</v>
      </c>
      <c r="J27" s="1877">
        <f t="shared" si="2"/>
        <v>0</v>
      </c>
    </row>
    <row r="28" spans="1:12" ht="12" customHeight="1" x14ac:dyDescent="0.2">
      <c r="A28" s="1862" t="s">
        <v>1536</v>
      </c>
      <c r="B28" s="1863"/>
      <c r="C28" s="1864"/>
      <c r="D28" s="1864"/>
      <c r="E28" s="1867"/>
      <c r="F28" s="1866"/>
      <c r="H28" s="1877">
        <f t="shared" si="0"/>
        <v>0</v>
      </c>
      <c r="I28" s="1877">
        <f t="shared" si="1"/>
        <v>0</v>
      </c>
      <c r="J28" s="1877">
        <f t="shared" si="2"/>
        <v>0</v>
      </c>
    </row>
    <row r="29" spans="1:12" ht="12" customHeight="1" x14ac:dyDescent="0.2">
      <c r="A29" s="1862" t="s">
        <v>1537</v>
      </c>
      <c r="B29" s="1863"/>
      <c r="C29" s="1864"/>
      <c r="D29" s="1864"/>
      <c r="E29" s="1867"/>
      <c r="F29" s="1866"/>
      <c r="H29" s="1877">
        <f t="shared" si="0"/>
        <v>0</v>
      </c>
      <c r="I29" s="1877">
        <f t="shared" si="1"/>
        <v>0</v>
      </c>
      <c r="J29" s="1877">
        <f t="shared" si="2"/>
        <v>0</v>
      </c>
    </row>
    <row r="30" spans="1:12" ht="12" customHeight="1" x14ac:dyDescent="0.2">
      <c r="A30" s="1862" t="s">
        <v>1538</v>
      </c>
      <c r="B30" s="1863"/>
      <c r="C30" s="1864"/>
      <c r="D30" s="1864"/>
      <c r="E30" s="1867"/>
      <c r="F30" s="1866"/>
      <c r="H30" s="1877">
        <f t="shared" si="0"/>
        <v>0</v>
      </c>
      <c r="I30" s="1877">
        <f t="shared" si="1"/>
        <v>0</v>
      </c>
      <c r="J30" s="1877">
        <f t="shared" si="2"/>
        <v>0</v>
      </c>
    </row>
    <row r="31" spans="1:12" ht="12" customHeight="1" x14ac:dyDescent="0.2">
      <c r="A31" s="1862" t="s">
        <v>1539</v>
      </c>
      <c r="B31" s="1863"/>
      <c r="C31" s="1864"/>
      <c r="D31" s="1864"/>
      <c r="E31" s="1867"/>
      <c r="F31" s="1866"/>
      <c r="H31" s="1877">
        <f t="shared" si="0"/>
        <v>0</v>
      </c>
      <c r="I31" s="1877">
        <f t="shared" si="1"/>
        <v>0</v>
      </c>
      <c r="J31" s="1877">
        <f t="shared" si="2"/>
        <v>0</v>
      </c>
      <c r="L31" s="1868"/>
    </row>
    <row r="32" spans="1:12" ht="12" customHeight="1" x14ac:dyDescent="0.2">
      <c r="A32" s="1862" t="s">
        <v>1540</v>
      </c>
      <c r="B32" s="1863"/>
      <c r="C32" s="1864"/>
      <c r="D32" s="1864"/>
      <c r="E32" s="1867"/>
      <c r="F32" s="1866"/>
      <c r="H32" s="1877">
        <f t="shared" si="0"/>
        <v>0</v>
      </c>
      <c r="I32" s="1877">
        <f t="shared" si="1"/>
        <v>0</v>
      </c>
      <c r="J32" s="1877">
        <f t="shared" si="2"/>
        <v>0</v>
      </c>
    </row>
    <row r="33" spans="1:11" ht="12" customHeight="1" x14ac:dyDescent="0.2">
      <c r="A33" s="1862" t="s">
        <v>1541</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5</v>
      </c>
      <c r="I34" s="1877">
        <f>SUM(I11:I32)</f>
        <v>10</v>
      </c>
      <c r="J34" s="1877">
        <f>SUM(J11:J32)</f>
        <v>10</v>
      </c>
      <c r="K34" s="1877">
        <f>SUM(H34:J34)</f>
        <v>25</v>
      </c>
    </row>
    <row r="35" spans="1:11" ht="12" customHeight="1" x14ac:dyDescent="0.2">
      <c r="A35" s="1870" t="s">
        <v>1392</v>
      </c>
      <c r="B35" s="1871"/>
      <c r="C35" s="2310"/>
      <c r="D35" s="2310"/>
      <c r="E35" s="2310"/>
      <c r="F35" s="2311"/>
    </row>
    <row r="36" spans="1:11" ht="12" customHeight="1" x14ac:dyDescent="0.2">
      <c r="A36" s="2293"/>
      <c r="B36" s="2294"/>
      <c r="C36" s="2294"/>
      <c r="D36" s="2294"/>
      <c r="E36" s="2294"/>
      <c r="F36" s="2295"/>
    </row>
    <row r="37" spans="1:11" ht="12" customHeight="1" x14ac:dyDescent="0.2">
      <c r="A37" s="2293"/>
      <c r="B37" s="2294"/>
      <c r="C37" s="2294"/>
      <c r="D37" s="2294"/>
      <c r="E37" s="2294"/>
      <c r="F37" s="2295"/>
    </row>
    <row r="38" spans="1:11" ht="12" customHeight="1" x14ac:dyDescent="0.2">
      <c r="A38" s="2296"/>
      <c r="B38" s="2297"/>
      <c r="C38" s="2297"/>
      <c r="D38" s="2297"/>
      <c r="E38" s="2297"/>
      <c r="F38" s="2298"/>
    </row>
    <row r="39" spans="1:11" ht="4.5" hidden="1" customHeight="1" x14ac:dyDescent="0.2">
      <c r="A39" s="1872"/>
      <c r="B39" s="1872"/>
      <c r="C39" s="1872"/>
      <c r="D39" s="1872"/>
      <c r="E39" s="1872"/>
      <c r="F39" s="1872"/>
    </row>
    <row r="40" spans="1:11" s="1869" customFormat="1" ht="12" customHeight="1" x14ac:dyDescent="0.25">
      <c r="A40" s="1873" t="s">
        <v>1391</v>
      </c>
      <c r="B40" s="1874"/>
      <c r="C40" s="2299"/>
      <c r="D40" s="2299"/>
      <c r="E40" s="2299"/>
      <c r="F40" s="2300"/>
      <c r="H40" s="1878"/>
      <c r="I40" s="1878"/>
      <c r="J40" s="1878"/>
      <c r="K40" s="1878"/>
    </row>
    <row r="41" spans="1:11" s="1869" customFormat="1" ht="12" customHeight="1" x14ac:dyDescent="0.25">
      <c r="A41" s="2301"/>
      <c r="B41" s="2302"/>
      <c r="C41" s="2302"/>
      <c r="D41" s="2302"/>
      <c r="E41" s="2302"/>
      <c r="F41" s="2303"/>
      <c r="H41" s="1878"/>
      <c r="I41" s="1878"/>
      <c r="J41" s="1878"/>
      <c r="K41" s="1878"/>
    </row>
    <row r="42" spans="1:11" s="1869" customFormat="1" ht="12" customHeight="1" x14ac:dyDescent="0.25">
      <c r="A42" s="2301"/>
      <c r="B42" s="2302"/>
      <c r="C42" s="2302"/>
      <c r="D42" s="2302"/>
      <c r="E42" s="2302"/>
      <c r="F42" s="2303"/>
      <c r="H42" s="1878"/>
      <c r="I42" s="1878"/>
      <c r="J42" s="1878"/>
      <c r="K42" s="1878"/>
    </row>
    <row r="43" spans="1:11" s="1869" customFormat="1" ht="15" x14ac:dyDescent="0.25">
      <c r="A43" s="2290"/>
      <c r="B43" s="2291"/>
      <c r="C43" s="2291"/>
      <c r="D43" s="2291"/>
      <c r="E43" s="2291"/>
      <c r="F43" s="2292"/>
      <c r="H43" s="1878"/>
      <c r="I43" s="1878"/>
      <c r="J43" s="1878"/>
      <c r="K43" s="1878"/>
    </row>
    <row r="44" spans="1:11" s="1869" customFormat="1" ht="12" hidden="1" customHeight="1" x14ac:dyDescent="0.25">
      <c r="A44" s="2290"/>
      <c r="B44" s="2291"/>
      <c r="C44" s="2291"/>
      <c r="D44" s="2291"/>
      <c r="E44" s="2291"/>
      <c r="F44" s="2292"/>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X26" sqref="X2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4" customHeight="1" x14ac:dyDescent="0.2">
      <c r="F5" s="1014"/>
    </row>
    <row r="6" spans="1:17" x14ac:dyDescent="0.2">
      <c r="A6" s="1893" t="s">
        <v>672</v>
      </c>
      <c r="B6" s="1641"/>
      <c r="C6" s="1641"/>
      <c r="D6" s="1641"/>
      <c r="E6" s="1642"/>
      <c r="F6" s="1015"/>
      <c r="G6" s="1009"/>
      <c r="H6" s="1016" t="s">
        <v>1028</v>
      </c>
      <c r="I6" s="2317" t="str">
        <f>COVER!A17</f>
        <v>Cowden-Herrick CUSD 3A</v>
      </c>
      <c r="J6" s="2318"/>
      <c r="Q6" s="1663"/>
    </row>
    <row r="7" spans="1:17" x14ac:dyDescent="0.2">
      <c r="A7" s="2319" t="s">
        <v>869</v>
      </c>
      <c r="B7" s="2320"/>
      <c r="C7" s="2320"/>
      <c r="D7" s="2320"/>
      <c r="E7" s="2321"/>
      <c r="F7" s="1017"/>
      <c r="G7" s="1009"/>
      <c r="H7" s="1016" t="s">
        <v>372</v>
      </c>
      <c r="I7" s="2322" t="str">
        <f>COVER!A13</f>
        <v>11087003A26</v>
      </c>
      <c r="J7" s="2322"/>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1979</v>
      </c>
      <c r="F9" s="1023"/>
      <c r="G9" s="1023"/>
      <c r="H9" s="1895"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3" t="s">
        <v>481</v>
      </c>
      <c r="B11" s="2324"/>
      <c r="C11" s="232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145029</v>
      </c>
      <c r="F12" s="1039"/>
      <c r="G12" s="1810">
        <f t="shared" ref="G12:G18" si="0">SUM(E12:F12)</f>
        <v>145029</v>
      </c>
      <c r="H12" s="1040">
        <v>148900</v>
      </c>
      <c r="I12" s="1039"/>
      <c r="J12" s="1810">
        <f t="shared" ref="J12:J18" si="1">SUM(H12:I12)</f>
        <v>148900</v>
      </c>
    </row>
    <row r="13" spans="1:17" ht="15" customHeight="1" x14ac:dyDescent="0.2">
      <c r="A13" s="1035">
        <v>2</v>
      </c>
      <c r="B13" s="1036" t="s">
        <v>42</v>
      </c>
      <c r="C13" s="1037"/>
      <c r="D13" s="1038">
        <v>2330</v>
      </c>
      <c r="E13" s="1810">
        <f>'Expenditures 15-22'!K51</f>
        <v>0</v>
      </c>
      <c r="F13" s="1039"/>
      <c r="G13" s="1810">
        <f t="shared" si="0"/>
        <v>0</v>
      </c>
      <c r="H13" s="1040"/>
      <c r="I13" s="1039"/>
      <c r="J13" s="1810">
        <f t="shared" si="1"/>
        <v>0</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1068</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1060</v>
      </c>
      <c r="C17" s="1037"/>
      <c r="D17" s="1038">
        <v>2610</v>
      </c>
      <c r="E17" s="1810">
        <f>'Expenditures 15-22'!K67</f>
        <v>0</v>
      </c>
      <c r="F17" s="1039"/>
      <c r="G17" s="1810">
        <f t="shared" si="0"/>
        <v>0</v>
      </c>
      <c r="H17" s="1040"/>
      <c r="I17" s="1039"/>
      <c r="J17" s="1810">
        <f t="shared" si="1"/>
        <v>0</v>
      </c>
    </row>
    <row r="18" spans="1:10" ht="22.5" customHeight="1" x14ac:dyDescent="0.2">
      <c r="A18" s="1042">
        <v>7</v>
      </c>
      <c r="B18" s="2326" t="s">
        <v>7</v>
      </c>
      <c r="C18" s="2327"/>
      <c r="D18" s="2328"/>
      <c r="E18" s="1043">
        <v>10387</v>
      </c>
      <c r="F18" s="1043"/>
      <c r="G18" s="1811">
        <f t="shared" si="0"/>
        <v>10387</v>
      </c>
      <c r="H18" s="1040">
        <v>8583</v>
      </c>
      <c r="I18" s="1040"/>
      <c r="J18" s="1810">
        <f t="shared" si="1"/>
        <v>8583</v>
      </c>
    </row>
    <row r="19" spans="1:10" ht="12.75" customHeight="1" thickBot="1" x14ac:dyDescent="0.25">
      <c r="A19" s="1035">
        <v>8</v>
      </c>
      <c r="B19" s="1044" t="s">
        <v>1161</v>
      </c>
      <c r="D19" s="1045"/>
      <c r="E19" s="1812">
        <f t="shared" ref="E19:J19" si="2">SUM(E12:E17)-E18</f>
        <v>134642</v>
      </c>
      <c r="F19" s="1812">
        <f t="shared" si="2"/>
        <v>0</v>
      </c>
      <c r="G19" s="1812">
        <f t="shared" si="2"/>
        <v>134642</v>
      </c>
      <c r="H19" s="1812">
        <f t="shared" si="2"/>
        <v>140317</v>
      </c>
      <c r="I19" s="1812">
        <f t="shared" si="2"/>
        <v>0</v>
      </c>
      <c r="J19" s="1812">
        <f t="shared" si="2"/>
        <v>140317</v>
      </c>
    </row>
    <row r="20" spans="1:10" ht="13.5" thickTop="1" x14ac:dyDescent="0.2">
      <c r="A20" s="1035">
        <v>9</v>
      </c>
      <c r="B20" s="2329" t="s">
        <v>1981</v>
      </c>
      <c r="C20" s="2329"/>
      <c r="D20" s="2330"/>
      <c r="E20" s="1046"/>
      <c r="F20" s="1046"/>
      <c r="G20" s="1046"/>
      <c r="H20" s="1046"/>
      <c r="I20" s="1046"/>
      <c r="J20" s="1813">
        <f>IF(AND(G19&gt;0,J19&gt;0),(((J19-G19)/G19)),"Enter Budget Data")</f>
        <v>4.2148809435391628E-2</v>
      </c>
    </row>
    <row r="21" spans="1:10" ht="9.1999999999999993"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5"/>
      <c r="D26" s="2335"/>
      <c r="E26" s="1050"/>
      <c r="F26" s="2334"/>
      <c r="G26" s="2334"/>
    </row>
    <row r="27" spans="1:10" x14ac:dyDescent="0.2">
      <c r="B27" s="1047"/>
      <c r="C27" s="1051" t="s">
        <v>1033</v>
      </c>
      <c r="D27" s="1052"/>
      <c r="E27" s="1053"/>
      <c r="F27" s="2331" t="s">
        <v>1509</v>
      </c>
      <c r="G27" s="2331"/>
    </row>
    <row r="28" spans="1:10" ht="28.5" customHeight="1" x14ac:dyDescent="0.2">
      <c r="B28" s="1047"/>
      <c r="C28" s="2333"/>
      <c r="D28" s="2333"/>
      <c r="E28" s="1054"/>
      <c r="F28" s="2333"/>
      <c r="G28" s="2333"/>
    </row>
    <row r="29" spans="1:10" x14ac:dyDescent="0.2">
      <c r="B29" s="1047"/>
      <c r="C29" s="1055" t="s">
        <v>1561</v>
      </c>
      <c r="E29" s="1056"/>
      <c r="F29" s="2332" t="s">
        <v>1510</v>
      </c>
      <c r="G29" s="2332"/>
    </row>
    <row r="30" spans="1:10" ht="9.1999999999999993" customHeight="1" x14ac:dyDescent="0.2">
      <c r="B30" s="1047"/>
      <c r="C30" s="1057"/>
      <c r="E30" s="1058"/>
      <c r="F30" s="1059"/>
      <c r="G30" s="1059"/>
    </row>
    <row r="31" spans="1:10" ht="15" customHeight="1" x14ac:dyDescent="0.2">
      <c r="A31" s="1011"/>
      <c r="B31" s="1060" t="s">
        <v>1034</v>
      </c>
    </row>
    <row r="32" spans="1:10" ht="9.1999999999999993" customHeight="1" x14ac:dyDescent="0.2">
      <c r="A32" s="1011"/>
      <c r="B32" s="1048"/>
    </row>
    <row r="33" spans="1:10" ht="12.75" customHeight="1" x14ac:dyDescent="0.2">
      <c r="A33" s="1011"/>
      <c r="B33" s="1061"/>
      <c r="C33" s="2314" t="s">
        <v>132</v>
      </c>
      <c r="D33" s="2315"/>
      <c r="E33" s="2315"/>
      <c r="F33" s="2315"/>
      <c r="G33" s="2315"/>
      <c r="H33" s="2315"/>
      <c r="I33" s="2315"/>
    </row>
    <row r="34" spans="1:10" ht="10.35" customHeight="1" x14ac:dyDescent="0.2">
      <c r="C34" s="2315"/>
      <c r="D34" s="2315"/>
      <c r="E34" s="2315"/>
      <c r="F34" s="2315"/>
      <c r="G34" s="2315"/>
      <c r="H34" s="2315"/>
      <c r="I34" s="2315"/>
    </row>
    <row r="35" spans="1:10" ht="7.5" customHeight="1" x14ac:dyDescent="0.2">
      <c r="C35" s="1062"/>
    </row>
    <row r="36" spans="1:10" ht="13.5" customHeight="1" x14ac:dyDescent="0.2">
      <c r="B36" s="1061"/>
      <c r="C36" s="2316" t="s">
        <v>1983</v>
      </c>
      <c r="D36" s="2315"/>
      <c r="E36" s="2315"/>
      <c r="F36" s="2315"/>
      <c r="G36" s="2315"/>
      <c r="H36" s="2315"/>
      <c r="I36" s="2315"/>
      <c r="J36" s="1063"/>
    </row>
    <row r="37" spans="1:10" ht="22.5" customHeight="1" x14ac:dyDescent="0.2">
      <c r="C37" s="2315"/>
      <c r="D37" s="2315"/>
      <c r="E37" s="2315"/>
      <c r="F37" s="2315"/>
      <c r="G37" s="2315"/>
      <c r="H37" s="2315"/>
      <c r="I37" s="2315"/>
      <c r="J37" s="1063"/>
    </row>
    <row r="38" spans="1:10" ht="7.5" customHeight="1" x14ac:dyDescent="0.2">
      <c r="C38" s="1062"/>
      <c r="D38" s="1064"/>
      <c r="E38" s="1065"/>
      <c r="F38" s="1066"/>
      <c r="G38" s="1065"/>
    </row>
    <row r="39" spans="1:10" ht="13.5" customHeight="1" x14ac:dyDescent="0.2">
      <c r="B39" s="1061"/>
      <c r="C39" s="2312" t="s">
        <v>882</v>
      </c>
      <c r="D39" s="2313"/>
      <c r="E39" s="2313"/>
      <c r="F39" s="2313"/>
      <c r="G39" s="2313"/>
      <c r="H39" s="2313"/>
      <c r="I39" s="231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74"/>
  <sheetViews>
    <sheetView showGridLines="0" zoomScale="110" zoomScaleNormal="110" workbookViewId="0">
      <selection activeCell="X26" sqref="X26"/>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258</v>
      </c>
    </row>
    <row r="3" spans="1:1" x14ac:dyDescent="0.2">
      <c r="A3" s="329" t="s">
        <v>259</v>
      </c>
    </row>
    <row r="5" spans="1:1" x14ac:dyDescent="0.2">
      <c r="A5" s="329" t="s">
        <v>2099</v>
      </c>
    </row>
    <row r="6" spans="1:1" x14ac:dyDescent="0.2">
      <c r="A6" s="329" t="s">
        <v>2098</v>
      </c>
    </row>
    <row r="8" spans="1:1" x14ac:dyDescent="0.2">
      <c r="A8" s="1068" t="s">
        <v>2084</v>
      </c>
    </row>
    <row r="9" spans="1:1" x14ac:dyDescent="0.2">
      <c r="A9" s="1068" t="s">
        <v>2088</v>
      </c>
    </row>
    <row r="10" spans="1:1" x14ac:dyDescent="0.2">
      <c r="A10" s="1068" t="s">
        <v>2089</v>
      </c>
    </row>
    <row r="11" spans="1:1" x14ac:dyDescent="0.2">
      <c r="A11" s="1068" t="s">
        <v>2090</v>
      </c>
    </row>
    <row r="12" spans="1:1" x14ac:dyDescent="0.2">
      <c r="A12" s="1068" t="s">
        <v>2091</v>
      </c>
    </row>
    <row r="13" spans="1:1" x14ac:dyDescent="0.2">
      <c r="A13" s="1068" t="s">
        <v>2092</v>
      </c>
    </row>
    <row r="14" spans="1:1" x14ac:dyDescent="0.2">
      <c r="A14" s="1068" t="s">
        <v>2093</v>
      </c>
    </row>
    <row r="15" spans="1:1" x14ac:dyDescent="0.2">
      <c r="A15" s="1068" t="s">
        <v>2094</v>
      </c>
    </row>
    <row r="16" spans="1:1" x14ac:dyDescent="0.2">
      <c r="A16" s="1068" t="s">
        <v>2087</v>
      </c>
    </row>
    <row r="17" spans="1:1" x14ac:dyDescent="0.2">
      <c r="A17" s="1068" t="s">
        <v>2085</v>
      </c>
    </row>
    <row r="18" spans="1:1" x14ac:dyDescent="0.2">
      <c r="A18" s="1068" t="s">
        <v>2086</v>
      </c>
    </row>
    <row r="19" spans="1:1" x14ac:dyDescent="0.2">
      <c r="A19" s="1068"/>
    </row>
    <row r="20" spans="1:1" x14ac:dyDescent="0.2">
      <c r="A20" s="1068" t="s">
        <v>2095</v>
      </c>
    </row>
    <row r="21" spans="1:1" x14ac:dyDescent="0.2">
      <c r="A21" s="1068" t="s">
        <v>2096</v>
      </c>
    </row>
    <row r="22" spans="1:1" x14ac:dyDescent="0.2">
      <c r="A22" s="1068" t="s">
        <v>2097</v>
      </c>
    </row>
    <row r="23" spans="1:1" x14ac:dyDescent="0.2">
      <c r="A23" s="1068"/>
    </row>
    <row r="24" spans="1:1" x14ac:dyDescent="0.2">
      <c r="A24" s="1068"/>
    </row>
    <row r="25" spans="1:1" x14ac:dyDescent="0.2">
      <c r="A25" s="1068" t="s">
        <v>2129</v>
      </c>
    </row>
    <row r="26" spans="1:1" x14ac:dyDescent="0.2">
      <c r="A26" s="1068" t="s">
        <v>2130</v>
      </c>
    </row>
    <row r="27" spans="1:1" x14ac:dyDescent="0.2">
      <c r="A27" s="1068"/>
    </row>
    <row r="28" spans="1:1" x14ac:dyDescent="0.2">
      <c r="A28" s="1068"/>
    </row>
    <row r="29" spans="1:1" x14ac:dyDescent="0.2">
      <c r="A29" s="1068"/>
    </row>
    <row r="30" spans="1:1" x14ac:dyDescent="0.2">
      <c r="A30" s="1068"/>
    </row>
    <row r="31" spans="1:1" x14ac:dyDescent="0.2">
      <c r="A31" s="1068"/>
    </row>
    <row r="32" spans="1:1" x14ac:dyDescent="0.2">
      <c r="A32" s="1068"/>
    </row>
    <row r="33" spans="1:1" x14ac:dyDescent="0.2">
      <c r="A33" s="1068"/>
    </row>
    <row r="34" spans="1:1" x14ac:dyDescent="0.2">
      <c r="A34" s="1068"/>
    </row>
    <row r="35" spans="1:1" x14ac:dyDescent="0.2">
      <c r="A35" s="1068"/>
    </row>
    <row r="36" spans="1:1" x14ac:dyDescent="0.2">
      <c r="A36" s="1068"/>
    </row>
    <row r="37" spans="1:1" x14ac:dyDescent="0.2">
      <c r="A37" s="1068"/>
    </row>
    <row r="38" spans="1:1" x14ac:dyDescent="0.2">
      <c r="A38" s="1068"/>
    </row>
    <row r="39" spans="1:1" x14ac:dyDescent="0.2">
      <c r="A39" s="1068"/>
    </row>
    <row r="40" spans="1:1" x14ac:dyDescent="0.2">
      <c r="A40" s="1068"/>
    </row>
    <row r="41" spans="1:1" x14ac:dyDescent="0.2">
      <c r="A41" s="1068"/>
    </row>
    <row r="42" spans="1:1" x14ac:dyDescent="0.2">
      <c r="A42" s="1068"/>
    </row>
    <row r="43" spans="1:1" x14ac:dyDescent="0.2">
      <c r="A43" s="1068"/>
    </row>
    <row r="44" spans="1:1" x14ac:dyDescent="0.2">
      <c r="A44" s="1068"/>
    </row>
    <row r="45" spans="1:1" x14ac:dyDescent="0.2">
      <c r="A45" s="1068"/>
    </row>
    <row r="46" spans="1:1" x14ac:dyDescent="0.2">
      <c r="A46" s="1068"/>
    </row>
    <row r="47" spans="1:1" x14ac:dyDescent="0.2">
      <c r="A47" s="1068"/>
    </row>
    <row r="48" spans="1:1" x14ac:dyDescent="0.2">
      <c r="A48" s="1068"/>
    </row>
    <row r="49" spans="1:1" x14ac:dyDescent="0.2">
      <c r="A49" s="1068"/>
    </row>
    <row r="50" spans="1:1" x14ac:dyDescent="0.2">
      <c r="A50" s="1068"/>
    </row>
    <row r="51" spans="1:1" x14ac:dyDescent="0.2">
      <c r="A51" s="1068"/>
    </row>
    <row r="52" spans="1:1" x14ac:dyDescent="0.2">
      <c r="A52" s="1068"/>
    </row>
    <row r="53" spans="1:1" x14ac:dyDescent="0.2">
      <c r="A53" s="1068"/>
    </row>
    <row r="54" spans="1:1" x14ac:dyDescent="0.2">
      <c r="A54" s="1068"/>
    </row>
    <row r="55" spans="1:1" x14ac:dyDescent="0.2">
      <c r="A55" s="1068"/>
    </row>
    <row r="56" spans="1:1" x14ac:dyDescent="0.2">
      <c r="A56" s="1068"/>
    </row>
    <row r="57" spans="1:1" x14ac:dyDescent="0.2">
      <c r="A57" s="1068"/>
    </row>
    <row r="58" spans="1:1" x14ac:dyDescent="0.2">
      <c r="A58" s="1068"/>
    </row>
    <row r="59" spans="1:1" x14ac:dyDescent="0.2">
      <c r="A59" s="1068"/>
    </row>
    <row r="60" spans="1:1" x14ac:dyDescent="0.2">
      <c r="A60" s="1068"/>
    </row>
    <row r="61" spans="1:1" x14ac:dyDescent="0.2">
      <c r="A61" s="1068"/>
    </row>
    <row r="62" spans="1:1" x14ac:dyDescent="0.2">
      <c r="A62" s="1068"/>
    </row>
    <row r="63" spans="1:1" x14ac:dyDescent="0.2">
      <c r="A63" s="1068"/>
    </row>
    <row r="64" spans="1:1" x14ac:dyDescent="0.2">
      <c r="A64" s="1068"/>
    </row>
    <row r="65" spans="1:2" x14ac:dyDescent="0.2">
      <c r="A65" s="1068"/>
    </row>
    <row r="66" spans="1:2" x14ac:dyDescent="0.2">
      <c r="A66" s="1068"/>
    </row>
    <row r="67" spans="1:2" x14ac:dyDescent="0.2">
      <c r="A67" s="1068"/>
    </row>
    <row r="68" spans="1:2" x14ac:dyDescent="0.2">
      <c r="A68" s="1068"/>
    </row>
    <row r="69" spans="1:2" x14ac:dyDescent="0.2">
      <c r="A69" s="1068"/>
    </row>
    <row r="70" spans="1:2" x14ac:dyDescent="0.2">
      <c r="A70" s="1068"/>
    </row>
    <row r="71" spans="1:2" x14ac:dyDescent="0.2">
      <c r="A71" s="1068"/>
    </row>
    <row r="72" spans="1:2" x14ac:dyDescent="0.2">
      <c r="A72" s="1068"/>
    </row>
    <row r="73" spans="1:2" x14ac:dyDescent="0.2">
      <c r="A73" s="1068"/>
      <c r="B73" s="258" t="str">
        <f>COVER!A17</f>
        <v>Cowden-Herrick CUSD 3A</v>
      </c>
    </row>
    <row r="74" spans="1:2" x14ac:dyDescent="0.2">
      <c r="B74" s="1069" t="str">
        <f>COVER!A13</f>
        <v>11087003A26</v>
      </c>
    </row>
  </sheetData>
  <phoneticPr fontId="17" type="noConversion"/>
  <pageMargins left="0.2" right="0.2" top="1.17" bottom="0.75" header="0.19" footer="0.16"/>
  <pageSetup scale="71"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X26" sqref="X2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95" customHeight="1" x14ac:dyDescent="0.2">
      <c r="B12" s="18" t="s">
        <v>947</v>
      </c>
      <c r="C12" s="145" t="s">
        <v>1399</v>
      </c>
    </row>
    <row r="13" spans="1:4" s="19" customFormat="1" ht="12.75" customHeight="1" x14ac:dyDescent="0.2">
      <c r="B13" s="18" t="s">
        <v>915</v>
      </c>
      <c r="C13" s="16" t="s">
        <v>1127</v>
      </c>
    </row>
    <row r="14" spans="1:4" ht="21.9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5" sqref="B5"/>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1493</v>
      </c>
    </row>
    <row r="15" spans="1:6" x14ac:dyDescent="0.2">
      <c r="A15" s="389" t="s">
        <v>857</v>
      </c>
    </row>
    <row r="16" spans="1:6" s="1070" customFormat="1" ht="45.2" customHeight="1" x14ac:dyDescent="0.2">
      <c r="A16" s="1072"/>
      <c r="B16" s="1072" t="s">
        <v>1684</v>
      </c>
    </row>
    <row r="17" spans="1:2" ht="6" customHeight="1" x14ac:dyDescent="0.2"/>
    <row r="18" spans="1:2" ht="24.75" customHeight="1" x14ac:dyDescent="0.2">
      <c r="A18" s="2336" t="s">
        <v>1685</v>
      </c>
      <c r="B18" s="2336"/>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shapeId="35841" r:id="rId4">
          <objectPr defaultSize="0" r:id="rId5">
            <anchor moveWithCells="1">
              <from>
                <xdr:col>23</xdr:col>
                <xdr:colOff>0</xdr:colOff>
                <xdr:row>25</xdr:row>
                <xdr:rowOff>0</xdr:rowOff>
              </from>
              <to>
                <xdr:col>30</xdr:col>
                <xdr:colOff>304800</xdr:colOff>
                <xdr:row>62</xdr:row>
                <xdr:rowOff>123825</xdr:rowOff>
              </to>
            </anchor>
          </objectPr>
        </oleObject>
      </mc:Choice>
      <mc:Fallback>
        <oleObject progId="Acrobat Document" shapeId="35841" r:id="rId4"/>
      </mc:Fallback>
    </mc:AlternateContent>
    <mc:AlternateContent xmlns:mc="http://schemas.openxmlformats.org/markup-compatibility/2006">
      <mc:Choice Requires="x14">
        <oleObject progId="AcroExch.Document.DC" dvAspect="DVASPECT_ICON" shapeId="35842" r:id="rId6">
          <objectPr defaultSize="0" r:id="rId7">
            <anchor moveWithCells="1">
              <from>
                <xdr:col>1</xdr:col>
                <xdr:colOff>0</xdr:colOff>
                <xdr:row>4</xdr:row>
                <xdr:rowOff>0</xdr:rowOff>
              </from>
              <to>
                <xdr:col>1</xdr:col>
                <xdr:colOff>1019175</xdr:colOff>
                <xdr:row>9</xdr:row>
                <xdr:rowOff>76200</xdr:rowOff>
              </to>
            </anchor>
          </objectPr>
        </oleObject>
      </mc:Choice>
      <mc:Fallback>
        <oleObject progId="AcroExch.Document.DC"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X26" sqref="X26"/>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7" t="s">
        <v>1690</v>
      </c>
      <c r="B1" s="2338"/>
      <c r="C1" s="2338"/>
      <c r="D1" s="2338"/>
      <c r="E1" s="2338"/>
      <c r="F1" s="2339"/>
    </row>
    <row r="2" spans="1:8" ht="45.2" customHeight="1" x14ac:dyDescent="0.2">
      <c r="A2" s="2347" t="s">
        <v>1987</v>
      </c>
      <c r="B2" s="2348"/>
      <c r="C2" s="2348"/>
      <c r="D2" s="2348"/>
      <c r="E2" s="2348"/>
      <c r="F2" s="2349"/>
      <c r="G2" s="1073"/>
      <c r="H2" s="1073"/>
    </row>
    <row r="3" spans="1:8" ht="57" customHeight="1" x14ac:dyDescent="0.2">
      <c r="A3" s="2350" t="s">
        <v>1686</v>
      </c>
      <c r="B3" s="2351"/>
      <c r="C3" s="2351"/>
      <c r="D3" s="2351"/>
      <c r="E3" s="2351"/>
      <c r="F3" s="2352"/>
      <c r="G3" s="1073"/>
      <c r="H3" s="1073"/>
    </row>
    <row r="4" spans="1:8" ht="14.25" customHeight="1" x14ac:dyDescent="0.2">
      <c r="A4" s="2356" t="s">
        <v>1988</v>
      </c>
      <c r="B4" s="2357"/>
      <c r="C4" s="2357"/>
      <c r="D4" s="2357"/>
      <c r="E4" s="2357"/>
      <c r="F4" s="2358"/>
      <c r="G4" s="1073"/>
      <c r="H4" s="1073"/>
    </row>
    <row r="5" spans="1:8" ht="14.25" customHeight="1" x14ac:dyDescent="0.2">
      <c r="A5" s="2359" t="s">
        <v>1984</v>
      </c>
      <c r="B5" s="2360"/>
      <c r="C5" s="2360"/>
      <c r="D5" s="2360"/>
      <c r="E5" s="2360"/>
      <c r="F5" s="2361"/>
      <c r="G5" s="1073"/>
      <c r="H5" s="1073"/>
    </row>
    <row r="6" spans="1:8" s="1074" customFormat="1" ht="41.25" customHeight="1" x14ac:dyDescent="0.2">
      <c r="A6" s="2353" t="s">
        <v>1691</v>
      </c>
      <c r="B6" s="2354"/>
      <c r="C6" s="2354"/>
      <c r="D6" s="2354"/>
      <c r="E6" s="2354"/>
      <c r="F6" s="2355"/>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4">
        <f>'Acct Summary 7-8'!C8</f>
        <v>3056941</v>
      </c>
      <c r="C8" s="1814">
        <f>'Acct Summary 7-8'!D8</f>
        <v>427043</v>
      </c>
      <c r="D8" s="1814">
        <f>'Acct Summary 7-8'!F8</f>
        <v>480618</v>
      </c>
      <c r="E8" s="1814">
        <f>'Acct Summary 7-8'!I8</f>
        <v>11940</v>
      </c>
      <c r="F8" s="1814">
        <f>SUM(B8:E8)</f>
        <v>3976542</v>
      </c>
    </row>
    <row r="9" spans="1:8" s="1078" customFormat="1" ht="14.25" customHeight="1" thickBot="1" x14ac:dyDescent="0.25">
      <c r="A9" s="1077" t="s">
        <v>1369</v>
      </c>
      <c r="B9" s="1815">
        <f>'Acct Summary 7-8'!C17</f>
        <v>2850317</v>
      </c>
      <c r="C9" s="1815">
        <f>'Acct Summary 7-8'!D17</f>
        <v>326412</v>
      </c>
      <c r="D9" s="1815">
        <f>'Acct Summary 7-8'!F17</f>
        <v>295187</v>
      </c>
      <c r="E9" s="1814"/>
      <c r="F9" s="1814">
        <f>SUM(B9:E9)</f>
        <v>3471916</v>
      </c>
    </row>
    <row r="10" spans="1:8" s="1078" customFormat="1" ht="14.25" thickTop="1" thickBot="1" x14ac:dyDescent="0.25">
      <c r="A10" s="1079" t="s">
        <v>1370</v>
      </c>
      <c r="B10" s="1816">
        <f>(B8-B9)</f>
        <v>206624</v>
      </c>
      <c r="C10" s="1816">
        <f>(C8-C9)</f>
        <v>100631</v>
      </c>
      <c r="D10" s="1816">
        <f>(D8-D9)</f>
        <v>185431</v>
      </c>
      <c r="E10" s="1815">
        <f>(E8-E9)</f>
        <v>11940</v>
      </c>
      <c r="F10" s="1817">
        <f>SUM(F8-F9)</f>
        <v>504626</v>
      </c>
    </row>
    <row r="11" spans="1:8" s="1078" customFormat="1" ht="14.25" thickTop="1" thickBot="1" x14ac:dyDescent="0.25">
      <c r="A11" s="1080" t="s">
        <v>1985</v>
      </c>
      <c r="B11" s="1818">
        <f>'Acct Summary 7-8'!C81</f>
        <v>1911416</v>
      </c>
      <c r="C11" s="1818">
        <f>'Acct Summary 7-8'!D81</f>
        <v>177064</v>
      </c>
      <c r="D11" s="1818">
        <f>'Acct Summary 7-8'!F81</f>
        <v>332757</v>
      </c>
      <c r="E11" s="1818">
        <f>'Acct Summary 7-8'!I81</f>
        <v>28326</v>
      </c>
      <c r="F11" s="1819">
        <f>SUM(B11:E11)</f>
        <v>2449563</v>
      </c>
    </row>
    <row r="12" spans="1:8" ht="16.7" customHeight="1" thickTop="1" x14ac:dyDescent="0.2">
      <c r="A12" s="1081"/>
      <c r="B12" s="1082"/>
      <c r="C12" s="2341" t="str">
        <f>IF(AND(F10&lt;0,F11&gt;=0,ABS(F10*3)&gt;ABS(F11)),A16,IF(AND(F10&lt;0,F11&gt;0,ABS(F10*3)&lt;=ABS(F11)),A17,IF(AND(F10&lt;0,F11&lt;0),A16,IF(F11=0,A19,A18))))</f>
        <v>Balanced - no deficit reduction plan is required.</v>
      </c>
      <c r="D12" s="2342"/>
      <c r="E12" s="2342"/>
      <c r="F12" s="2343"/>
    </row>
    <row r="13" spans="1:8" ht="19.5" customHeight="1" x14ac:dyDescent="0.2">
      <c r="A13" s="1083"/>
      <c r="B13" s="1084"/>
      <c r="C13" s="2341"/>
      <c r="D13" s="2342"/>
      <c r="E13" s="2342"/>
      <c r="F13" s="2343"/>
      <c r="H13" s="1073"/>
    </row>
    <row r="14" spans="1:8" ht="19.5" customHeight="1" x14ac:dyDescent="0.2">
      <c r="A14" s="1083"/>
      <c r="B14" s="1084"/>
      <c r="C14" s="2341"/>
      <c r="D14" s="2342"/>
      <c r="E14" s="2342"/>
      <c r="F14" s="2343"/>
      <c r="H14" s="1073"/>
    </row>
    <row r="15" spans="1:8" ht="17.25" customHeight="1" x14ac:dyDescent="0.2">
      <c r="A15" s="1083"/>
      <c r="B15" s="1084"/>
      <c r="C15" s="2344"/>
      <c r="D15" s="2345"/>
      <c r="E15" s="2345"/>
      <c r="F15" s="2346"/>
      <c r="H15" s="1073"/>
    </row>
    <row r="16" spans="1:8" s="310" customFormat="1" ht="51.75" hidden="1" customHeight="1" x14ac:dyDescent="0.2">
      <c r="A16" s="2340" t="s">
        <v>1687</v>
      </c>
      <c r="B16" s="2340"/>
      <c r="C16" s="2340"/>
      <c r="D16" s="2340"/>
      <c r="E16" s="2340"/>
      <c r="F16" s="310" t="s">
        <v>1371</v>
      </c>
    </row>
    <row r="17" spans="1:6" hidden="1" x14ac:dyDescent="0.2">
      <c r="A17" s="316" t="s">
        <v>1688</v>
      </c>
      <c r="F17" s="1085"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8" colorId="8" zoomScale="110" zoomScaleNormal="110" workbookViewId="0">
      <selection activeCell="M47" sqref="M47"/>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62" t="s">
        <v>665</v>
      </c>
      <c r="B3" s="2363"/>
      <c r="C3" s="2363"/>
      <c r="D3" s="2364"/>
    </row>
    <row r="4" spans="1:4" x14ac:dyDescent="0.2">
      <c r="A4" s="1151" t="s">
        <v>1692</v>
      </c>
      <c r="B4" s="1152"/>
      <c r="C4" s="1153"/>
      <c r="D4" s="1154"/>
    </row>
    <row r="5" spans="1:4" ht="21" customHeight="1" x14ac:dyDescent="0.2">
      <c r="A5" s="1147"/>
      <c r="B5" s="1148">
        <v>1</v>
      </c>
      <c r="C5" s="1149" t="s">
        <v>1835</v>
      </c>
      <c r="D5" s="1150"/>
    </row>
    <row r="6" spans="1:4" s="668" customFormat="1" ht="14.25" customHeight="1" x14ac:dyDescent="0.2">
      <c r="A6" s="1137"/>
      <c r="B6" s="1092">
        <f t="shared" ref="B6:B13" si="0">B5+1</f>
        <v>2</v>
      </c>
      <c r="C6" s="1093" t="s">
        <v>864</v>
      </c>
      <c r="D6" s="1094"/>
    </row>
    <row r="7" spans="1:4" s="668" customFormat="1" ht="12.75" x14ac:dyDescent="0.2">
      <c r="A7" s="1137"/>
      <c r="B7" s="1092">
        <f t="shared" si="0"/>
        <v>3</v>
      </c>
      <c r="C7" s="2373" t="s">
        <v>1504</v>
      </c>
      <c r="D7" s="2374"/>
    </row>
    <row r="8" spans="1:4" s="668" customFormat="1" ht="12.75" x14ac:dyDescent="0.2">
      <c r="A8" s="1137"/>
      <c r="B8" s="1092"/>
      <c r="C8" s="1095" t="s">
        <v>1503</v>
      </c>
      <c r="D8" s="1096"/>
    </row>
    <row r="9" spans="1:4" s="668" customFormat="1" ht="14.25" customHeight="1" x14ac:dyDescent="0.2">
      <c r="A9" s="1137"/>
      <c r="B9" s="1092">
        <f>B7+1</f>
        <v>4</v>
      </c>
      <c r="C9" s="1093" t="s">
        <v>1913</v>
      </c>
      <c r="D9" s="1094"/>
    </row>
    <row r="10" spans="1:4" s="668" customFormat="1" ht="14.25" customHeight="1" x14ac:dyDescent="0.2">
      <c r="A10" s="1137"/>
      <c r="B10" s="1092">
        <f t="shared" si="0"/>
        <v>5</v>
      </c>
      <c r="C10" s="1093" t="s">
        <v>639</v>
      </c>
      <c r="D10" s="1094"/>
    </row>
    <row r="11" spans="1:4" s="668" customFormat="1" ht="14.25" customHeight="1" x14ac:dyDescent="0.2">
      <c r="A11" s="1137"/>
      <c r="B11" s="1092">
        <f t="shared" si="0"/>
        <v>6</v>
      </c>
      <c r="C11" s="1093" t="s">
        <v>778</v>
      </c>
      <c r="D11" s="1094"/>
    </row>
    <row r="12" spans="1:4" s="668" customFormat="1" ht="14.25" customHeight="1" x14ac:dyDescent="0.2">
      <c r="A12" s="1137"/>
      <c r="B12" s="1092">
        <f t="shared" si="0"/>
        <v>7</v>
      </c>
      <c r="C12" s="1093" t="s">
        <v>1062</v>
      </c>
      <c r="D12" s="1094"/>
    </row>
    <row r="13" spans="1:4" s="668" customFormat="1" ht="14.25" customHeight="1" x14ac:dyDescent="0.2">
      <c r="A13" s="1137"/>
      <c r="B13" s="1092">
        <f t="shared" si="0"/>
        <v>8</v>
      </c>
      <c r="C13" s="1133" t="s">
        <v>779</v>
      </c>
      <c r="D13" s="1094"/>
    </row>
    <row r="14" spans="1:4" s="668" customFormat="1" ht="14.25" customHeight="1" x14ac:dyDescent="0.2">
      <c r="A14" s="1137"/>
      <c r="B14" s="1134">
        <v>9</v>
      </c>
      <c r="C14" s="1135" t="s">
        <v>1505</v>
      </c>
      <c r="D14" s="1136"/>
    </row>
    <row r="15" spans="1:4" s="668" customFormat="1" ht="21.95" customHeight="1" x14ac:dyDescent="0.2">
      <c r="A15" s="2365" t="s">
        <v>1008</v>
      </c>
      <c r="B15" s="2366"/>
      <c r="C15" s="2366"/>
      <c r="D15" s="2367"/>
    </row>
    <row r="16" spans="1:4" s="668" customFormat="1" ht="24" customHeight="1" x14ac:dyDescent="0.2">
      <c r="A16" s="2368" t="s">
        <v>663</v>
      </c>
      <c r="B16" s="2369"/>
      <c r="C16" s="2369"/>
      <c r="D16" s="2370"/>
    </row>
    <row r="17" spans="1:10" s="668" customFormat="1" ht="12.75" customHeight="1" x14ac:dyDescent="0.2">
      <c r="A17" s="1155" t="s">
        <v>1693</v>
      </c>
      <c r="B17" s="1156"/>
      <c r="C17" s="1157"/>
      <c r="D17" s="1158"/>
    </row>
    <row r="18" spans="1:10" s="668"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377" t="s">
        <v>314</v>
      </c>
      <c r="D21" s="2378"/>
    </row>
    <row r="22" spans="1:10" ht="12.75" x14ac:dyDescent="0.2">
      <c r="A22" s="1138"/>
      <c r="B22" s="1139">
        <v>2</v>
      </c>
      <c r="C22" s="2375" t="s">
        <v>1524</v>
      </c>
      <c r="D22" s="2376"/>
    </row>
    <row r="23" spans="1:10" ht="12.4" customHeight="1" x14ac:dyDescent="0.2">
      <c r="A23" s="1138"/>
      <c r="B23" s="1139"/>
      <c r="C23" s="1140" t="s">
        <v>954</v>
      </c>
      <c r="D23" s="1141" t="str">
        <f>IF(COVER!O11="X","CASH",IF(COVER!O12="X","ACCRUAL ","PLEASE CHECK AN ACCOUNTING BASIS."))</f>
        <v>CASH</v>
      </c>
    </row>
    <row r="24" spans="1:10" ht="12.4" customHeight="1" x14ac:dyDescent="0.2">
      <c r="A24" s="1138"/>
      <c r="B24" s="1139"/>
      <c r="C24" s="1140" t="s">
        <v>1332</v>
      </c>
      <c r="D24" s="1141" t="str">
        <f>IF(COVER!O11="X","OK",IF(AND('Aud Quest 2'!J90=0,'Aud Quest 2'!I77&lt;DATE(2017,12,31)),"ENTER ACCOUNTING INFO",IF(AND('Aud Quest 2'!J90&gt;0,'Aud Quest 2'!I77&lt;DATE(2017,12,31)),"OK")))</f>
        <v>OK</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842</v>
      </c>
      <c r="D28" s="1106" t="b">
        <f>IF('Aud Quest 2'!B53="X",IF('Aud Quest 2'!F53&gt;"00/00/00 ","Enter Effective Date","ok"))</f>
        <v>0</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379" t="s">
        <v>536</v>
      </c>
      <c r="D43" s="2380"/>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371" t="s">
        <v>784</v>
      </c>
      <c r="D56" s="2372"/>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1914</v>
      </c>
      <c r="D66" s="1124"/>
    </row>
    <row r="67" spans="1:4" x14ac:dyDescent="0.2">
      <c r="A67" s="1118"/>
      <c r="B67" s="1139"/>
      <c r="C67" s="1146" t="s">
        <v>1021</v>
      </c>
      <c r="D67" s="1124"/>
    </row>
    <row r="68" spans="1:4" x14ac:dyDescent="0.2">
      <c r="A68" s="1099"/>
      <c r="B68" s="1109"/>
      <c r="C68" s="1101" t="s">
        <v>1915</v>
      </c>
      <c r="D68" s="1123" t="str">
        <f>IF('Short-Term Long-Term Debt 24'!F49=SUM(,'Acct Summary 7-8'!C33:K33),"OK","ERROR!")</f>
        <v>OK</v>
      </c>
    </row>
    <row r="69" spans="1:4" x14ac:dyDescent="0.2">
      <c r="A69" s="1099"/>
      <c r="B69" s="1109"/>
      <c r="C69" s="1101" t="s">
        <v>1916</v>
      </c>
      <c r="D69" s="1123" t="str">
        <f>IF('Expenditures 15-22'!H170&lt;&gt;'Short-Term Long-Term Debt 24'!H49,"ERROR!","OK")</f>
        <v>ERROR!</v>
      </c>
    </row>
    <row r="70" spans="1:4" x14ac:dyDescent="0.2">
      <c r="A70" s="1097"/>
      <c r="B70" s="1119">
        <f>B66+1</f>
        <v>9</v>
      </c>
      <c r="C70" s="2371" t="s">
        <v>1696</v>
      </c>
      <c r="D70" s="2372"/>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1917</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1918</v>
      </c>
      <c r="D78" s="1123" t="str">
        <f>IF(ISNUMBER('Acct Summary 7-8'!C9),"OK","ENTRY IS REQUIRED!")</f>
        <v>OK</v>
      </c>
    </row>
    <row r="79" spans="1:4" x14ac:dyDescent="0.2">
      <c r="A79" s="1118"/>
      <c r="B79" s="1119">
        <f>B74+1+1</f>
        <v>12</v>
      </c>
      <c r="C79" s="1129" t="s">
        <v>1903</v>
      </c>
      <c r="D79" s="1130" t="str">
        <f>IF(OR(COVER!$B$6="X",'PCTC-OEPP 27-28'!F78&gt;0),"OK","PLEASE ENTER 9 MO ADA.")</f>
        <v>OK</v>
      </c>
    </row>
    <row r="80" spans="1:4" x14ac:dyDescent="0.2">
      <c r="A80" s="1097"/>
      <c r="B80" s="1119">
        <v>13</v>
      </c>
      <c r="C80" s="1129" t="s">
        <v>1919</v>
      </c>
      <c r="D80" s="1130" t="str">
        <f>IF('Contracts Paid in CY 29'!D141&gt;0,"OK","PLEASE ENTER CONTRACTS PAID IN CURRENT YEAR.")</f>
        <v>OK</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t="str">
        <f>COVER!A13</f>
        <v>11087003A26</v>
      </c>
    </row>
    <row r="3" spans="1:2" x14ac:dyDescent="0.2">
      <c r="A3" t="s">
        <v>956</v>
      </c>
      <c r="B3" s="138" t="str">
        <f>COVER!A15</f>
        <v>Shelby and Fayette</v>
      </c>
    </row>
    <row r="4" spans="1:2" x14ac:dyDescent="0.2">
      <c r="A4" t="s">
        <v>1007</v>
      </c>
      <c r="B4" s="138" t="str">
        <f>COVER!A17</f>
        <v>Cowden-Herrick CUSD 3A</v>
      </c>
    </row>
    <row r="5" spans="1:2" x14ac:dyDescent="0.2">
      <c r="A5" t="s">
        <v>704</v>
      </c>
      <c r="B5" s="138" t="str">
        <f>COVER!A38</f>
        <v>Seth Schuler</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f>IF(COVER!J30="x","Yes",IF(COVER!L30="x","No",0))</f>
        <v>0</v>
      </c>
    </row>
    <row r="14" spans="1:2" x14ac:dyDescent="0.2">
      <c r="A14" t="s">
        <v>476</v>
      </c>
      <c r="B14" s="138">
        <f>IF(COVER!J31="x","Yes",IF(COVER!L31="x","No",0))</f>
        <v>0</v>
      </c>
    </row>
    <row r="15" spans="1:2" x14ac:dyDescent="0.2">
      <c r="A15" t="s">
        <v>577</v>
      </c>
      <c r="B15" s="138" t="str">
        <f>COVER!T23</f>
        <v>066-005286</v>
      </c>
    </row>
    <row r="16" spans="1:2" x14ac:dyDescent="0.2">
      <c r="A16" t="s">
        <v>422</v>
      </c>
      <c r="B16" s="138" t="str">
        <f>COVER!T13</f>
        <v>McGuire, Yuhas, Huffman &amp; Buckley, P.C.</v>
      </c>
    </row>
    <row r="17" spans="1:2" x14ac:dyDescent="0.2">
      <c r="A17" t="s">
        <v>884</v>
      </c>
      <c r="B17" s="138" t="str">
        <f>COVER!T15</f>
        <v>Kevin Buckley</v>
      </c>
    </row>
    <row r="18" spans="1:2" x14ac:dyDescent="0.2">
      <c r="A18" t="s">
        <v>1150</v>
      </c>
      <c r="B18" s="138" t="str">
        <f>COVER!T17</f>
        <v>334 W. Eldorado St.</v>
      </c>
    </row>
    <row r="19" spans="1:2" x14ac:dyDescent="0.2">
      <c r="A19" t="s">
        <v>886</v>
      </c>
      <c r="B19" s="138" t="str">
        <f>COVER!T25</f>
        <v>kbuckley@myhbcpa.com</v>
      </c>
    </row>
    <row r="20" spans="1:2" x14ac:dyDescent="0.2">
      <c r="A20" t="s">
        <v>887</v>
      </c>
      <c r="B20" s="138" t="str">
        <f>COVER!T19</f>
        <v>Decatur</v>
      </c>
    </row>
    <row r="21" spans="1:2" x14ac:dyDescent="0.2">
      <c r="A21" t="s">
        <v>479</v>
      </c>
      <c r="B21" s="138" t="str">
        <f>COVER!X19</f>
        <v>IL</v>
      </c>
    </row>
    <row r="22" spans="1:2" x14ac:dyDescent="0.2">
      <c r="A22" t="s">
        <v>888</v>
      </c>
      <c r="B22" s="138">
        <f>COVER!Z19</f>
        <v>62522</v>
      </c>
    </row>
    <row r="23" spans="1:2" x14ac:dyDescent="0.2">
      <c r="A23" t="s">
        <v>1152</v>
      </c>
      <c r="B23" s="138" t="str">
        <f>COVER!T21</f>
        <v>217-428-2127</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Yes</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1694265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1911256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-160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-160</v>
      </c>
      <c r="C91" s="2" t="s">
        <v>573</v>
      </c>
      <c r="D91" s="2" t="str">
        <f t="shared" si="0"/>
        <v>Error?</v>
      </c>
    </row>
    <row r="92" spans="1:4" x14ac:dyDescent="0.2">
      <c r="A92" s="5">
        <v>31</v>
      </c>
      <c r="B92" s="138">
        <f>'Assets-Liab 5-6'!C39</f>
        <v>1860381</v>
      </c>
      <c r="D92" s="2" t="str">
        <f t="shared" si="0"/>
        <v>Error?</v>
      </c>
    </row>
    <row r="93" spans="1:4" x14ac:dyDescent="0.2">
      <c r="A93" s="5">
        <v>32</v>
      </c>
      <c r="B93" s="138">
        <f>'Assets-Liab 5-6'!C41</f>
        <v>1911256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172960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177067</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3</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v>
      </c>
      <c r="C122" s="2" t="s">
        <v>573</v>
      </c>
      <c r="D122" s="2" t="str">
        <f t="shared" si="0"/>
        <v>Error?</v>
      </c>
    </row>
    <row r="123" spans="1:4" x14ac:dyDescent="0.2">
      <c r="A123" s="5">
        <v>62</v>
      </c>
      <c r="B123" s="138">
        <f>'Assets-Liab 5-6'!D39</f>
        <v>177064</v>
      </c>
      <c r="D123" s="2" t="str">
        <f t="shared" si="0"/>
        <v>Error?</v>
      </c>
    </row>
    <row r="124" spans="1:4" x14ac:dyDescent="0.2">
      <c r="A124" s="5">
        <v>63</v>
      </c>
      <c r="B124" s="138">
        <f>'Assets-Liab 5-6'!D41</f>
        <v>177067</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13161</v>
      </c>
      <c r="D129" s="2" t="str">
        <f t="shared" si="1"/>
        <v>Error?</v>
      </c>
    </row>
    <row r="130" spans="1:4" x14ac:dyDescent="0.2">
      <c r="A130" s="5">
        <v>69</v>
      </c>
      <c r="B130" s="138">
        <f>'Assets-Liab 5-6'!E12</f>
        <v>0</v>
      </c>
      <c r="D130" s="2" t="str">
        <f t="shared" si="1"/>
        <v>Error?</v>
      </c>
    </row>
    <row r="131" spans="1:4" x14ac:dyDescent="0.2">
      <c r="A131" s="5">
        <v>70</v>
      </c>
      <c r="B131" s="138">
        <f>'Assets-Liab 5-6'!E13</f>
        <v>14070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14070</v>
      </c>
      <c r="D140" s="2" t="str">
        <f t="shared" si="1"/>
        <v>Error?</v>
      </c>
    </row>
    <row r="141" spans="1:4" x14ac:dyDescent="0.2">
      <c r="A141" s="5">
        <v>80</v>
      </c>
      <c r="B141" s="138">
        <f>'Assets-Liab 5-6'!E41</f>
        <v>14070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35376</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332734</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-23</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-23</v>
      </c>
      <c r="C169" s="2" t="s">
        <v>573</v>
      </c>
      <c r="D169" s="2" t="str">
        <f t="shared" si="1"/>
        <v>Error?</v>
      </c>
    </row>
    <row r="170" spans="1:4" x14ac:dyDescent="0.2">
      <c r="A170" s="5">
        <v>109</v>
      </c>
      <c r="B170" s="138">
        <f>'Assets-Liab 5-6'!F39</f>
        <v>332757</v>
      </c>
      <c r="D170" s="2" t="str">
        <f t="shared" si="1"/>
        <v>Error?</v>
      </c>
    </row>
    <row r="171" spans="1:4" x14ac:dyDescent="0.2">
      <c r="A171" s="5">
        <v>110</v>
      </c>
      <c r="B171" s="138">
        <f>'Assets-Liab 5-6'!F41</f>
        <v>332734</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225325</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230383</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181693</v>
      </c>
      <c r="D189" s="2" t="str">
        <f t="shared" si="1"/>
        <v>Error?</v>
      </c>
    </row>
    <row r="190" spans="1:4" x14ac:dyDescent="0.2">
      <c r="A190" s="5">
        <v>129</v>
      </c>
      <c r="B190" s="138">
        <f>'Assets-Liab 5-6'!G41</f>
        <v>230383</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172899</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183627</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2998</v>
      </c>
      <c r="D212" s="2" t="str">
        <f t="shared" si="2"/>
        <v>Error?</v>
      </c>
    </row>
    <row r="213" spans="1:4" x14ac:dyDescent="0.2">
      <c r="A213" s="12">
        <v>152</v>
      </c>
      <c r="B213" s="138">
        <f>'Assets-Liab 5-6'!H41</f>
        <v>183627</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42712</v>
      </c>
      <c r="D273" s="2" t="str">
        <f t="shared" si="3"/>
        <v>Error?</v>
      </c>
    </row>
    <row r="274" spans="1:4" x14ac:dyDescent="0.2">
      <c r="A274" s="5">
        <v>213</v>
      </c>
      <c r="B274" s="138">
        <f>'Assets-Liab 5-6'!M17</f>
        <v>5117347</v>
      </c>
      <c r="D274" s="2" t="str">
        <f t="shared" si="3"/>
        <v>Error?</v>
      </c>
    </row>
    <row r="275" spans="1:4" x14ac:dyDescent="0.2">
      <c r="A275" s="5">
        <v>214</v>
      </c>
      <c r="B275" s="138">
        <f>'Assets-Liab 5-6'!M18</f>
        <v>271067</v>
      </c>
      <c r="D275" s="2" t="str">
        <f t="shared" si="3"/>
        <v>Error?</v>
      </c>
    </row>
    <row r="276" spans="1:4" x14ac:dyDescent="0.2">
      <c r="A276" s="5">
        <v>215</v>
      </c>
      <c r="B276" s="138">
        <f>'Assets-Liab 5-6'!M19</f>
        <v>1504444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6935570</v>
      </c>
      <c r="C279" s="2" t="s">
        <v>573</v>
      </c>
      <c r="D279" s="2" t="str">
        <f t="shared" si="3"/>
        <v>Error?</v>
      </c>
    </row>
    <row r="280" spans="1:4" x14ac:dyDescent="0.2">
      <c r="A280" s="5">
        <v>219</v>
      </c>
      <c r="B280" s="138">
        <f>'Assets-Liab 5-6'!M40</f>
        <v>6935570</v>
      </c>
      <c r="D280" s="2" t="str">
        <f t="shared" si="3"/>
        <v>Error?</v>
      </c>
    </row>
    <row r="281" spans="1:4" x14ac:dyDescent="0.2">
      <c r="A281" s="5">
        <v>220</v>
      </c>
      <c r="B281" s="138">
        <f>'Assets-Liab 5-6'!M41</f>
        <v>6935570</v>
      </c>
      <c r="C281" s="2" t="s">
        <v>573</v>
      </c>
      <c r="D281" s="2" t="str">
        <f t="shared" si="3"/>
        <v>Error?</v>
      </c>
    </row>
    <row r="282" spans="1:4" x14ac:dyDescent="0.2">
      <c r="A282" s="5">
        <v>221</v>
      </c>
      <c r="B282" s="138">
        <f>'Assets-Liab 5-6'!N21</f>
        <v>14070</v>
      </c>
      <c r="D282" s="2" t="str">
        <f t="shared" si="3"/>
        <v>Error?</v>
      </c>
    </row>
    <row r="283" spans="1:4" x14ac:dyDescent="0.2">
      <c r="A283" s="5">
        <v>222</v>
      </c>
      <c r="B283" s="138">
        <f>'Assets-Liab 5-6'!N22</f>
        <v>135930</v>
      </c>
      <c r="D283" s="2" t="str">
        <f t="shared" si="3"/>
        <v>Error?</v>
      </c>
    </row>
    <row r="284" spans="1:4" x14ac:dyDescent="0.2">
      <c r="A284" s="5">
        <v>223</v>
      </c>
      <c r="B284" s="138">
        <f>'Assets-Liab 5-6'!N23</f>
        <v>150000</v>
      </c>
      <c r="C284" s="2" t="s">
        <v>573</v>
      </c>
      <c r="D284" s="2" t="str">
        <f t="shared" si="3"/>
        <v>Error?</v>
      </c>
    </row>
    <row r="285" spans="1:4" x14ac:dyDescent="0.2">
      <c r="A285" s="5">
        <v>224</v>
      </c>
      <c r="B285" s="138">
        <f>'Assets-Liab 5-6'!N36</f>
        <v>150000</v>
      </c>
      <c r="D285" s="2" t="str">
        <f t="shared" si="3"/>
        <v>Error?</v>
      </c>
    </row>
    <row r="286" spans="1:4" x14ac:dyDescent="0.2">
      <c r="A286" s="10">
        <v>225</v>
      </c>
      <c r="D286" s="2" t="str">
        <f t="shared" si="3"/>
        <v>OK</v>
      </c>
    </row>
    <row r="287" spans="1:4" x14ac:dyDescent="0.2">
      <c r="A287" s="5">
        <v>226</v>
      </c>
      <c r="B287" s="138">
        <f>'Assets-Liab 5-6'!N37</f>
        <v>150000</v>
      </c>
      <c r="C287" s="2" t="s">
        <v>573</v>
      </c>
      <c r="D287" s="2" t="str">
        <f t="shared" si="3"/>
        <v>Error?</v>
      </c>
    </row>
    <row r="288" spans="1:4" x14ac:dyDescent="0.2">
      <c r="A288" s="5">
        <v>227</v>
      </c>
      <c r="B288" s="138">
        <f>'Assets-Liab 5-6'!N41</f>
        <v>150000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1046352</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91324</v>
      </c>
      <c r="D717" s="2" t="str">
        <f t="shared" si="10"/>
        <v>Error?</v>
      </c>
    </row>
    <row r="718" spans="1:4" x14ac:dyDescent="0.2">
      <c r="A718" s="5">
        <v>657</v>
      </c>
      <c r="B718" s="138">
        <f>'Expenditures 15-22'!C14</f>
        <v>32100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1416683</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39218</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35059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74277</v>
      </c>
      <c r="C727" s="2" t="s">
        <v>573</v>
      </c>
      <c r="D727" s="2" t="str">
        <f t="shared" si="10"/>
        <v>Error?</v>
      </c>
    </row>
    <row r="728" spans="1:4" x14ac:dyDescent="0.2">
      <c r="A728" s="5">
        <v>667</v>
      </c>
      <c r="B728" s="138">
        <f>'Expenditures 15-22'!C44</f>
        <v>4927</v>
      </c>
      <c r="D728" s="2" t="str">
        <f t="shared" si="10"/>
        <v>Error?</v>
      </c>
    </row>
    <row r="729" spans="1:4" x14ac:dyDescent="0.2">
      <c r="A729" s="5">
        <v>668</v>
      </c>
      <c r="B729" s="138">
        <f>'Expenditures 15-22'!C45</f>
        <v>2244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7171</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99745</v>
      </c>
      <c r="D733" s="2" t="str">
        <f t="shared" si="10"/>
        <v>Error?</v>
      </c>
    </row>
    <row r="734" spans="1:4" x14ac:dyDescent="0.2">
      <c r="A734" s="5">
        <v>673</v>
      </c>
      <c r="B734" s="138">
        <f>'Expenditures 15-22'!C53</f>
        <v>99745</v>
      </c>
      <c r="C734" s="2" t="s">
        <v>573</v>
      </c>
      <c r="D734" s="2" t="str">
        <f t="shared" si="10"/>
        <v>Error?</v>
      </c>
    </row>
    <row r="735" spans="1:4" x14ac:dyDescent="0.2">
      <c r="A735" s="5">
        <v>674</v>
      </c>
      <c r="B735" s="138">
        <f>'Expenditures 15-22'!C55</f>
        <v>209670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209670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16290</v>
      </c>
      <c r="D739" s="2" t="str">
        <f t="shared" si="10"/>
        <v>Error?</v>
      </c>
    </row>
    <row r="740" spans="1:4" x14ac:dyDescent="0.2">
      <c r="A740" s="5">
        <v>679</v>
      </c>
      <c r="B740" s="138">
        <f>'Expenditures 15-22'!C61</f>
        <v>1372</v>
      </c>
      <c r="D740" s="2" t="str">
        <f t="shared" si="10"/>
        <v>Error?</v>
      </c>
    </row>
    <row r="741" spans="1:4" x14ac:dyDescent="0.2">
      <c r="A741" s="5">
        <v>680</v>
      </c>
      <c r="B741" s="138">
        <f>'Expenditures 15-22'!C62</f>
        <v>0</v>
      </c>
      <c r="D741" s="2" t="str">
        <f t="shared" si="10"/>
        <v>Error?</v>
      </c>
    </row>
    <row r="742" spans="1:4" x14ac:dyDescent="0.2">
      <c r="A742" s="5">
        <v>681</v>
      </c>
      <c r="B742" s="138">
        <f>'Expenditures 15-22'!C63</f>
        <v>85761</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103423</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494286</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1910969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266069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26477</v>
      </c>
      <c r="D775" s="2" t="str">
        <f t="shared" si="11"/>
        <v>Error?</v>
      </c>
    </row>
    <row r="776" spans="1:4" x14ac:dyDescent="0.2">
      <c r="A776" s="5">
        <v>715</v>
      </c>
      <c r="B776" s="138">
        <f>'Expenditures 15-22'!D14</f>
        <v>3333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370955</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5477</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6606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12083</v>
      </c>
      <c r="C785" s="2" t="s">
        <v>573</v>
      </c>
      <c r="D785" s="2" t="str">
        <f t="shared" si="11"/>
        <v>Error?</v>
      </c>
    </row>
    <row r="786" spans="1:4" x14ac:dyDescent="0.2">
      <c r="A786" s="5">
        <v>725</v>
      </c>
      <c r="B786" s="138">
        <f>'Expenditures 15-22'!D44</f>
        <v>338</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338</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37351</v>
      </c>
      <c r="D791" s="2" t="str">
        <f t="shared" si="11"/>
        <v>Error?</v>
      </c>
    </row>
    <row r="792" spans="1:4" x14ac:dyDescent="0.2">
      <c r="A792" s="5">
        <v>731</v>
      </c>
      <c r="B792" s="138">
        <f>'Expenditures 15-22'!D53</f>
        <v>37351</v>
      </c>
      <c r="C792" s="2" t="s">
        <v>573</v>
      </c>
      <c r="D792" s="2" t="str">
        <f t="shared" si="11"/>
        <v>Error?</v>
      </c>
    </row>
    <row r="793" spans="1:4" x14ac:dyDescent="0.2">
      <c r="A793" s="5">
        <v>732</v>
      </c>
      <c r="B793" s="138">
        <f>'Expenditures 15-22'!D55</f>
        <v>59992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59992</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3033</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3033</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112797</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483752</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3624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1125</v>
      </c>
      <c r="D833" s="2" t="str">
        <f t="shared" si="12"/>
        <v>Error?</v>
      </c>
    </row>
    <row r="834" spans="1:4" x14ac:dyDescent="0.2">
      <c r="A834" s="5">
        <v>773</v>
      </c>
      <c r="B834" s="138">
        <f>'Expenditures 15-22'!E14</f>
        <v>3415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19599</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30225</v>
      </c>
      <c r="D840" s="2" t="str">
        <f t="shared" si="12"/>
        <v>Error?</v>
      </c>
    </row>
    <row r="841" spans="1:4" x14ac:dyDescent="0.2">
      <c r="A841" s="5">
        <v>780</v>
      </c>
      <c r="B841" s="138">
        <f>'Expenditures 15-22'!E40</f>
        <v>264</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30489</v>
      </c>
      <c r="C843" s="2" t="s">
        <v>573</v>
      </c>
      <c r="D843" s="2" t="str">
        <f t="shared" si="12"/>
        <v>Error?</v>
      </c>
    </row>
    <row r="844" spans="1:4" x14ac:dyDescent="0.2">
      <c r="A844" s="5">
        <v>783</v>
      </c>
      <c r="B844" s="138">
        <f>'Expenditures 15-22'!E44</f>
        <v>31425</v>
      </c>
      <c r="D844" s="2" t="str">
        <f t="shared" si="12"/>
        <v>Error?</v>
      </c>
    </row>
    <row r="845" spans="1:4" x14ac:dyDescent="0.2">
      <c r="A845" s="5">
        <v>784</v>
      </c>
      <c r="B845" s="138">
        <f>'Expenditures 15-22'!E45</f>
        <v>19745</v>
      </c>
      <c r="D845" s="2" t="str">
        <f t="shared" si="12"/>
        <v>Error?</v>
      </c>
    </row>
    <row r="846" spans="1:4" x14ac:dyDescent="0.2">
      <c r="A846" s="5">
        <v>785</v>
      </c>
      <c r="B846" s="138">
        <f>'Expenditures 15-22'!E46</f>
        <v>6286</v>
      </c>
      <c r="D846" s="2" t="str">
        <f t="shared" si="12"/>
        <v>Error?</v>
      </c>
    </row>
    <row r="847" spans="1:4" x14ac:dyDescent="0.2">
      <c r="A847" s="5">
        <v>786</v>
      </c>
      <c r="B847" s="138">
        <f>'Expenditures 15-22'!E47</f>
        <v>57456</v>
      </c>
      <c r="C847" s="2" t="s">
        <v>573</v>
      </c>
      <c r="D847" s="2" t="str">
        <f t="shared" si="12"/>
        <v>Error?</v>
      </c>
    </row>
    <row r="848" spans="1:4" x14ac:dyDescent="0.2">
      <c r="A848" s="5">
        <v>787</v>
      </c>
      <c r="B848" s="138">
        <f>'Expenditures 15-22'!E49</f>
        <v>21071</v>
      </c>
      <c r="D848" s="2" t="str">
        <f t="shared" si="12"/>
        <v>Error?</v>
      </c>
    </row>
    <row r="849" spans="1:4" x14ac:dyDescent="0.2">
      <c r="A849" s="5">
        <v>788</v>
      </c>
      <c r="B849" s="138">
        <f>'Expenditures 15-22'!E50</f>
        <v>6718</v>
      </c>
      <c r="D849" s="2" t="str">
        <f t="shared" si="12"/>
        <v>Error?</v>
      </c>
    </row>
    <row r="850" spans="1:4" x14ac:dyDescent="0.2">
      <c r="A850" s="5">
        <v>789</v>
      </c>
      <c r="B850" s="138">
        <f>'Expenditures 15-22'!E53</f>
        <v>27789</v>
      </c>
      <c r="C850" s="2" t="s">
        <v>573</v>
      </c>
      <c r="D850" s="2" t="str">
        <f t="shared" si="12"/>
        <v>Error?</v>
      </c>
    </row>
    <row r="851" spans="1:4" x14ac:dyDescent="0.2">
      <c r="A851" s="5">
        <v>790</v>
      </c>
      <c r="B851" s="138">
        <f>'Expenditures 15-22'!E55</f>
        <v>628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628</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468</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1174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1642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38308</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38308</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156312</v>
      </c>
      <c r="C871" s="2" t="s">
        <v>573</v>
      </c>
      <c r="D871" s="2" t="str">
        <f t="shared" si="12"/>
        <v>Error?</v>
      </c>
    </row>
    <row r="872" spans="1:4" x14ac:dyDescent="0.2">
      <c r="A872" s="5">
        <v>811</v>
      </c>
      <c r="B872" s="138">
        <f>'Expenditures 15-22'!E75</f>
        <v>1160</v>
      </c>
      <c r="D872" s="2" t="str">
        <f t="shared" si="12"/>
        <v>Error?</v>
      </c>
    </row>
    <row r="873" spans="1:4" x14ac:dyDescent="0.2">
      <c r="A873" s="5">
        <v>812</v>
      </c>
      <c r="B873" s="138">
        <f>'Expenditures 15-22'!E114</f>
        <v>212327</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23474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6806</v>
      </c>
      <c r="D891" s="2" t="str">
        <f t="shared" si="12"/>
        <v>Error?</v>
      </c>
    </row>
    <row r="892" spans="1:4" x14ac:dyDescent="0.2">
      <c r="A892" s="5">
        <v>831</v>
      </c>
      <c r="B892" s="138">
        <f>'Expenditures 15-22'!F14</f>
        <v>11856</v>
      </c>
      <c r="D892" s="2" t="str">
        <f t="shared" si="12"/>
        <v>Error?</v>
      </c>
    </row>
    <row r="893" spans="1:4" x14ac:dyDescent="0.2">
      <c r="A893" s="5">
        <v>832</v>
      </c>
      <c r="B893" s="138">
        <f>'Expenditures 15-22'!F15</f>
        <v>0</v>
      </c>
      <c r="D893" s="2" t="str">
        <f t="shared" si="12"/>
        <v>Error?</v>
      </c>
    </row>
    <row r="894" spans="1:4" x14ac:dyDescent="0.2">
      <c r="A894" s="5">
        <v>833</v>
      </c>
      <c r="B894" s="138">
        <f>'Expenditures 15-22'!F33</f>
        <v>70108</v>
      </c>
      <c r="C894" s="2" t="s">
        <v>573</v>
      </c>
      <c r="D894" s="2" t="str">
        <f t="shared" si="12"/>
        <v>Error?</v>
      </c>
    </row>
    <row r="895" spans="1:4" x14ac:dyDescent="0.2">
      <c r="A895" s="5">
        <v>834</v>
      </c>
      <c r="B895" s="138">
        <f>'Expenditures 15-22'!F36</f>
        <v>1345</v>
      </c>
      <c r="D895" s="2" t="str">
        <f t="shared" ref="D895:D958" si="13">IF(ISBLANK(B895),"OK",IF(A895-B895=0,"OK","Error?"))</f>
        <v>Error?</v>
      </c>
    </row>
    <row r="896" spans="1:4" x14ac:dyDescent="0.2">
      <c r="A896" s="5">
        <v>835</v>
      </c>
      <c r="B896" s="138">
        <f>'Expenditures 15-22'!F37</f>
        <v>25</v>
      </c>
      <c r="D896" s="2" t="str">
        <f t="shared" si="13"/>
        <v>Error?</v>
      </c>
    </row>
    <row r="897" spans="1:4" x14ac:dyDescent="0.2">
      <c r="A897" s="5">
        <v>836</v>
      </c>
      <c r="B897" s="138">
        <f>'Expenditures 15-22'!F38</f>
        <v>0</v>
      </c>
      <c r="D897" s="2" t="str">
        <f t="shared" si="13"/>
        <v>Error?</v>
      </c>
    </row>
    <row r="898" spans="1:4" x14ac:dyDescent="0.2">
      <c r="A898" s="5">
        <v>837</v>
      </c>
      <c r="B898" s="138">
        <f>'Expenditures 15-22'!F39</f>
        <v>542</v>
      </c>
      <c r="D898" s="2" t="str">
        <f t="shared" si="13"/>
        <v>Error?</v>
      </c>
    </row>
    <row r="899" spans="1:4" x14ac:dyDescent="0.2">
      <c r="A899" s="5">
        <v>838</v>
      </c>
      <c r="B899" s="138">
        <f>'Expenditures 15-22'!F40</f>
        <v>697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2609</v>
      </c>
      <c r="C901" s="2" t="s">
        <v>573</v>
      </c>
      <c r="D901" s="2" t="str">
        <f t="shared" si="13"/>
        <v>Error?</v>
      </c>
    </row>
    <row r="902" spans="1:4" x14ac:dyDescent="0.2">
      <c r="A902" s="5">
        <v>841</v>
      </c>
      <c r="B902" s="138">
        <f>'Expenditures 15-22'!F44</f>
        <v>26600</v>
      </c>
      <c r="D902" s="2" t="str">
        <f t="shared" si="13"/>
        <v>Error?</v>
      </c>
    </row>
    <row r="903" spans="1:4" x14ac:dyDescent="0.2">
      <c r="A903" s="5">
        <v>842</v>
      </c>
      <c r="B903" s="138">
        <f>'Expenditures 15-22'!F45</f>
        <v>75</v>
      </c>
      <c r="D903" s="2" t="str">
        <f t="shared" si="13"/>
        <v>Error?</v>
      </c>
    </row>
    <row r="904" spans="1:4" x14ac:dyDescent="0.2">
      <c r="A904" s="5">
        <v>843</v>
      </c>
      <c r="B904" s="138">
        <f>'Expenditures 15-22'!F46</f>
        <v>1499</v>
      </c>
      <c r="D904" s="2" t="str">
        <f t="shared" si="13"/>
        <v>Error?</v>
      </c>
    </row>
    <row r="905" spans="1:4" x14ac:dyDescent="0.2">
      <c r="A905" s="5">
        <v>844</v>
      </c>
      <c r="B905" s="138">
        <f>'Expenditures 15-22'!F47</f>
        <v>28174</v>
      </c>
      <c r="C905" s="2" t="s">
        <v>573</v>
      </c>
      <c r="D905" s="2" t="str">
        <f t="shared" si="13"/>
        <v>Error?</v>
      </c>
    </row>
    <row r="906" spans="1:4" x14ac:dyDescent="0.2">
      <c r="A906" s="5">
        <v>845</v>
      </c>
      <c r="B906" s="138">
        <f>'Expenditures 15-22'!F49</f>
        <v>4251</v>
      </c>
      <c r="D906" s="2" t="str">
        <f t="shared" si="13"/>
        <v>Error?</v>
      </c>
    </row>
    <row r="907" spans="1:4" x14ac:dyDescent="0.2">
      <c r="A907" s="5">
        <v>846</v>
      </c>
      <c r="B907" s="138">
        <f>'Expenditures 15-22'!F50</f>
        <v>1215</v>
      </c>
      <c r="D907" s="2" t="str">
        <f t="shared" si="13"/>
        <v>Error?</v>
      </c>
    </row>
    <row r="908" spans="1:4" x14ac:dyDescent="0.2">
      <c r="A908" s="5">
        <v>847</v>
      </c>
      <c r="B908" s="138">
        <f>'Expenditures 15-22'!F53</f>
        <v>5466</v>
      </c>
      <c r="C908" s="2" t="s">
        <v>573</v>
      </c>
      <c r="D908" s="2" t="str">
        <f t="shared" si="13"/>
        <v>Error?</v>
      </c>
    </row>
    <row r="909" spans="1:4" x14ac:dyDescent="0.2">
      <c r="A909" s="5">
        <v>848</v>
      </c>
      <c r="B909" s="138">
        <f>'Expenditures 15-22'!F55</f>
        <v>2197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2197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878</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81359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82237</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12</v>
      </c>
      <c r="D928" s="2" t="str">
        <f t="shared" si="13"/>
        <v>Error?</v>
      </c>
    </row>
    <row r="929" spans="1:4" x14ac:dyDescent="0.2">
      <c r="A929" s="5">
        <v>868</v>
      </c>
      <c r="B929" s="138">
        <f>'Expenditures 15-22'!F74</f>
        <v>120695</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190803</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759</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759</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759</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759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3747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44087</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47834</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3873</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51707</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1343266</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169819</v>
      </c>
      <c r="C1105" s="2" t="s">
        <v>573</v>
      </c>
      <c r="D1105" s="2" t="str">
        <f t="shared" si="16"/>
        <v>Error?</v>
      </c>
    </row>
    <row r="1106" spans="1:4" x14ac:dyDescent="0.2">
      <c r="A1106" s="5">
        <v>1045</v>
      </c>
      <c r="B1106" s="138">
        <f>'Expenditures 15-22'!K14</f>
        <v>50704</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1925179</v>
      </c>
      <c r="C1108" s="2" t="s">
        <v>573</v>
      </c>
      <c r="D1108" s="2" t="str">
        <f t="shared" si="16"/>
        <v>Error?</v>
      </c>
    </row>
    <row r="1109" spans="1:4" x14ac:dyDescent="0.2">
      <c r="A1109" s="5">
        <v>1048</v>
      </c>
      <c r="B1109" s="138">
        <f>'Expenditures 15-22'!K36</f>
        <v>1345</v>
      </c>
      <c r="C1109" s="2" t="s">
        <v>573</v>
      </c>
      <c r="D1109" s="2" t="str">
        <f t="shared" si="16"/>
        <v>Error?</v>
      </c>
    </row>
    <row r="1110" spans="1:4" x14ac:dyDescent="0.2">
      <c r="A1110" s="5">
        <v>1049</v>
      </c>
      <c r="B1110" s="138">
        <f>'Expenditures 15-22'!K37</f>
        <v>44720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30767</v>
      </c>
      <c r="C1112" s="2" t="s">
        <v>573</v>
      </c>
      <c r="D1112" s="2" t="str">
        <f t="shared" si="16"/>
        <v>Error?</v>
      </c>
    </row>
    <row r="1113" spans="1:4" x14ac:dyDescent="0.2">
      <c r="A1113" s="5">
        <v>1052</v>
      </c>
      <c r="B1113" s="138">
        <f>'Expenditures 15-22'!K40</f>
        <v>42626</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119458</v>
      </c>
      <c r="C1115" s="2" t="s">
        <v>573</v>
      </c>
      <c r="D1115" s="2" t="str">
        <f t="shared" si="16"/>
        <v>Error?</v>
      </c>
    </row>
    <row r="1116" spans="1:4" x14ac:dyDescent="0.2">
      <c r="A1116" s="5">
        <v>1055</v>
      </c>
      <c r="B1116" s="138">
        <f>'Expenditures 15-22'!K44</f>
        <v>63290</v>
      </c>
      <c r="C1116" s="2" t="s">
        <v>573</v>
      </c>
      <c r="D1116" s="2" t="str">
        <f t="shared" si="16"/>
        <v>Error?</v>
      </c>
    </row>
    <row r="1117" spans="1:4" x14ac:dyDescent="0.2">
      <c r="A1117" s="5">
        <v>1056</v>
      </c>
      <c r="B1117" s="138">
        <f>'Expenditures 15-22'!K45</f>
        <v>22064</v>
      </c>
      <c r="C1117" s="2" t="s">
        <v>573</v>
      </c>
      <c r="D1117" s="2" t="str">
        <f t="shared" si="16"/>
        <v>Error?</v>
      </c>
    </row>
    <row r="1118" spans="1:4" x14ac:dyDescent="0.2">
      <c r="A1118" s="5">
        <v>1057</v>
      </c>
      <c r="B1118" s="138">
        <f>'Expenditures 15-22'!K46</f>
        <v>7785</v>
      </c>
      <c r="C1118" s="2" t="s">
        <v>573</v>
      </c>
      <c r="D1118" s="2" t="str">
        <f t="shared" si="16"/>
        <v>Error?</v>
      </c>
    </row>
    <row r="1119" spans="1:4" x14ac:dyDescent="0.2">
      <c r="A1119" s="5">
        <v>1058</v>
      </c>
      <c r="B1119" s="138">
        <f>'Expenditures 15-22'!K47</f>
        <v>93139</v>
      </c>
      <c r="C1119" s="2" t="s">
        <v>573</v>
      </c>
      <c r="D1119" s="2" t="str">
        <f t="shared" si="16"/>
        <v>Error?</v>
      </c>
    </row>
    <row r="1120" spans="1:4" x14ac:dyDescent="0.2">
      <c r="A1120" s="5">
        <v>1059</v>
      </c>
      <c r="B1120" s="138">
        <f>'Expenditures 15-22'!K49</f>
        <v>25322</v>
      </c>
      <c r="C1120" s="2" t="s">
        <v>573</v>
      </c>
      <c r="D1120" s="2" t="str">
        <f t="shared" si="16"/>
        <v>Error?</v>
      </c>
    </row>
    <row r="1121" spans="1:4" x14ac:dyDescent="0.2">
      <c r="A1121" s="5">
        <v>1060</v>
      </c>
      <c r="B1121" s="138">
        <f>'Expenditures 15-22'!K50</f>
        <v>145029</v>
      </c>
      <c r="C1121" s="2" t="s">
        <v>573</v>
      </c>
      <c r="D1121" s="2" t="str">
        <f t="shared" si="16"/>
        <v>Error?</v>
      </c>
    </row>
    <row r="1122" spans="1:4" x14ac:dyDescent="0.2">
      <c r="A1122" s="5">
        <v>1061</v>
      </c>
      <c r="B1122" s="138">
        <f>'Expenditures 15-22'!K53</f>
        <v>170351</v>
      </c>
      <c r="C1122" s="2" t="s">
        <v>573</v>
      </c>
      <c r="D1122" s="2" t="str">
        <f t="shared" si="16"/>
        <v>Error?</v>
      </c>
    </row>
    <row r="1123" spans="1:4" x14ac:dyDescent="0.2">
      <c r="A1123" s="5">
        <v>1062</v>
      </c>
      <c r="B1123" s="138">
        <f>'Expenditures 15-22'!K55</f>
        <v>272487</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272487</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20669</v>
      </c>
      <c r="C1127" s="2" t="s">
        <v>573</v>
      </c>
      <c r="D1127" s="2" t="str">
        <f t="shared" si="16"/>
        <v>Error?</v>
      </c>
    </row>
    <row r="1128" spans="1:4" x14ac:dyDescent="0.2">
      <c r="A1128" s="5">
        <v>1067</v>
      </c>
      <c r="B1128" s="138">
        <f>'Expenditures 15-22'!K61</f>
        <v>1372</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169053</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191094</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38308</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38308</v>
      </c>
      <c r="C1141" s="2" t="s">
        <v>573</v>
      </c>
      <c r="D1141" s="2" t="str">
        <f t="shared" si="16"/>
        <v>Error?</v>
      </c>
    </row>
    <row r="1142" spans="1:4" x14ac:dyDescent="0.2">
      <c r="A1142" s="5">
        <v>1081</v>
      </c>
      <c r="B1142" s="138">
        <f>'Expenditures 15-22'!K73</f>
        <v>12</v>
      </c>
      <c r="C1142" s="2" t="s">
        <v>573</v>
      </c>
      <c r="D1142" s="2" t="str">
        <f t="shared" si="16"/>
        <v>Error?</v>
      </c>
    </row>
    <row r="1143" spans="1:4" x14ac:dyDescent="0.2">
      <c r="A1143" s="5">
        <v>1082</v>
      </c>
      <c r="B1143" s="138">
        <f>'Expenditures 15-22'!K74</f>
        <v>884849</v>
      </c>
      <c r="C1143" s="2" t="s">
        <v>573</v>
      </c>
      <c r="D1143" s="2" t="str">
        <f t="shared" si="16"/>
        <v>Error?</v>
      </c>
    </row>
    <row r="1144" spans="1:4" x14ac:dyDescent="0.2">
      <c r="A1144" s="5">
        <v>1083</v>
      </c>
      <c r="B1144" s="138">
        <f>'Expenditures 15-22'!K75</f>
        <v>1160</v>
      </c>
      <c r="C1144" s="2" t="s">
        <v>573</v>
      </c>
      <c r="D1144" s="2" t="str">
        <f t="shared" si="16"/>
        <v>Error?</v>
      </c>
    </row>
    <row r="1145" spans="1:4" x14ac:dyDescent="0.2">
      <c r="A1145" s="5">
        <v>1084</v>
      </c>
      <c r="B1145" s="138">
        <f>'Expenditures 15-22'!K102</f>
        <v>39129</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2850317</v>
      </c>
      <c r="C1152" s="2" t="s">
        <v>573</v>
      </c>
      <c r="D1152" s="2" t="str">
        <f t="shared" si="17"/>
        <v>Error?</v>
      </c>
    </row>
    <row r="1153" spans="1:4" x14ac:dyDescent="0.2">
      <c r="A1153" s="5">
        <v>1092</v>
      </c>
      <c r="B1153" s="138">
        <f>'Expenditures 15-22'!K115</f>
        <v>206624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120387</v>
      </c>
      <c r="D1221" s="2" t="str">
        <f t="shared" si="18"/>
        <v>Error?</v>
      </c>
    </row>
    <row r="1222" spans="1:4" x14ac:dyDescent="0.2">
      <c r="A1222" s="10">
        <v>1161</v>
      </c>
      <c r="D1222" s="2" t="str">
        <f t="shared" si="18"/>
        <v>OK</v>
      </c>
    </row>
    <row r="1223" spans="1:4" x14ac:dyDescent="0.2">
      <c r="A1223" s="5">
        <v>1162</v>
      </c>
      <c r="B1223" s="138">
        <f>'Expenditures 15-22'!C127</f>
        <v>120387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120387</v>
      </c>
      <c r="C1225" s="2" t="s">
        <v>573</v>
      </c>
      <c r="D1225" s="2" t="str">
        <f t="shared" si="18"/>
        <v>Error?</v>
      </c>
    </row>
    <row r="1226" spans="1:4" x14ac:dyDescent="0.2">
      <c r="A1226" s="5">
        <v>1165</v>
      </c>
      <c r="B1226" s="138">
        <f>'Expenditures 15-22'!C151</f>
        <v>120387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20388</v>
      </c>
      <c r="D1229" s="2" t="str">
        <f t="shared" si="18"/>
        <v>Error?</v>
      </c>
    </row>
    <row r="1230" spans="1:4" x14ac:dyDescent="0.2">
      <c r="A1230" s="10">
        <v>1169</v>
      </c>
      <c r="D1230" s="2" t="str">
        <f t="shared" si="18"/>
        <v>OK</v>
      </c>
    </row>
    <row r="1231" spans="1:4" x14ac:dyDescent="0.2">
      <c r="A1231" s="5">
        <v>1170</v>
      </c>
      <c r="B1231" s="138">
        <f>'Expenditures 15-22'!D127</f>
        <v>20388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20388</v>
      </c>
      <c r="C1233" s="2" t="s">
        <v>573</v>
      </c>
      <c r="D1233" s="2" t="str">
        <f t="shared" si="18"/>
        <v>Error?</v>
      </c>
    </row>
    <row r="1234" spans="1:4" x14ac:dyDescent="0.2">
      <c r="A1234" s="5">
        <v>1173</v>
      </c>
      <c r="B1234" s="138">
        <f>'Expenditures 15-22'!D151</f>
        <v>20388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23959</v>
      </c>
      <c r="D1237" s="2" t="str">
        <f t="shared" si="18"/>
        <v>Error?</v>
      </c>
    </row>
    <row r="1238" spans="1:4" x14ac:dyDescent="0.2">
      <c r="A1238" s="10">
        <v>1177</v>
      </c>
      <c r="D1238" s="2" t="str">
        <f t="shared" si="18"/>
        <v>OK</v>
      </c>
    </row>
    <row r="1239" spans="1:4" x14ac:dyDescent="0.2">
      <c r="A1239" s="5">
        <v>1178</v>
      </c>
      <c r="B1239" s="138">
        <f>'Expenditures 15-22'!E127</f>
        <v>23959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23959</v>
      </c>
      <c r="C1241" s="2" t="s">
        <v>573</v>
      </c>
      <c r="D1241" s="2" t="str">
        <f t="shared" si="18"/>
        <v>Error?</v>
      </c>
    </row>
    <row r="1242" spans="1:4" x14ac:dyDescent="0.2">
      <c r="A1242" s="5">
        <v>1181</v>
      </c>
      <c r="B1242" s="138">
        <f>'Expenditures 15-22'!E151</f>
        <v>23959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161678</v>
      </c>
      <c r="D1245" s="2" t="str">
        <f t="shared" si="18"/>
        <v>Error?</v>
      </c>
    </row>
    <row r="1246" spans="1:4" x14ac:dyDescent="0.2">
      <c r="A1246" s="10">
        <v>1185</v>
      </c>
      <c r="D1246" s="2" t="str">
        <f t="shared" si="18"/>
        <v>OK</v>
      </c>
    </row>
    <row r="1247" spans="1:4" x14ac:dyDescent="0.2">
      <c r="A1247" s="5">
        <v>1186</v>
      </c>
      <c r="B1247" s="138">
        <f>'Expenditures 15-22'!F127</f>
        <v>161678</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161678</v>
      </c>
      <c r="C1249" s="2" t="s">
        <v>573</v>
      </c>
      <c r="D1249" s="2" t="str">
        <f t="shared" si="18"/>
        <v>Error?</v>
      </c>
    </row>
    <row r="1250" spans="1:4" x14ac:dyDescent="0.2">
      <c r="A1250" s="5">
        <v>1189</v>
      </c>
      <c r="B1250" s="138">
        <f>'Expenditures 15-22'!F151</f>
        <v>161678</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326412</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326412</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326412</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326412</v>
      </c>
      <c r="C1288" s="2" t="s">
        <v>573</v>
      </c>
      <c r="D1288" s="2" t="str">
        <f t="shared" si="19"/>
        <v>Error?</v>
      </c>
    </row>
    <row r="1289" spans="1:4" x14ac:dyDescent="0.2">
      <c r="A1289" s="5">
        <v>1228</v>
      </c>
      <c r="B1289" s="138">
        <f>'Expenditures 15-22'!K152</f>
        <v>100631</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8533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35000</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44033</v>
      </c>
      <c r="C1317" s="2" t="s">
        <v>573</v>
      </c>
      <c r="D1317" s="2" t="str">
        <f t="shared" si="19"/>
        <v>Error?</v>
      </c>
    </row>
    <row r="1318" spans="1:4" x14ac:dyDescent="0.2">
      <c r="A1318" s="5">
        <v>1257</v>
      </c>
      <c r="B1318" s="138">
        <f>'Expenditures 15-22'!H174</f>
        <v>44033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8533</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35000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44033</v>
      </c>
      <c r="C1331" s="2" t="s">
        <v>573</v>
      </c>
      <c r="D1331" s="2" t="str">
        <f t="shared" si="19"/>
        <v>Error?</v>
      </c>
    </row>
    <row r="1332" spans="1:4" x14ac:dyDescent="0.2">
      <c r="A1332" s="5">
        <v>1271</v>
      </c>
      <c r="B1332" s="138">
        <f>'Expenditures 15-22'!K174</f>
        <v>44033</v>
      </c>
      <c r="C1332" s="2" t="s">
        <v>573</v>
      </c>
      <c r="D1332" s="2" t="str">
        <f t="shared" si="19"/>
        <v>Error?</v>
      </c>
    </row>
    <row r="1333" spans="1:4" x14ac:dyDescent="0.2">
      <c r="A1333" s="5">
        <v>1272</v>
      </c>
      <c r="B1333" s="138">
        <f>'Expenditures 15-22'!K175</f>
        <v>-255</v>
      </c>
      <c r="C1333" s="2" t="s">
        <v>573</v>
      </c>
      <c r="D1333" s="2" t="str">
        <f t="shared" si="19"/>
        <v>Error?</v>
      </c>
    </row>
    <row r="1334" spans="1:4" x14ac:dyDescent="0.2">
      <c r="A1334" s="10">
        <v>1273</v>
      </c>
      <c r="D1334" s="2" t="str">
        <f t="shared" si="19"/>
        <v>OK</v>
      </c>
    </row>
    <row r="1335" spans="1:4" x14ac:dyDescent="0.2">
      <c r="A1335" s="5">
        <v>1274</v>
      </c>
      <c r="B1335" s="138">
        <f>'Expenditures 15-22'!C182</f>
        <v>129982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129982</v>
      </c>
      <c r="C1339" s="2" t="s">
        <v>573</v>
      </c>
      <c r="D1339" s="2" t="str">
        <f t="shared" si="19"/>
        <v>Error?</v>
      </c>
    </row>
    <row r="1340" spans="1:4" x14ac:dyDescent="0.2">
      <c r="A1340" s="5">
        <v>1279</v>
      </c>
      <c r="B1340" s="138">
        <f>'Expenditures 15-22'!C210</f>
        <v>129982</v>
      </c>
      <c r="C1340" s="2" t="s">
        <v>573</v>
      </c>
      <c r="D1340" s="2" t="str">
        <f t="shared" si="19"/>
        <v>Error?</v>
      </c>
    </row>
    <row r="1341" spans="1:4" x14ac:dyDescent="0.2">
      <c r="A1341" s="5">
        <v>1280</v>
      </c>
      <c r="B1341" s="138">
        <f>'Expenditures 15-22'!D182</f>
        <v>1137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1137</v>
      </c>
      <c r="C1345" s="2" t="s">
        <v>573</v>
      </c>
      <c r="D1345" s="2" t="str">
        <f t="shared" si="20"/>
        <v>Error?</v>
      </c>
    </row>
    <row r="1346" spans="1:4" x14ac:dyDescent="0.2">
      <c r="A1346" s="5">
        <v>1285</v>
      </c>
      <c r="B1346" s="138">
        <f>'Expenditures 15-22'!D210</f>
        <v>1137</v>
      </c>
      <c r="C1346" s="2" t="s">
        <v>573</v>
      </c>
      <c r="D1346" s="2" t="str">
        <f t="shared" si="20"/>
        <v>Error?</v>
      </c>
    </row>
    <row r="1347" spans="1:4" x14ac:dyDescent="0.2">
      <c r="A1347" s="5">
        <v>1286</v>
      </c>
      <c r="B1347" s="138">
        <f>'Expenditures 15-22'!E182</f>
        <v>12561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12561</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12561</v>
      </c>
      <c r="C1353" s="2" t="s">
        <v>573</v>
      </c>
      <c r="D1353" s="2" t="str">
        <f t="shared" si="20"/>
        <v>Error?</v>
      </c>
    </row>
    <row r="1354" spans="1:4" x14ac:dyDescent="0.2">
      <c r="A1354" s="5">
        <v>1293</v>
      </c>
      <c r="B1354" s="138">
        <f>'Expenditures 15-22'!F182</f>
        <v>48569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48569</v>
      </c>
      <c r="C1358" s="2" t="s">
        <v>573</v>
      </c>
      <c r="D1358" s="2" t="str">
        <f t="shared" si="20"/>
        <v>Error?</v>
      </c>
    </row>
    <row r="1359" spans="1:4" x14ac:dyDescent="0.2">
      <c r="A1359" s="5">
        <v>1298</v>
      </c>
      <c r="B1359" s="138">
        <f>'Expenditures 15-22'!F210</f>
        <v>48569</v>
      </c>
      <c r="C1359" s="2" t="s">
        <v>573</v>
      </c>
      <c r="D1359" s="2" t="str">
        <f t="shared" si="20"/>
        <v>Error?</v>
      </c>
    </row>
    <row r="1360" spans="1:4" x14ac:dyDescent="0.2">
      <c r="A1360" s="5">
        <v>1299</v>
      </c>
      <c r="B1360" s="138">
        <f>'Expenditures 15-22'!G182</f>
        <v>101375</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101375</v>
      </c>
      <c r="C1364" s="2" t="s">
        <v>573</v>
      </c>
      <c r="D1364" s="2" t="str">
        <f t="shared" si="20"/>
        <v>Error?</v>
      </c>
    </row>
    <row r="1365" spans="1:4" x14ac:dyDescent="0.2">
      <c r="A1365" s="5">
        <v>1304</v>
      </c>
      <c r="B1365" s="138">
        <f>'Expenditures 15-22'!G210</f>
        <v>101375</v>
      </c>
      <c r="C1365" s="2" t="s">
        <v>573</v>
      </c>
      <c r="D1365" s="2" t="str">
        <f t="shared" si="20"/>
        <v>Error?</v>
      </c>
    </row>
    <row r="1366" spans="1:4" x14ac:dyDescent="0.2">
      <c r="A1366" s="5">
        <v>1305</v>
      </c>
      <c r="B1366" s="138">
        <f>'Expenditures 15-22'!H182</f>
        <v>1563</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1563</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1563</v>
      </c>
      <c r="C1376" s="2" t="s">
        <v>573</v>
      </c>
      <c r="D1376" s="2" t="str">
        <f t="shared" si="20"/>
        <v>Error?</v>
      </c>
    </row>
    <row r="1377" spans="1:4" x14ac:dyDescent="0.2">
      <c r="A1377" s="5">
        <v>1316</v>
      </c>
      <c r="B1377" s="138">
        <f>'Expenditures 15-22'!K182</f>
        <v>295187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295187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295187</v>
      </c>
      <c r="C1388" s="2" t="s">
        <v>573</v>
      </c>
      <c r="D1388" s="2" t="str">
        <f t="shared" si="20"/>
        <v>Error?</v>
      </c>
    </row>
    <row r="1389" spans="1:4" x14ac:dyDescent="0.2">
      <c r="A1389" s="5">
        <v>1328</v>
      </c>
      <c r="B1389" s="138">
        <f>'Expenditures 15-22'!K211</f>
        <v>185431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1324</v>
      </c>
      <c r="D1407" s="2" t="str">
        <f t="shared" ref="D1407:D1470" si="21">IF(ISBLANK(B1407),"OK",IF(A1407-B1407=0,"OK","Error?"))</f>
        <v>Error?</v>
      </c>
    </row>
    <row r="1408" spans="1:4" x14ac:dyDescent="0.2">
      <c r="A1408" s="5">
        <v>1347</v>
      </c>
      <c r="B1408" s="138">
        <f>'Expenditures 15-22'!D223</f>
        <v>815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30560</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569</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508</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1077</v>
      </c>
      <c r="C1417" s="2" t="s">
        <v>573</v>
      </c>
      <c r="D1417" s="2" t="str">
        <f t="shared" si="21"/>
        <v>Error?</v>
      </c>
    </row>
    <row r="1418" spans="1:4" x14ac:dyDescent="0.2">
      <c r="A1418" s="5">
        <v>1357</v>
      </c>
      <c r="B1418" s="138">
        <f>'Expenditures 15-22'!D240</f>
        <v>730</v>
      </c>
      <c r="D1418" s="2" t="str">
        <f t="shared" si="21"/>
        <v>Error?</v>
      </c>
    </row>
    <row r="1419" spans="1:4" x14ac:dyDescent="0.2">
      <c r="A1419" s="5">
        <v>1358</v>
      </c>
      <c r="B1419" s="138">
        <f>'Expenditures 15-22'!D241</f>
        <v>445</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1175</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3898</v>
      </c>
      <c r="D1423" s="2" t="str">
        <f t="shared" si="21"/>
        <v>Error?</v>
      </c>
    </row>
    <row r="1424" spans="1:4" x14ac:dyDescent="0.2">
      <c r="A1424" s="5">
        <v>1363</v>
      </c>
      <c r="B1424" s="138">
        <f>'Expenditures 15-22'!D257</f>
        <v>9593</v>
      </c>
      <c r="C1424" s="2" t="s">
        <v>573</v>
      </c>
      <c r="D1424" s="2" t="str">
        <f t="shared" si="21"/>
        <v>Error?</v>
      </c>
    </row>
    <row r="1425" spans="1:4" x14ac:dyDescent="0.2">
      <c r="A1425" s="5">
        <v>1364</v>
      </c>
      <c r="B1425" s="138">
        <f>'Expenditures 15-22'!D259</f>
        <v>17923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17923</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3038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21179</v>
      </c>
      <c r="D1431" s="2" t="str">
        <f t="shared" si="21"/>
        <v>Error?</v>
      </c>
    </row>
    <row r="1432" spans="1:4" x14ac:dyDescent="0.2">
      <c r="A1432" s="5">
        <v>1371</v>
      </c>
      <c r="B1432" s="138">
        <f>'Expenditures 15-22'!D267</f>
        <v>23531</v>
      </c>
      <c r="D1432" s="2" t="str">
        <f t="shared" si="21"/>
        <v>Error?</v>
      </c>
    </row>
    <row r="1433" spans="1:4" x14ac:dyDescent="0.2">
      <c r="A1433" s="5">
        <v>1372</v>
      </c>
      <c r="B1433" s="138">
        <f>'Expenditures 15-22'!D268</f>
        <v>14840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62588</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92356</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122916</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1324</v>
      </c>
      <c r="C1471" s="2" t="s">
        <v>573</v>
      </c>
      <c r="D1471" s="2" t="str">
        <f t="shared" ref="D1471:D1534" si="22">IF(ISBLANK(B1471),"OK",IF(A1471-B1471=0,"OK","Error?"))</f>
        <v>Error?</v>
      </c>
    </row>
    <row r="1472" spans="1:4" x14ac:dyDescent="0.2">
      <c r="A1472" s="5">
        <v>1411</v>
      </c>
      <c r="B1472" s="138">
        <f>'Expenditures 15-22'!K223</f>
        <v>815</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30560</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569</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508</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1077</v>
      </c>
      <c r="C1481" s="2" t="s">
        <v>573</v>
      </c>
      <c r="D1481" s="2" t="str">
        <f t="shared" si="22"/>
        <v>Error?</v>
      </c>
    </row>
    <row r="1482" spans="1:4" x14ac:dyDescent="0.2">
      <c r="A1482" s="5">
        <v>1421</v>
      </c>
      <c r="B1482" s="138">
        <f>'Expenditures 15-22'!K240</f>
        <v>730</v>
      </c>
      <c r="C1482" s="2" t="s">
        <v>573</v>
      </c>
      <c r="D1482" s="2" t="str">
        <f t="shared" si="22"/>
        <v>Error?</v>
      </c>
    </row>
    <row r="1483" spans="1:4" x14ac:dyDescent="0.2">
      <c r="A1483" s="5">
        <v>1422</v>
      </c>
      <c r="B1483" s="138">
        <f>'Expenditures 15-22'!K241</f>
        <v>445</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1175</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3898</v>
      </c>
      <c r="C1487" s="2" t="s">
        <v>573</v>
      </c>
      <c r="D1487" s="2" t="str">
        <f t="shared" si="22"/>
        <v>Error?</v>
      </c>
    </row>
    <row r="1488" spans="1:4" x14ac:dyDescent="0.2">
      <c r="A1488" s="5">
        <v>1427</v>
      </c>
      <c r="B1488" s="138">
        <f>'Expenditures 15-22'!K257</f>
        <v>9593</v>
      </c>
      <c r="C1488" s="2" t="s">
        <v>573</v>
      </c>
      <c r="D1488" s="2" t="str">
        <f t="shared" si="22"/>
        <v>Error?</v>
      </c>
    </row>
    <row r="1489" spans="1:4" x14ac:dyDescent="0.2">
      <c r="A1489" s="5">
        <v>1428</v>
      </c>
      <c r="B1489" s="138">
        <f>'Expenditures 15-22'!K259</f>
        <v>17923</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17923</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3038</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21179</v>
      </c>
      <c r="C1495" s="2" t="s">
        <v>573</v>
      </c>
      <c r="D1495" s="2" t="str">
        <f t="shared" si="22"/>
        <v>Error?</v>
      </c>
    </row>
    <row r="1496" spans="1:4" x14ac:dyDescent="0.2">
      <c r="A1496" s="5">
        <v>1435</v>
      </c>
      <c r="B1496" s="138">
        <f>'Expenditures 15-22'!K267</f>
        <v>23531</v>
      </c>
      <c r="C1496" s="2" t="s">
        <v>573</v>
      </c>
      <c r="D1496" s="2" t="str">
        <f t="shared" si="22"/>
        <v>Error?</v>
      </c>
    </row>
    <row r="1497" spans="1:4" x14ac:dyDescent="0.2">
      <c r="A1497" s="5">
        <v>1436</v>
      </c>
      <c r="B1497" s="138">
        <f>'Expenditures 15-22'!K268</f>
        <v>14840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62588</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92356</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122916</v>
      </c>
      <c r="C1517" s="2" t="s">
        <v>573</v>
      </c>
      <c r="D1517" s="2" t="str">
        <f t="shared" si="22"/>
        <v>Error?</v>
      </c>
    </row>
    <row r="1518" spans="1:4" x14ac:dyDescent="0.2">
      <c r="A1518" s="5">
        <v>1457</v>
      </c>
      <c r="B1518" s="138">
        <f>'Expenditures 15-22'!K296</f>
        <v>13078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88719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88719</v>
      </c>
      <c r="C1535" s="2" t="s">
        <v>573</v>
      </c>
      <c r="D1535" s="2" t="str">
        <f t="shared" ref="D1535:D1598" si="23">IF(ISBLANK(B1535),"OK",IF(A1535-B1535=0,"OK","Error?"))</f>
        <v>Error?</v>
      </c>
    </row>
    <row r="1536" spans="1:4" x14ac:dyDescent="0.2">
      <c r="A1536" s="5">
        <v>1475</v>
      </c>
      <c r="B1536" s="138">
        <f>'Expenditures 15-22'!E312</f>
        <v>88719</v>
      </c>
      <c r="C1536" s="2" t="s">
        <v>573</v>
      </c>
      <c r="D1536" s="2" t="str">
        <f t="shared" si="23"/>
        <v>Error?</v>
      </c>
    </row>
    <row r="1537" spans="1:4" x14ac:dyDescent="0.2">
      <c r="A1537" s="5">
        <v>1476</v>
      </c>
      <c r="B1537" s="138">
        <f>'Expenditures 15-22'!F301</f>
        <v>21693</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21693</v>
      </c>
      <c r="C1541" s="2" t="s">
        <v>573</v>
      </c>
      <c r="D1541" s="2" t="str">
        <f t="shared" si="23"/>
        <v>Error?</v>
      </c>
    </row>
    <row r="1542" spans="1:4" x14ac:dyDescent="0.2">
      <c r="A1542" s="5">
        <v>1481</v>
      </c>
      <c r="B1542" s="138">
        <f>'Expenditures 15-22'!F312</f>
        <v>21693</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110412</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110412</v>
      </c>
      <c r="C1559" s="2" t="s">
        <v>573</v>
      </c>
      <c r="D1559" s="2" t="str">
        <f t="shared" si="23"/>
        <v>Error?</v>
      </c>
    </row>
    <row r="1560" spans="1:4" x14ac:dyDescent="0.2">
      <c r="A1560" s="5">
        <v>1499</v>
      </c>
      <c r="B1560" s="138">
        <f>'Expenditures 15-22'!K312</f>
        <v>110412</v>
      </c>
      <c r="C1560" s="2" t="s">
        <v>573</v>
      </c>
      <c r="D1560" s="2" t="str">
        <f t="shared" si="23"/>
        <v>Error?</v>
      </c>
    </row>
    <row r="1561" spans="1:4" x14ac:dyDescent="0.2">
      <c r="A1561" s="5">
        <v>1500</v>
      </c>
      <c r="B1561" s="138">
        <f>'Expenditures 15-22'!K313</f>
        <v>4197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1704794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1911416</v>
      </c>
      <c r="C1630" s="2" t="s">
        <v>573</v>
      </c>
      <c r="D1630" s="2" t="str">
        <f t="shared" si="24"/>
        <v>Error?</v>
      </c>
    </row>
    <row r="1631" spans="1:4" x14ac:dyDescent="0.2">
      <c r="A1631" s="5">
        <v>1570</v>
      </c>
      <c r="B1631" s="138">
        <f>'Acct Summary 7-8'!D79</f>
        <v>31434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177064</v>
      </c>
      <c r="C1644" s="2" t="s">
        <v>573</v>
      </c>
      <c r="D1644" s="2" t="str">
        <f t="shared" si="24"/>
        <v>Error?</v>
      </c>
    </row>
    <row r="1645" spans="1:4" x14ac:dyDescent="0.2">
      <c r="A1645" s="5">
        <v>1584</v>
      </c>
      <c r="B1645" s="138">
        <f>'Acct Summary 7-8'!E79</f>
        <v>14324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14070</v>
      </c>
      <c r="C1658" s="2" t="s">
        <v>573</v>
      </c>
      <c r="D1658" s="2" t="str">
        <f t="shared" si="24"/>
        <v>Error?</v>
      </c>
    </row>
    <row r="1659" spans="1:4" x14ac:dyDescent="0.2">
      <c r="A1659" s="5">
        <v>1598</v>
      </c>
      <c r="B1659" s="138">
        <f>'Acct Summary 7-8'!F79</f>
        <v>147326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332757</v>
      </c>
      <c r="C1672" s="2" t="s">
        <v>573</v>
      </c>
      <c r="D1672" s="2" t="str">
        <f t="shared" si="25"/>
        <v>Error?</v>
      </c>
    </row>
    <row r="1673" spans="1:4" x14ac:dyDescent="0.2">
      <c r="A1673" s="5">
        <v>1612</v>
      </c>
      <c r="B1673" s="138">
        <f>'Acct Summary 7-8'!G79</f>
        <v>217305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230383</v>
      </c>
      <c r="C1686" s="2" t="s">
        <v>573</v>
      </c>
      <c r="D1686" s="2" t="str">
        <f t="shared" si="25"/>
        <v>Error?</v>
      </c>
    </row>
    <row r="1687" spans="1:4" x14ac:dyDescent="0.2">
      <c r="A1687" s="5">
        <v>1626</v>
      </c>
      <c r="B1687" s="138">
        <f>'Acct Summary 7-8'!H79</f>
        <v>179429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183627</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494417</v>
      </c>
      <c r="C1744" s="2" t="s">
        <v>573</v>
      </c>
      <c r="D1744" s="2" t="str">
        <f t="shared" si="26"/>
        <v>Error?</v>
      </c>
    </row>
    <row r="1745" spans="1:5" x14ac:dyDescent="0.2">
      <c r="A1745" s="5">
        <v>1684</v>
      </c>
      <c r="B1745" s="138">
        <f>'Tax Sched 23'!B5</f>
        <v>117718</v>
      </c>
      <c r="C1745" s="2" t="s">
        <v>573</v>
      </c>
      <c r="D1745" s="2" t="str">
        <f t="shared" si="26"/>
        <v>Error?</v>
      </c>
    </row>
    <row r="1746" spans="1:5" x14ac:dyDescent="0.2">
      <c r="A1746" s="5">
        <v>1685</v>
      </c>
      <c r="B1746" s="138">
        <f>'Tax Sched 23'!B6</f>
        <v>43684</v>
      </c>
      <c r="C1746" s="2" t="s">
        <v>573</v>
      </c>
      <c r="D1746" s="2" t="str">
        <f t="shared" si="26"/>
        <v>Error?</v>
      </c>
    </row>
    <row r="1747" spans="1:5" x14ac:dyDescent="0.2">
      <c r="A1747" s="5">
        <v>1686</v>
      </c>
      <c r="B1747" s="138">
        <f>'Tax Sched 23'!B7</f>
        <v>56504</v>
      </c>
      <c r="C1747" s="2" t="s">
        <v>573</v>
      </c>
      <c r="D1747" s="2" t="str">
        <f t="shared" si="26"/>
        <v>Error?</v>
      </c>
    </row>
    <row r="1748" spans="1:5" x14ac:dyDescent="0.2">
      <c r="A1748" s="5">
        <v>1687</v>
      </c>
      <c r="B1748" s="138">
        <f>'Tax Sched 23'!B8</f>
        <v>70247</v>
      </c>
      <c r="C1748" s="2" t="s">
        <v>573</v>
      </c>
      <c r="D1748" s="2" t="str">
        <f t="shared" si="26"/>
        <v>Error?</v>
      </c>
    </row>
    <row r="1749" spans="1:5" x14ac:dyDescent="0.2">
      <c r="A1749" s="5">
        <v>1688</v>
      </c>
      <c r="B1749" s="138">
        <f>'Tax Sched 23'!B10</f>
        <v>11771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174553</v>
      </c>
      <c r="C1752" s="2" t="s">
        <v>573</v>
      </c>
      <c r="D1752" s="2" t="str">
        <f t="shared" si="26"/>
        <v>Error?</v>
      </c>
    </row>
    <row r="1753" spans="1:5" x14ac:dyDescent="0.2">
      <c r="A1753" s="5">
        <v>1692</v>
      </c>
      <c r="B1753" s="138">
        <f>'Tax Sched 23'!B12</f>
        <v>23544</v>
      </c>
      <c r="C1753" s="2" t="s">
        <v>573</v>
      </c>
      <c r="D1753" s="2" t="str">
        <f t="shared" si="26"/>
        <v>Error?</v>
      </c>
    </row>
    <row r="1754" spans="1:5" x14ac:dyDescent="0.2">
      <c r="A1754" s="5">
        <v>1693</v>
      </c>
      <c r="B1754" s="138">
        <f>'Tax Sched 23'!B14</f>
        <v>9417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1072286</v>
      </c>
      <c r="C1759" s="2" t="s">
        <v>573</v>
      </c>
      <c r="D1759" s="2" t="str">
        <f t="shared" si="26"/>
        <v>Error?</v>
      </c>
    </row>
    <row r="1760" spans="1:5" x14ac:dyDescent="0.2">
      <c r="A1760" s="5">
        <v>1699</v>
      </c>
      <c r="B1760" s="138">
        <f>'Tax Sched 23'!D4</f>
        <v>494417</v>
      </c>
      <c r="C1760" s="2" t="s">
        <v>573</v>
      </c>
      <c r="D1760" s="2" t="str">
        <f t="shared" si="26"/>
        <v>Error?</v>
      </c>
    </row>
    <row r="1761" spans="1:5" x14ac:dyDescent="0.2">
      <c r="A1761" s="5">
        <v>1700</v>
      </c>
      <c r="B1761" s="138">
        <f>'Tax Sched 23'!D5</f>
        <v>117718</v>
      </c>
      <c r="C1761" s="2" t="s">
        <v>573</v>
      </c>
      <c r="D1761" s="2" t="str">
        <f t="shared" si="26"/>
        <v>Error?</v>
      </c>
    </row>
    <row r="1762" spans="1:5" s="8" customFormat="1" x14ac:dyDescent="0.2">
      <c r="A1762" s="5">
        <v>1701</v>
      </c>
      <c r="B1762" s="138">
        <f>'Tax Sched 23'!D6</f>
        <v>43684</v>
      </c>
      <c r="C1762" s="2" t="s">
        <v>573</v>
      </c>
      <c r="D1762" s="2" t="str">
        <f t="shared" si="26"/>
        <v>Error?</v>
      </c>
      <c r="E1762" s="9"/>
    </row>
    <row r="1763" spans="1:5" x14ac:dyDescent="0.2">
      <c r="A1763" s="5">
        <v>1702</v>
      </c>
      <c r="B1763" s="138">
        <f>'Tax Sched 23'!D7</f>
        <v>56504</v>
      </c>
      <c r="C1763" s="2" t="s">
        <v>573</v>
      </c>
      <c r="D1763" s="2" t="str">
        <f t="shared" si="26"/>
        <v>Error?</v>
      </c>
    </row>
    <row r="1764" spans="1:5" x14ac:dyDescent="0.2">
      <c r="A1764" s="5">
        <v>1703</v>
      </c>
      <c r="B1764" s="138">
        <f>'Tax Sched 23'!D8</f>
        <v>70247</v>
      </c>
      <c r="C1764" s="2" t="s">
        <v>573</v>
      </c>
      <c r="D1764" s="2" t="str">
        <f t="shared" si="26"/>
        <v>Error?</v>
      </c>
    </row>
    <row r="1765" spans="1:5" x14ac:dyDescent="0.2">
      <c r="A1765" s="5">
        <v>1704</v>
      </c>
      <c r="B1765" s="138">
        <f>'Tax Sched 23'!D10</f>
        <v>11771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174553</v>
      </c>
      <c r="C1768" s="2" t="s">
        <v>573</v>
      </c>
      <c r="D1768" s="2" t="str">
        <f t="shared" si="26"/>
        <v>Error?</v>
      </c>
    </row>
    <row r="1769" spans="1:5" x14ac:dyDescent="0.2">
      <c r="A1769" s="5">
        <v>1708</v>
      </c>
      <c r="B1769" s="138">
        <f>'Tax Sched 23'!D12</f>
        <v>23544</v>
      </c>
      <c r="C1769" s="2" t="s">
        <v>573</v>
      </c>
      <c r="D1769" s="2" t="str">
        <f t="shared" si="26"/>
        <v>Error?</v>
      </c>
    </row>
    <row r="1770" spans="1:5" x14ac:dyDescent="0.2">
      <c r="A1770" s="5">
        <v>1709</v>
      </c>
      <c r="B1770" s="138">
        <f>'Tax Sched 23'!D14</f>
        <v>9417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1072286</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533308</v>
      </c>
      <c r="C1792" s="2" t="s">
        <v>573</v>
      </c>
      <c r="D1792" s="2" t="str">
        <f t="shared" si="27"/>
        <v>Error?</v>
      </c>
    </row>
    <row r="1793" spans="1:4" x14ac:dyDescent="0.2">
      <c r="A1793" s="5">
        <v>1732</v>
      </c>
      <c r="B1793" s="138">
        <f>'Tax Sched 23'!F5</f>
        <v>126978</v>
      </c>
      <c r="C1793" s="2" t="s">
        <v>573</v>
      </c>
      <c r="D1793" s="2" t="str">
        <f t="shared" si="27"/>
        <v>Error?</v>
      </c>
    </row>
    <row r="1794" spans="1:4" x14ac:dyDescent="0.2">
      <c r="A1794" s="5">
        <v>1733</v>
      </c>
      <c r="B1794" s="138">
        <f>'Tax Sched 23'!F6</f>
        <v>42032</v>
      </c>
      <c r="C1794" s="2" t="s">
        <v>573</v>
      </c>
      <c r="D1794" s="2" t="str">
        <f t="shared" si="27"/>
        <v>Error?</v>
      </c>
    </row>
    <row r="1795" spans="1:4" x14ac:dyDescent="0.2">
      <c r="A1795" s="5">
        <v>1734</v>
      </c>
      <c r="B1795" s="138">
        <f>'Tax Sched 23'!F7</f>
        <v>60950</v>
      </c>
      <c r="C1795" s="2" t="s">
        <v>573</v>
      </c>
      <c r="D1795" s="2" t="str">
        <f t="shared" si="27"/>
        <v>Error?</v>
      </c>
    </row>
    <row r="1796" spans="1:4" x14ac:dyDescent="0.2">
      <c r="A1796" s="5">
        <v>1735</v>
      </c>
      <c r="B1796" s="138">
        <f>'Tax Sched 23'!F8</f>
        <v>60584</v>
      </c>
      <c r="C1796" s="2" t="s">
        <v>573</v>
      </c>
      <c r="D1796" s="2" t="str">
        <f t="shared" si="27"/>
        <v>Error?</v>
      </c>
    </row>
    <row r="1797" spans="1:4" x14ac:dyDescent="0.2">
      <c r="A1797" s="5">
        <v>1736</v>
      </c>
      <c r="B1797" s="138">
        <f>'Tax Sched 23'!F10</f>
        <v>12698</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186800</v>
      </c>
      <c r="C1800" s="2" t="s">
        <v>573</v>
      </c>
      <c r="D1800" s="2" t="str">
        <f t="shared" si="27"/>
        <v>Error?</v>
      </c>
    </row>
    <row r="1801" spans="1:4" x14ac:dyDescent="0.2">
      <c r="A1801" s="5">
        <v>1740</v>
      </c>
      <c r="B1801" s="138">
        <f>'Tax Sched 23'!F12</f>
        <v>25396</v>
      </c>
      <c r="C1801" s="2" t="s">
        <v>573</v>
      </c>
      <c r="D1801" s="2" t="str">
        <f t="shared" si="27"/>
        <v>Error?</v>
      </c>
    </row>
    <row r="1802" spans="1:4" x14ac:dyDescent="0.2">
      <c r="A1802" s="5">
        <v>1741</v>
      </c>
      <c r="B1802" s="138">
        <f>'Tax Sched 23'!F14</f>
        <v>10158</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1137235</v>
      </c>
      <c r="C1807" s="2" t="s">
        <v>573</v>
      </c>
      <c r="D1807" s="2" t="str">
        <f t="shared" si="27"/>
        <v>Error?</v>
      </c>
    </row>
    <row r="1808" spans="1:4" x14ac:dyDescent="0.2">
      <c r="A1808" s="5">
        <v>1747</v>
      </c>
      <c r="B1808" s="138">
        <f>'Tax Sched 23'!E4</f>
        <v>533308</v>
      </c>
      <c r="D1808" s="2" t="str">
        <f t="shared" si="27"/>
        <v>Error?</v>
      </c>
    </row>
    <row r="1809" spans="1:4" x14ac:dyDescent="0.2">
      <c r="A1809" s="5">
        <v>1748</v>
      </c>
      <c r="B1809" s="138">
        <f>'Tax Sched 23'!E5</f>
        <v>126978</v>
      </c>
      <c r="D1809" s="2" t="str">
        <f t="shared" si="27"/>
        <v>Error?</v>
      </c>
    </row>
    <row r="1810" spans="1:4" x14ac:dyDescent="0.2">
      <c r="A1810" s="5">
        <v>1749</v>
      </c>
      <c r="B1810" s="138">
        <f>'Tax Sched 23'!E6</f>
        <v>42032</v>
      </c>
      <c r="D1810" s="2" t="str">
        <f t="shared" si="27"/>
        <v>Error?</v>
      </c>
    </row>
    <row r="1811" spans="1:4" x14ac:dyDescent="0.2">
      <c r="A1811" s="5">
        <v>1750</v>
      </c>
      <c r="B1811" s="138">
        <f>'Tax Sched 23'!E7</f>
        <v>60950</v>
      </c>
      <c r="D1811" s="2" t="str">
        <f t="shared" si="27"/>
        <v>Error?</v>
      </c>
    </row>
    <row r="1812" spans="1:4" x14ac:dyDescent="0.2">
      <c r="A1812" s="5">
        <v>1751</v>
      </c>
      <c r="B1812" s="138">
        <f>'Tax Sched 23'!E8</f>
        <v>60584</v>
      </c>
      <c r="D1812" s="2" t="str">
        <f t="shared" si="27"/>
        <v>Error?</v>
      </c>
    </row>
    <row r="1813" spans="1:4" x14ac:dyDescent="0.2">
      <c r="A1813" s="5">
        <v>1752</v>
      </c>
      <c r="B1813" s="138">
        <f>'Tax Sched 23'!E10</f>
        <v>12698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186800</v>
      </c>
      <c r="D1816" s="2" t="str">
        <f t="shared" si="27"/>
        <v>Error?</v>
      </c>
    </row>
    <row r="1817" spans="1:4" x14ac:dyDescent="0.2">
      <c r="A1817" s="5">
        <v>1756</v>
      </c>
      <c r="B1817" s="138">
        <f>'Tax Sched 23'!E12</f>
        <v>25396</v>
      </c>
      <c r="D1817" s="2" t="str">
        <f t="shared" si="27"/>
        <v>Error?</v>
      </c>
    </row>
    <row r="1818" spans="1:4" x14ac:dyDescent="0.2">
      <c r="A1818" s="5">
        <v>1757</v>
      </c>
      <c r="B1818" s="138">
        <f>'Tax Sched 23'!E14</f>
        <v>10158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1137235</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201601</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9417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9417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9417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42712</v>
      </c>
      <c r="D2008" s="2" t="str">
        <f t="shared" si="30"/>
        <v>Error?</v>
      </c>
    </row>
    <row r="2009" spans="1:4" x14ac:dyDescent="0.2">
      <c r="A2009" s="5">
        <v>1948</v>
      </c>
      <c r="B2009" s="138">
        <f>'Cap Outlay Deprec 26'!C8</f>
        <v>5117347</v>
      </c>
      <c r="D2009" s="2" t="str">
        <f t="shared" si="30"/>
        <v>Error?</v>
      </c>
    </row>
    <row r="2010" spans="1:4" x14ac:dyDescent="0.2">
      <c r="A2010" s="5">
        <v>1949</v>
      </c>
      <c r="B2010" s="138">
        <f>'Cap Outlay Deprec 26'!C10</f>
        <v>271067</v>
      </c>
      <c r="D2010" s="2" t="str">
        <f t="shared" si="30"/>
        <v>Error?</v>
      </c>
    </row>
    <row r="2011" spans="1:4" x14ac:dyDescent="0.2">
      <c r="A2011" s="5">
        <v>1950</v>
      </c>
      <c r="B2011" s="138">
        <f>'Cap Outlay Deprec 26'!C12</f>
        <v>817416</v>
      </c>
      <c r="D2011" s="2" t="str">
        <f t="shared" si="30"/>
        <v>Error?</v>
      </c>
    </row>
    <row r="2012" spans="1:4" x14ac:dyDescent="0.2">
      <c r="A2012" s="5">
        <v>1951</v>
      </c>
      <c r="B2012" s="138">
        <f>'Cap Outlay Deprec 26'!C13</f>
        <v>850673</v>
      </c>
      <c r="D2012" s="2" t="str">
        <f t="shared" si="30"/>
        <v>Error?</v>
      </c>
    </row>
    <row r="2013" spans="1:4" x14ac:dyDescent="0.2">
      <c r="A2013" s="5">
        <v>1952</v>
      </c>
      <c r="B2013" s="138">
        <f>'Cap Outlay Deprec 26'!C16</f>
        <v>7099215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759</v>
      </c>
      <c r="D2017" s="2" t="str">
        <f t="shared" si="30"/>
        <v>Error?</v>
      </c>
    </row>
    <row r="2018" spans="1:4" x14ac:dyDescent="0.2">
      <c r="A2018" s="5">
        <v>1957</v>
      </c>
      <c r="B2018" s="138">
        <f>'Cap Outlay Deprec 26'!D13</f>
        <v>84185</v>
      </c>
      <c r="D2018" s="2" t="str">
        <f t="shared" si="30"/>
        <v>Error?</v>
      </c>
    </row>
    <row r="2019" spans="1:4" x14ac:dyDescent="0.2">
      <c r="A2019" s="5">
        <v>1958</v>
      </c>
      <c r="B2019" s="138">
        <f>'Cap Outlay Deprec 26'!D16</f>
        <v>84944</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248589</v>
      </c>
      <c r="D2024" s="2" t="str">
        <f t="shared" si="30"/>
        <v>Error?</v>
      </c>
    </row>
    <row r="2025" spans="1:4" x14ac:dyDescent="0.2">
      <c r="A2025" s="5">
        <v>1964</v>
      </c>
      <c r="B2025" s="138">
        <f>'Cap Outlay Deprec 26'!E16</f>
        <v>248589</v>
      </c>
      <c r="C2025" s="2" t="s">
        <v>573</v>
      </c>
      <c r="D2025" s="2" t="str">
        <f t="shared" si="30"/>
        <v>Error?</v>
      </c>
    </row>
    <row r="2026" spans="1:4" x14ac:dyDescent="0.2">
      <c r="A2026" s="5">
        <v>1965</v>
      </c>
      <c r="B2026" s="138">
        <f>'Cap Outlay Deprec 26'!F5</f>
        <v>42712</v>
      </c>
      <c r="C2026" s="2" t="s">
        <v>573</v>
      </c>
      <c r="D2026" s="2" t="str">
        <f t="shared" si="30"/>
        <v>Error?</v>
      </c>
    </row>
    <row r="2027" spans="1:4" x14ac:dyDescent="0.2">
      <c r="A2027" s="5">
        <v>1966</v>
      </c>
      <c r="B2027" s="138">
        <f>'Cap Outlay Deprec 26'!F8</f>
        <v>5117347</v>
      </c>
      <c r="C2027" s="2" t="s">
        <v>573</v>
      </c>
      <c r="D2027" s="2" t="str">
        <f t="shared" si="30"/>
        <v>Error?</v>
      </c>
    </row>
    <row r="2028" spans="1:4" x14ac:dyDescent="0.2">
      <c r="A2028" s="5">
        <v>1967</v>
      </c>
      <c r="B2028" s="138">
        <f>'Cap Outlay Deprec 26'!F10</f>
        <v>271067</v>
      </c>
      <c r="C2028" s="2" t="s">
        <v>573</v>
      </c>
      <c r="D2028" s="2" t="str">
        <f t="shared" si="30"/>
        <v>Error?</v>
      </c>
    </row>
    <row r="2029" spans="1:4" x14ac:dyDescent="0.2">
      <c r="A2029" s="5">
        <v>1968</v>
      </c>
      <c r="B2029" s="138">
        <f>'Cap Outlay Deprec 26'!F12</f>
        <v>818175</v>
      </c>
      <c r="C2029" s="2" t="s">
        <v>573</v>
      </c>
      <c r="D2029" s="2" t="str">
        <f t="shared" si="30"/>
        <v>Error?</v>
      </c>
    </row>
    <row r="2030" spans="1:4" x14ac:dyDescent="0.2">
      <c r="A2030" s="5">
        <v>1969</v>
      </c>
      <c r="B2030" s="138">
        <f>'Cap Outlay Deprec 26'!F13</f>
        <v>686269</v>
      </c>
      <c r="C2030" s="2" t="s">
        <v>573</v>
      </c>
      <c r="D2030" s="2" t="str">
        <f t="shared" si="30"/>
        <v>Error?</v>
      </c>
    </row>
    <row r="2031" spans="1:4" x14ac:dyDescent="0.2">
      <c r="A2031" s="5">
        <v>1970</v>
      </c>
      <c r="B2031" s="138">
        <f>'Cap Outlay Deprec 26'!F16</f>
        <v>6935570</v>
      </c>
      <c r="C2031" s="2" t="s">
        <v>573</v>
      </c>
      <c r="D2031" s="2" t="str">
        <f t="shared" si="30"/>
        <v>Error?</v>
      </c>
    </row>
    <row r="2032" spans="1:4" x14ac:dyDescent="0.2">
      <c r="A2032" s="10">
        <v>1971</v>
      </c>
      <c r="D2032" s="2" t="str">
        <f t="shared" si="30"/>
        <v>OK</v>
      </c>
    </row>
    <row r="2033" spans="1:4" x14ac:dyDescent="0.2">
      <c r="A2033" s="5">
        <v>1972</v>
      </c>
      <c r="B2033" s="138">
        <f>'Cap Outlay Deprec 26'!H8</f>
        <v>1872743</v>
      </c>
      <c r="D2033" s="2" t="str">
        <f t="shared" si="30"/>
        <v>Error?</v>
      </c>
    </row>
    <row r="2034" spans="1:4" x14ac:dyDescent="0.2">
      <c r="A2034" s="5">
        <v>1973</v>
      </c>
      <c r="B2034" s="138">
        <f>'Cap Outlay Deprec 26'!H10</f>
        <v>152068</v>
      </c>
      <c r="D2034" s="2" t="str">
        <f t="shared" si="30"/>
        <v>Error?</v>
      </c>
    </row>
    <row r="2035" spans="1:4" x14ac:dyDescent="0.2">
      <c r="A2035" s="5">
        <v>1974</v>
      </c>
      <c r="B2035" s="138">
        <f>'Cap Outlay Deprec 26'!H12</f>
        <v>713630</v>
      </c>
      <c r="D2035" s="2" t="str">
        <f t="shared" si="30"/>
        <v>Error?</v>
      </c>
    </row>
    <row r="2036" spans="1:4" x14ac:dyDescent="0.2">
      <c r="A2036" s="5">
        <v>1975</v>
      </c>
      <c r="B2036" s="138">
        <f>'Cap Outlay Deprec 26'!H13</f>
        <v>831071</v>
      </c>
      <c r="D2036" s="2" t="str">
        <f t="shared" si="30"/>
        <v>Error?</v>
      </c>
    </row>
    <row r="2037" spans="1:4" x14ac:dyDescent="0.2">
      <c r="A2037" s="5">
        <v>1976</v>
      </c>
      <c r="B2037" s="138">
        <f>'Cap Outlay Deprec 26'!H16</f>
        <v>3569512</v>
      </c>
      <c r="C2037" s="2" t="s">
        <v>573</v>
      </c>
      <c r="D2037" s="2" t="str">
        <f t="shared" si="30"/>
        <v>Error?</v>
      </c>
    </row>
    <row r="2038" spans="1:4" x14ac:dyDescent="0.2">
      <c r="A2038" s="10">
        <v>1977</v>
      </c>
      <c r="D2038" s="2" t="str">
        <f t="shared" si="30"/>
        <v>OK</v>
      </c>
    </row>
    <row r="2039" spans="1:4" x14ac:dyDescent="0.2">
      <c r="A2039" s="5">
        <v>1978</v>
      </c>
      <c r="B2039" s="138">
        <f>'Cap Outlay Deprec 26'!I8</f>
        <v>91243</v>
      </c>
      <c r="D2039" s="2" t="str">
        <f t="shared" si="30"/>
        <v>Error?</v>
      </c>
    </row>
    <row r="2040" spans="1:4" x14ac:dyDescent="0.2">
      <c r="A2040" s="5">
        <v>1979</v>
      </c>
      <c r="B2040" s="138">
        <f>'Cap Outlay Deprec 26'!I10</f>
        <v>13278</v>
      </c>
      <c r="D2040" s="2" t="str">
        <f t="shared" si="30"/>
        <v>Error?</v>
      </c>
    </row>
    <row r="2041" spans="1:4" x14ac:dyDescent="0.2">
      <c r="A2041" s="5">
        <v>1980</v>
      </c>
      <c r="B2041" s="138">
        <f>'Cap Outlay Deprec 26'!I12</f>
        <v>20068</v>
      </c>
      <c r="D2041" s="2" t="str">
        <f t="shared" si="30"/>
        <v>Error?</v>
      </c>
    </row>
    <row r="2042" spans="1:4" x14ac:dyDescent="0.2">
      <c r="A2042" s="5">
        <v>1981</v>
      </c>
      <c r="B2042" s="138">
        <f>'Cap Outlay Deprec 26'!I13</f>
        <v>18856</v>
      </c>
      <c r="D2042" s="2" t="str">
        <f t="shared" si="30"/>
        <v>Error?</v>
      </c>
    </row>
    <row r="2043" spans="1:4" x14ac:dyDescent="0.2">
      <c r="A2043" s="5">
        <v>1982</v>
      </c>
      <c r="B2043" s="138">
        <f>'Cap Outlay Deprec 26'!I16</f>
        <v>143445</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249049</v>
      </c>
      <c r="D2048" s="2" t="str">
        <f t="shared" si="31"/>
        <v>Error?</v>
      </c>
    </row>
    <row r="2049" spans="1:4" x14ac:dyDescent="0.2">
      <c r="A2049" s="5">
        <v>1988</v>
      </c>
      <c r="B2049" s="138">
        <f>'Cap Outlay Deprec 26'!J16</f>
        <v>249049</v>
      </c>
      <c r="C2049" s="2" t="s">
        <v>573</v>
      </c>
      <c r="D2049" s="2" t="str">
        <f t="shared" si="31"/>
        <v>Error?</v>
      </c>
    </row>
    <row r="2050" spans="1:4" x14ac:dyDescent="0.2">
      <c r="A2050" s="10">
        <v>1989</v>
      </c>
      <c r="D2050" s="2" t="str">
        <f t="shared" si="31"/>
        <v>OK</v>
      </c>
    </row>
    <row r="2051" spans="1:4" x14ac:dyDescent="0.2">
      <c r="A2051" s="5">
        <v>1990</v>
      </c>
      <c r="B2051" s="138">
        <f>'Cap Outlay Deprec 26'!K8</f>
        <v>1963986</v>
      </c>
      <c r="C2051" s="2" t="s">
        <v>573</v>
      </c>
      <c r="D2051" s="2" t="str">
        <f t="shared" si="31"/>
        <v>Error?</v>
      </c>
    </row>
    <row r="2052" spans="1:4" x14ac:dyDescent="0.2">
      <c r="A2052" s="5">
        <v>1991</v>
      </c>
      <c r="B2052" s="138">
        <f>'Cap Outlay Deprec 26'!K10</f>
        <v>165346</v>
      </c>
      <c r="C2052" s="2" t="s">
        <v>573</v>
      </c>
      <c r="D2052" s="2" t="str">
        <f t="shared" si="31"/>
        <v>Error?</v>
      </c>
    </row>
    <row r="2053" spans="1:4" x14ac:dyDescent="0.2">
      <c r="A2053" s="5">
        <v>1992</v>
      </c>
      <c r="B2053" s="138">
        <f>'Cap Outlay Deprec 26'!K12</f>
        <v>733698</v>
      </c>
      <c r="C2053" s="2" t="s">
        <v>573</v>
      </c>
      <c r="D2053" s="2" t="str">
        <f t="shared" si="31"/>
        <v>Error?</v>
      </c>
    </row>
    <row r="2054" spans="1:4" x14ac:dyDescent="0.2">
      <c r="A2054" s="5">
        <v>1993</v>
      </c>
      <c r="B2054" s="138">
        <f>'Cap Outlay Deprec 26'!K13</f>
        <v>600878</v>
      </c>
      <c r="C2054" s="2" t="s">
        <v>573</v>
      </c>
      <c r="D2054" s="2" t="str">
        <f t="shared" si="31"/>
        <v>Error?</v>
      </c>
    </row>
    <row r="2055" spans="1:4" x14ac:dyDescent="0.2">
      <c r="A2055" s="5">
        <v>1994</v>
      </c>
      <c r="B2055" s="138">
        <f>'Cap Outlay Deprec 26'!K16</f>
        <v>3463908</v>
      </c>
      <c r="C2055" s="2" t="s">
        <v>573</v>
      </c>
      <c r="D2055" s="2" t="str">
        <f t="shared" si="31"/>
        <v>Error?</v>
      </c>
    </row>
    <row r="2056" spans="1:4" x14ac:dyDescent="0.2">
      <c r="A2056" s="5">
        <v>1995</v>
      </c>
      <c r="B2056" s="138">
        <f>'Cap Outlay Deprec 26'!L5</f>
        <v>42712</v>
      </c>
      <c r="C2056" s="2" t="s">
        <v>573</v>
      </c>
      <c r="D2056" s="2" t="str">
        <f t="shared" si="31"/>
        <v>Error?</v>
      </c>
    </row>
    <row r="2057" spans="1:4" x14ac:dyDescent="0.2">
      <c r="A2057" s="5">
        <v>1996</v>
      </c>
      <c r="B2057" s="138">
        <f>'Cap Outlay Deprec 26'!L8</f>
        <v>3153361</v>
      </c>
      <c r="C2057" s="2" t="s">
        <v>573</v>
      </c>
      <c r="D2057" s="2" t="str">
        <f t="shared" si="31"/>
        <v>Error?</v>
      </c>
    </row>
    <row r="2058" spans="1:4" x14ac:dyDescent="0.2">
      <c r="A2058" s="5">
        <v>1997</v>
      </c>
      <c r="B2058" s="138">
        <f>'Cap Outlay Deprec 26'!L10</f>
        <v>105721</v>
      </c>
      <c r="C2058" s="2" t="s">
        <v>573</v>
      </c>
      <c r="D2058" s="2" t="str">
        <f t="shared" si="31"/>
        <v>Error?</v>
      </c>
    </row>
    <row r="2059" spans="1:4" x14ac:dyDescent="0.2">
      <c r="A2059" s="5">
        <v>1998</v>
      </c>
      <c r="B2059" s="138">
        <f>'Cap Outlay Deprec 26'!L12</f>
        <v>84477</v>
      </c>
      <c r="C2059" s="2" t="s">
        <v>573</v>
      </c>
      <c r="D2059" s="2" t="str">
        <f t="shared" si="31"/>
        <v>Error?</v>
      </c>
    </row>
    <row r="2060" spans="1:4" x14ac:dyDescent="0.2">
      <c r="A2060" s="5">
        <v>1999</v>
      </c>
      <c r="B2060" s="138">
        <f>'Cap Outlay Deprec 26'!L13</f>
        <v>85391</v>
      </c>
      <c r="C2060" s="2" t="s">
        <v>573</v>
      </c>
      <c r="D2060" s="2" t="str">
        <f t="shared" si="31"/>
        <v>Error?</v>
      </c>
    </row>
    <row r="2061" spans="1:4" x14ac:dyDescent="0.2">
      <c r="A2061" s="5">
        <v>2000</v>
      </c>
      <c r="B2061" s="138">
        <f>'Cap Outlay Deprec 26'!L16</f>
        <v>3471662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3873</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37903</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45000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51035</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48690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180629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749128</v>
      </c>
      <c r="C2551" s="2" t="s">
        <v>573</v>
      </c>
      <c r="D2551" s="2" t="str">
        <f t="shared" si="38"/>
        <v>Error?</v>
      </c>
    </row>
    <row r="2552" spans="1:4" x14ac:dyDescent="0.2">
      <c r="A2552" s="10">
        <v>2491</v>
      </c>
      <c r="D2552" s="2" t="str">
        <f t="shared" si="38"/>
        <v>OK</v>
      </c>
    </row>
    <row r="2553" spans="1:4" x14ac:dyDescent="0.2">
      <c r="A2553" s="5">
        <v>2492</v>
      </c>
      <c r="B2553" s="138">
        <f>'Acct Summary 7-8'!C6</f>
        <v>1934368</v>
      </c>
      <c r="C2553" s="2" t="s">
        <v>573</v>
      </c>
      <c r="D2553" s="2" t="str">
        <f t="shared" si="38"/>
        <v>Error?</v>
      </c>
    </row>
    <row r="2554" spans="1:4" x14ac:dyDescent="0.2">
      <c r="A2554" s="5">
        <v>2493</v>
      </c>
      <c r="B2554" s="138">
        <f>'Acct Summary 7-8'!C7</f>
        <v>373445</v>
      </c>
      <c r="C2554" s="2" t="s">
        <v>573</v>
      </c>
      <c r="D2554" s="2" t="str">
        <f t="shared" si="38"/>
        <v>Error?</v>
      </c>
    </row>
    <row r="2555" spans="1:4" x14ac:dyDescent="0.2">
      <c r="A2555" s="5">
        <v>2494</v>
      </c>
      <c r="B2555" s="138">
        <f>'Acct Summary 7-8'!C8</f>
        <v>3056941</v>
      </c>
      <c r="C2555" s="2" t="s">
        <v>573</v>
      </c>
      <c r="D2555" s="2" t="str">
        <f t="shared" si="38"/>
        <v>Error?</v>
      </c>
    </row>
    <row r="2556" spans="1:4" x14ac:dyDescent="0.2">
      <c r="A2556" s="5">
        <v>2495</v>
      </c>
      <c r="B2556" s="138">
        <f>'Acct Summary 7-8'!C12</f>
        <v>1925179</v>
      </c>
      <c r="C2556" s="2" t="s">
        <v>573</v>
      </c>
      <c r="D2556" s="2" t="str">
        <f t="shared" si="38"/>
        <v>Error?</v>
      </c>
    </row>
    <row r="2557" spans="1:4" x14ac:dyDescent="0.2">
      <c r="A2557" s="5">
        <v>2496</v>
      </c>
      <c r="B2557" s="138">
        <f>'Acct Summary 7-8'!C13</f>
        <v>884849</v>
      </c>
      <c r="C2557" s="2" t="s">
        <v>573</v>
      </c>
      <c r="D2557" s="2" t="str">
        <f t="shared" si="38"/>
        <v>Error?</v>
      </c>
    </row>
    <row r="2558" spans="1:4" x14ac:dyDescent="0.2">
      <c r="A2558" s="5">
        <v>2497</v>
      </c>
      <c r="B2558" s="138">
        <f>'Acct Summary 7-8'!C14</f>
        <v>1160</v>
      </c>
      <c r="C2558" s="2" t="s">
        <v>573</v>
      </c>
      <c r="D2558" s="2" t="str">
        <f t="shared" si="38"/>
        <v>Error?</v>
      </c>
    </row>
    <row r="2559" spans="1:4" x14ac:dyDescent="0.2">
      <c r="A2559" s="5">
        <v>2498</v>
      </c>
      <c r="B2559" s="138">
        <f>'Acct Summary 7-8'!C15</f>
        <v>39129</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2850317</v>
      </c>
      <c r="C2561" s="2" t="s">
        <v>573</v>
      </c>
      <c r="D2561" s="2" t="str">
        <f t="shared" si="39"/>
        <v>Error?</v>
      </c>
    </row>
    <row r="2562" spans="1:4" x14ac:dyDescent="0.2">
      <c r="A2562" s="5">
        <v>2501</v>
      </c>
      <c r="B2562" s="138">
        <f>'Acct Summary 7-8'!C20</f>
        <v>206624</v>
      </c>
      <c r="C2562" s="2" t="s">
        <v>573</v>
      </c>
      <c r="D2562" s="2" t="str">
        <f t="shared" si="39"/>
        <v>Error?</v>
      </c>
    </row>
    <row r="2563" spans="1:4" x14ac:dyDescent="0.2">
      <c r="A2563" s="5">
        <v>2502</v>
      </c>
      <c r="B2563" s="138">
        <f>'Acct Summary 7-8'!C80</f>
        <v>-2</v>
      </c>
      <c r="D2563" s="2" t="str">
        <f t="shared" si="39"/>
        <v>Error?</v>
      </c>
    </row>
    <row r="2564" spans="1:4" x14ac:dyDescent="0.2">
      <c r="A2564" s="5">
        <v>2503</v>
      </c>
      <c r="B2564" s="138">
        <f>'Acct Summary 7-8'!D4</f>
        <v>120473</v>
      </c>
      <c r="C2564" s="2" t="s">
        <v>573</v>
      </c>
      <c r="D2564" s="2" t="str">
        <f t="shared" si="39"/>
        <v>Error?</v>
      </c>
    </row>
    <row r="2565" spans="1:4" x14ac:dyDescent="0.2">
      <c r="A2565" s="10">
        <v>2504</v>
      </c>
      <c r="D2565" s="2" t="str">
        <f t="shared" si="39"/>
        <v>OK</v>
      </c>
    </row>
    <row r="2566" spans="1:4" x14ac:dyDescent="0.2">
      <c r="A2566" s="5">
        <v>2505</v>
      </c>
      <c r="B2566" s="138">
        <f>'Acct Summary 7-8'!D6</f>
        <v>300000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427043</v>
      </c>
      <c r="C2568" s="2" t="s">
        <v>573</v>
      </c>
      <c r="D2568" s="2" t="str">
        <f t="shared" si="39"/>
        <v>Error?</v>
      </c>
    </row>
    <row r="2569" spans="1:4" x14ac:dyDescent="0.2">
      <c r="A2569" s="5">
        <v>2508</v>
      </c>
      <c r="B2569" s="138">
        <f>'Acct Summary 7-8'!D13</f>
        <v>326412</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326412</v>
      </c>
      <c r="C2573" s="2" t="s">
        <v>573</v>
      </c>
      <c r="D2573" s="2" t="str">
        <f t="shared" si="39"/>
        <v>Error?</v>
      </c>
    </row>
    <row r="2574" spans="1:4" x14ac:dyDescent="0.2">
      <c r="A2574" s="5">
        <v>2513</v>
      </c>
      <c r="B2574" s="138">
        <f>'Acct Summary 7-8'!D20</f>
        <v>100631</v>
      </c>
      <c r="C2574" s="2" t="s">
        <v>573</v>
      </c>
      <c r="D2574" s="2" t="str">
        <f t="shared" si="39"/>
        <v>Error?</v>
      </c>
    </row>
    <row r="2575" spans="1:4" x14ac:dyDescent="0.2">
      <c r="A2575" s="5">
        <v>2514</v>
      </c>
      <c r="B2575" s="138">
        <f>'Acct Summary 7-8'!D80</f>
        <v>-1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82475</v>
      </c>
      <c r="C2591" s="2" t="s">
        <v>573</v>
      </c>
      <c r="D2591" s="2" t="str">
        <f t="shared" si="39"/>
        <v>Error?</v>
      </c>
    </row>
    <row r="2592" spans="1:4" x14ac:dyDescent="0.2">
      <c r="A2592" s="10">
        <v>2531</v>
      </c>
      <c r="D2592" s="2" t="str">
        <f t="shared" si="39"/>
        <v>OK</v>
      </c>
    </row>
    <row r="2593" spans="1:4" x14ac:dyDescent="0.2">
      <c r="A2593" s="5">
        <v>2532</v>
      </c>
      <c r="B2593" s="138">
        <f>'Acct Summary 7-8'!F6</f>
        <v>313958</v>
      </c>
      <c r="C2593" s="2" t="s">
        <v>573</v>
      </c>
      <c r="D2593" s="2" t="str">
        <f t="shared" si="39"/>
        <v>Error?</v>
      </c>
    </row>
    <row r="2594" spans="1:4" x14ac:dyDescent="0.2">
      <c r="A2594" s="5">
        <v>2533</v>
      </c>
      <c r="B2594" s="138">
        <f>'Acct Summary 7-8'!F7</f>
        <v>84185</v>
      </c>
      <c r="C2594" s="2" t="s">
        <v>573</v>
      </c>
      <c r="D2594" s="2" t="str">
        <f t="shared" si="39"/>
        <v>Error?</v>
      </c>
    </row>
    <row r="2595" spans="1:4" x14ac:dyDescent="0.2">
      <c r="A2595" s="5">
        <v>2534</v>
      </c>
      <c r="B2595" s="138">
        <f>'Acct Summary 7-8'!F8</f>
        <v>480618</v>
      </c>
      <c r="C2595" s="2" t="s">
        <v>573</v>
      </c>
      <c r="D2595" s="2" t="str">
        <f t="shared" si="39"/>
        <v>Error?</v>
      </c>
    </row>
    <row r="2596" spans="1:4" x14ac:dyDescent="0.2">
      <c r="A2596" s="5">
        <v>2535</v>
      </c>
      <c r="B2596" s="138">
        <f>'Acct Summary 7-8'!F13</f>
        <v>295187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295187</v>
      </c>
      <c r="C2600" s="2" t="s">
        <v>573</v>
      </c>
      <c r="D2600" s="2" t="str">
        <f t="shared" si="39"/>
        <v>Error?</v>
      </c>
    </row>
    <row r="2601" spans="1:4" x14ac:dyDescent="0.2">
      <c r="A2601" s="5">
        <v>2540</v>
      </c>
      <c r="B2601" s="138">
        <f>'Acct Summary 7-8'!F20</f>
        <v>185431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135994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135994</v>
      </c>
      <c r="C2606" s="2" t="s">
        <v>573</v>
      </c>
      <c r="D2606" s="2" t="str">
        <f t="shared" si="39"/>
        <v>Error?</v>
      </c>
    </row>
    <row r="2607" spans="1:4" x14ac:dyDescent="0.2">
      <c r="A2607" s="5">
        <v>2546</v>
      </c>
      <c r="B2607" s="138">
        <f>'Acct Summary 7-8'!G12</f>
        <v>30560</v>
      </c>
      <c r="C2607" s="2" t="s">
        <v>573</v>
      </c>
      <c r="D2607" s="2" t="str">
        <f t="shared" si="39"/>
        <v>Error?</v>
      </c>
    </row>
    <row r="2608" spans="1:4" x14ac:dyDescent="0.2">
      <c r="A2608" s="5">
        <v>2547</v>
      </c>
      <c r="B2608" s="138">
        <f>'Acct Summary 7-8'!G13</f>
        <v>92356</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122916</v>
      </c>
      <c r="C2612" s="2" t="s">
        <v>573</v>
      </c>
      <c r="D2612" s="2" t="str">
        <f t="shared" si="39"/>
        <v>Error?</v>
      </c>
    </row>
    <row r="2613" spans="1:4" x14ac:dyDescent="0.2">
      <c r="A2613" s="5">
        <v>2552</v>
      </c>
      <c r="B2613" s="138">
        <f>'Acct Summary 7-8'!G20</f>
        <v>13078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43778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43778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44033</v>
      </c>
      <c r="C2634" s="2" t="s">
        <v>573</v>
      </c>
      <c r="D2634" s="2" t="str">
        <f t="shared" si="40"/>
        <v>Error?</v>
      </c>
    </row>
    <row r="2635" spans="1:4" x14ac:dyDescent="0.2">
      <c r="A2635" s="5">
        <v>2574</v>
      </c>
      <c r="B2635" s="138">
        <f>'Acct Summary 7-8'!E17</f>
        <v>44033</v>
      </c>
      <c r="C2635" s="2" t="s">
        <v>573</v>
      </c>
      <c r="D2635" s="2" t="str">
        <f t="shared" si="40"/>
        <v>Error?</v>
      </c>
    </row>
    <row r="2636" spans="1:4" x14ac:dyDescent="0.2">
      <c r="A2636" s="5">
        <v>2575</v>
      </c>
      <c r="B2636" s="138">
        <f>'Acct Summary 7-8'!E20</f>
        <v>-255</v>
      </c>
      <c r="C2636" s="2" t="s">
        <v>573</v>
      </c>
      <c r="D2636" s="2" t="str">
        <f t="shared" si="40"/>
        <v>Error?</v>
      </c>
    </row>
    <row r="2637" spans="1:4" x14ac:dyDescent="0.2">
      <c r="A2637" s="5">
        <v>2576</v>
      </c>
      <c r="B2637" s="138">
        <f>'Acct Summary 7-8'!E80</f>
        <v>1</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114609</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114609</v>
      </c>
      <c r="C2658" s="2" t="s">
        <v>573</v>
      </c>
      <c r="D2658" s="2" t="str">
        <f t="shared" si="40"/>
        <v>Error?</v>
      </c>
    </row>
    <row r="2659" spans="1:4" x14ac:dyDescent="0.2">
      <c r="A2659" s="5">
        <v>2598</v>
      </c>
      <c r="B2659" s="138">
        <f>'Acct Summary 7-8'!H13</f>
        <v>110412</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110412</v>
      </c>
      <c r="C2661" s="2" t="s">
        <v>573</v>
      </c>
      <c r="D2661" s="2" t="str">
        <f t="shared" si="40"/>
        <v>Error?</v>
      </c>
    </row>
    <row r="2662" spans="1:4" x14ac:dyDescent="0.2">
      <c r="A2662" s="5">
        <v>2601</v>
      </c>
      <c r="B2662" s="138">
        <f>'Acct Summary 7-8'!H20</f>
        <v>4197</v>
      </c>
      <c r="C2662" s="2" t="s">
        <v>573</v>
      </c>
      <c r="D2662" s="2" t="str">
        <f t="shared" si="40"/>
        <v>Error?</v>
      </c>
    </row>
    <row r="2663" spans="1:4" x14ac:dyDescent="0.2">
      <c r="A2663" s="5">
        <v>2602</v>
      </c>
      <c r="B2663" s="138">
        <f>'Acct Summary 7-8'!H80</f>
        <v>1</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34030</v>
      </c>
      <c r="C2789" s="2" t="s">
        <v>573</v>
      </c>
      <c r="D2789" s="2" t="str">
        <f t="shared" si="42"/>
        <v>Error?</v>
      </c>
    </row>
    <row r="2790" spans="1:4" x14ac:dyDescent="0.2">
      <c r="A2790" s="5">
        <v>2729</v>
      </c>
      <c r="B2790" s="138">
        <f>'Expenditures 15-22'!E102</f>
        <v>35256</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28169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28326</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87045</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28326</v>
      </c>
      <c r="D2912" s="2" t="str">
        <f t="shared" si="44"/>
        <v>Error?</v>
      </c>
    </row>
    <row r="2913" spans="1:4" x14ac:dyDescent="0.2">
      <c r="A2913" s="5">
        <v>2852</v>
      </c>
      <c r="B2913" s="138">
        <f>'Assets-Liab 5-6'!I41</f>
        <v>28326</v>
      </c>
      <c r="C2913" s="2" t="s">
        <v>573</v>
      </c>
      <c r="D2913" s="2" t="str">
        <f t="shared" si="44"/>
        <v>Error?</v>
      </c>
    </row>
    <row r="2914" spans="1:4" x14ac:dyDescent="0.2">
      <c r="A2914" s="5">
        <v>2853</v>
      </c>
      <c r="B2914" s="138">
        <f>'Assets-Liab 5-6'!L33</f>
        <v>87045</v>
      </c>
      <c r="D2914" s="2" t="str">
        <f t="shared" si="44"/>
        <v>Error?</v>
      </c>
    </row>
    <row r="2915" spans="1:4" x14ac:dyDescent="0.2">
      <c r="A2915" s="10">
        <v>2854</v>
      </c>
      <c r="D2915" s="2" t="str">
        <f t="shared" si="44"/>
        <v>OK</v>
      </c>
    </row>
    <row r="2916" spans="1:4" x14ac:dyDescent="0.2">
      <c r="A2916" s="5">
        <v>2855</v>
      </c>
      <c r="B2916" s="138">
        <f>'Assets-Liab 5-6'!L34</f>
        <v>87045</v>
      </c>
      <c r="C2916" s="2" t="s">
        <v>573</v>
      </c>
      <c r="D2916" s="2" t="str">
        <f t="shared" si="44"/>
        <v>Error?</v>
      </c>
    </row>
    <row r="2917" spans="1:4" x14ac:dyDescent="0.2">
      <c r="A2917" s="5">
        <v>2856</v>
      </c>
      <c r="B2917" s="138">
        <f>'Assets-Liab 5-6'!L41</f>
        <v>87045</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19289</v>
      </c>
      <c r="D2949" s="2" t="str">
        <f t="shared" si="45"/>
        <v>Error?</v>
      </c>
    </row>
    <row r="2950" spans="1:4" x14ac:dyDescent="0.2">
      <c r="A2950" s="5">
        <v>2889</v>
      </c>
      <c r="B2950" s="138">
        <f>'Expenditures 15-22'!E79</f>
        <v>14300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441</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3873</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19289</v>
      </c>
      <c r="C2973" s="2" t="s">
        <v>573</v>
      </c>
      <c r="D2973" s="2" t="str">
        <f t="shared" si="45"/>
        <v>Error?</v>
      </c>
    </row>
    <row r="2974" spans="1:4" x14ac:dyDescent="0.2">
      <c r="A2974" s="5">
        <v>2913</v>
      </c>
      <c r="B2974" s="138">
        <f>'Expenditures 15-22'!K79</f>
        <v>18173</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441</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38802</v>
      </c>
      <c r="D3055" s="2" t="str">
        <f t="shared" si="46"/>
        <v>Error?</v>
      </c>
    </row>
    <row r="3056" spans="1:4" x14ac:dyDescent="0.2">
      <c r="A3056" s="5">
        <v>2995</v>
      </c>
      <c r="B3056" s="138">
        <f>'Expenditures 15-22'!D10</f>
        <v>18136</v>
      </c>
      <c r="D3056" s="2" t="str">
        <f t="shared" si="46"/>
        <v>Error?</v>
      </c>
    </row>
    <row r="3057" spans="1:4" x14ac:dyDescent="0.2">
      <c r="A3057" s="5">
        <v>2996</v>
      </c>
      <c r="B3057" s="138">
        <f>'Expenditures 15-22'!E10</f>
        <v>10708</v>
      </c>
      <c r="D3057" s="2" t="str">
        <f t="shared" si="46"/>
        <v>Error?</v>
      </c>
    </row>
    <row r="3058" spans="1:4" x14ac:dyDescent="0.2">
      <c r="A3058" s="5">
        <v>2997</v>
      </c>
      <c r="B3058" s="138">
        <f>'Expenditures 15-22'!F10</f>
        <v>16812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84458</v>
      </c>
      <c r="C3062" s="2" t="s">
        <v>573</v>
      </c>
      <c r="D3062" s="2" t="str">
        <f t="shared" si="46"/>
        <v>Error?</v>
      </c>
    </row>
    <row r="3063" spans="1:4" x14ac:dyDescent="0.2">
      <c r="A3063" s="10">
        <v>3002</v>
      </c>
      <c r="D3063" s="2" t="str">
        <f t="shared" si="46"/>
        <v>OK</v>
      </c>
    </row>
    <row r="3064" spans="1:4" x14ac:dyDescent="0.2">
      <c r="A3064" s="5">
        <v>3003</v>
      </c>
      <c r="B3064" s="138">
        <f>'Expenditures 15-22'!D219</f>
        <v>560</v>
      </c>
      <c r="D3064" s="2" t="str">
        <f t="shared" si="46"/>
        <v>Error?</v>
      </c>
    </row>
    <row r="3065" spans="1:4" x14ac:dyDescent="0.2">
      <c r="A3065" s="5">
        <v>3004</v>
      </c>
      <c r="B3065" s="138">
        <f>'Expenditures 15-22'!K219</f>
        <v>560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11940</v>
      </c>
      <c r="C3225" s="2" t="s">
        <v>573</v>
      </c>
      <c r="D3225" s="2" t="str">
        <f t="shared" si="49"/>
        <v>Error?</v>
      </c>
    </row>
    <row r="3226" spans="1:4" x14ac:dyDescent="0.2">
      <c r="A3226" s="5">
        <v>3165</v>
      </c>
      <c r="B3226" s="138">
        <f>'Acct Summary 7-8'!I8</f>
        <v>11940</v>
      </c>
      <c r="C3226" s="2" t="s">
        <v>573</v>
      </c>
      <c r="D3226" s="2" t="str">
        <f t="shared" si="49"/>
        <v>Error?</v>
      </c>
    </row>
    <row r="3227" spans="1:4" x14ac:dyDescent="0.2">
      <c r="A3227" s="5">
        <v>3166</v>
      </c>
      <c r="B3227" s="138">
        <f>'Acct Summary 7-8'!I20</f>
        <v>11940</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206624</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45000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45000</v>
      </c>
      <c r="C3238" s="2" t="s">
        <v>573</v>
      </c>
      <c r="D3238" s="2" t="str">
        <f t="shared" si="49"/>
        <v>Error?</v>
      </c>
    </row>
    <row r="3239" spans="1:4" x14ac:dyDescent="0.2">
      <c r="A3239" s="5">
        <v>3178</v>
      </c>
      <c r="B3239" s="138">
        <f>'Acct Summary 7-8'!D78</f>
        <v>145631</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185431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13078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-255</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4197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45000</v>
      </c>
      <c r="C3318" s="2" t="s">
        <v>573</v>
      </c>
      <c r="D3318" s="2" t="str">
        <f t="shared" si="50"/>
        <v>Error?</v>
      </c>
    </row>
    <row r="3319" spans="1:4" x14ac:dyDescent="0.2">
      <c r="A3319" s="5">
        <v>3258</v>
      </c>
      <c r="B3319" s="138">
        <f>'Acct Summary 7-8'!I77</f>
        <v>-45000</v>
      </c>
      <c r="C3319" s="2" t="s">
        <v>573</v>
      </c>
      <c r="D3319" s="2" t="str">
        <f t="shared" si="50"/>
        <v>Error?</v>
      </c>
    </row>
    <row r="3320" spans="1:4" x14ac:dyDescent="0.2">
      <c r="A3320" s="5">
        <v>3259</v>
      </c>
      <c r="B3320" s="138">
        <f>'Acct Summary 7-8'!I78</f>
        <v>-33060</v>
      </c>
      <c r="C3320" s="2" t="s">
        <v>573</v>
      </c>
      <c r="D3320" s="2" t="str">
        <f t="shared" si="50"/>
        <v>Error?</v>
      </c>
    </row>
    <row r="3321" spans="1:4" x14ac:dyDescent="0.2">
      <c r="A3321" s="5">
        <v>3260</v>
      </c>
      <c r="B3321" s="138">
        <f>'Acct Summary 7-8'!I79</f>
        <v>61386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28326</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151870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47081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513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9806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209270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19723</v>
      </c>
      <c r="D3387" s="2" t="str">
        <f t="shared" si="51"/>
        <v>Error?</v>
      </c>
    </row>
    <row r="3388" spans="1:4" x14ac:dyDescent="0.2">
      <c r="A3388" s="5">
        <v>3327</v>
      </c>
      <c r="B3388" s="138">
        <f>'Expenditures 15-22'!D217</f>
        <v>7323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19723</v>
      </c>
      <c r="C3390" s="2" t="s">
        <v>573</v>
      </c>
      <c r="D3390" s="2" t="str">
        <f t="shared" si="51"/>
        <v>Error?</v>
      </c>
    </row>
    <row r="3391" spans="1:4" x14ac:dyDescent="0.2">
      <c r="A3391" s="5">
        <v>3330</v>
      </c>
      <c r="B3391" s="138">
        <f>'Expenditures 15-22'!K217</f>
        <v>7323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6570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216991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4107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909</v>
      </c>
      <c r="D3417" s="2" t="str">
        <f t="shared" si="52"/>
        <v>Error?</v>
      </c>
    </row>
    <row r="3418" spans="1:4" x14ac:dyDescent="0.2">
      <c r="A3418" s="10">
        <v>3357</v>
      </c>
      <c r="D3418" s="2" t="str">
        <f t="shared" si="52"/>
        <v>OK</v>
      </c>
    </row>
    <row r="3419" spans="1:4" x14ac:dyDescent="0.2">
      <c r="A3419" s="5">
        <v>3358</v>
      </c>
      <c r="B3419" s="138">
        <f>'Assets-Liab 5-6'!F4</f>
        <v>297358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5058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10728</v>
      </c>
      <c r="D3425" s="2" t="str">
        <f t="shared" si="52"/>
        <v>Error?</v>
      </c>
    </row>
    <row r="3426" spans="1:4" x14ac:dyDescent="0.2">
      <c r="A3426" s="10">
        <v>3365</v>
      </c>
      <c r="D3426" s="2" t="str">
        <f t="shared" si="52"/>
        <v>OK</v>
      </c>
    </row>
    <row r="3427" spans="1:4" x14ac:dyDescent="0.2">
      <c r="A3427" s="5">
        <v>3366</v>
      </c>
      <c r="B3427" s="138">
        <f>'Assets-Liab 5-6'!I4</f>
        <v>157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87045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60199</v>
      </c>
      <c r="C3446" s="2" t="s">
        <v>573</v>
      </c>
      <c r="D3446" s="2" t="str">
        <f t="shared" si="52"/>
        <v>Error?</v>
      </c>
    </row>
    <row r="3447" spans="1:4" x14ac:dyDescent="0.2">
      <c r="A3447" s="5">
        <v>3386</v>
      </c>
      <c r="B3447" s="138">
        <f>'Tax Sched 23'!D16</f>
        <v>60199</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65633</v>
      </c>
      <c r="C3449" s="2" t="s">
        <v>573</v>
      </c>
      <c r="D3449" s="2" t="str">
        <f t="shared" si="52"/>
        <v>Error?</v>
      </c>
    </row>
    <row r="3450" spans="1:4" x14ac:dyDescent="0.2">
      <c r="A3450" s="5">
        <v>3389</v>
      </c>
      <c r="B3450" s="138">
        <f>'Tax Sched 23'!E16</f>
        <v>65633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76319</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76320</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76320</v>
      </c>
      <c r="D3567" s="2" t="str">
        <f t="shared" si="54"/>
        <v>Error?</v>
      </c>
    </row>
    <row r="3568" spans="1:4" x14ac:dyDescent="0.2">
      <c r="A3568" s="5">
        <v>3507</v>
      </c>
      <c r="B3568" s="138">
        <f>'Assets-Liab 5-6'!K41</f>
        <v>76320</v>
      </c>
      <c r="C3568" s="2" t="s">
        <v>573</v>
      </c>
      <c r="D3568" s="2" t="str">
        <f t="shared" si="54"/>
        <v>Error?</v>
      </c>
    </row>
    <row r="3569" spans="1:4" x14ac:dyDescent="0.2">
      <c r="A3569" s="5">
        <v>3508</v>
      </c>
      <c r="B3569" s="138">
        <f>'Acct Summary 7-8'!K4</f>
        <v>23887</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23887</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23887</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23887</v>
      </c>
      <c r="C3588" s="2" t="s">
        <v>573</v>
      </c>
      <c r="D3588" s="2" t="str">
        <f t="shared" si="55"/>
        <v>Error?</v>
      </c>
    </row>
    <row r="3589" spans="1:4" x14ac:dyDescent="0.2">
      <c r="A3589" s="5">
        <v>3528</v>
      </c>
      <c r="B3589" s="138">
        <f>'Acct Summary 7-8'!K79</f>
        <v>52433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76320</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23887</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10232</v>
      </c>
      <c r="C3725" s="2" t="s">
        <v>573</v>
      </c>
      <c r="D3725" s="2" t="str">
        <f t="shared" si="57"/>
        <v>Error?</v>
      </c>
    </row>
    <row r="3726" spans="1:4" x14ac:dyDescent="0.2">
      <c r="A3726" s="5">
        <v>3665</v>
      </c>
      <c r="B3726" s="138">
        <f>'Tax Sched 23'!D13</f>
        <v>10232</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12698</v>
      </c>
      <c r="C3728" s="2" t="s">
        <v>573</v>
      </c>
      <c r="D3728" s="2" t="str">
        <f t="shared" si="57"/>
        <v>Error?</v>
      </c>
    </row>
    <row r="3729" spans="1:4" x14ac:dyDescent="0.2">
      <c r="A3729" s="5">
        <v>3668</v>
      </c>
      <c r="B3729" s="138">
        <f>'Tax Sched 23'!E13</f>
        <v>12698</v>
      </c>
      <c r="D3729" s="2" t="str">
        <f t="shared" si="57"/>
        <v>Error?</v>
      </c>
    </row>
    <row r="3730" spans="1:4" x14ac:dyDescent="0.2">
      <c r="A3730" s="5">
        <v>3669</v>
      </c>
      <c r="B3730" s="138">
        <f>'ICR Computation 30'!E10</f>
        <v>76666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1278297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4335238</v>
      </c>
      <c r="C4122" s="2" t="s">
        <v>573</v>
      </c>
      <c r="D4122" s="2" t="str">
        <f t="shared" si="63"/>
        <v>Error?</v>
      </c>
    </row>
    <row r="4123" spans="1:4" x14ac:dyDescent="0.2">
      <c r="A4123" s="5">
        <v>4062</v>
      </c>
      <c r="B4123" s="138">
        <f>'Acct Summary 7-8'!D10</f>
        <v>427043</v>
      </c>
      <c r="C4123" s="2" t="s">
        <v>573</v>
      </c>
      <c r="D4123" s="2" t="str">
        <f t="shared" si="63"/>
        <v>Error?</v>
      </c>
    </row>
    <row r="4124" spans="1:4" x14ac:dyDescent="0.2">
      <c r="A4124" s="5">
        <v>4063</v>
      </c>
      <c r="B4124" s="138">
        <f>'Acct Summary 7-8'!E10</f>
        <v>43778</v>
      </c>
      <c r="C4124" s="2" t="s">
        <v>573</v>
      </c>
      <c r="D4124" s="2" t="str">
        <f t="shared" si="63"/>
        <v>Error?</v>
      </c>
    </row>
    <row r="4125" spans="1:4" x14ac:dyDescent="0.2">
      <c r="A4125" s="5">
        <v>4064</v>
      </c>
      <c r="B4125" s="138">
        <f>'Acct Summary 7-8'!F10</f>
        <v>480618</v>
      </c>
      <c r="C4125" s="2" t="s">
        <v>573</v>
      </c>
      <c r="D4125" s="2" t="str">
        <f t="shared" si="63"/>
        <v>Error?</v>
      </c>
    </row>
    <row r="4126" spans="1:4" x14ac:dyDescent="0.2">
      <c r="A4126" s="5">
        <v>4065</v>
      </c>
      <c r="B4126" s="138">
        <f>'Acct Summary 7-8'!G10</f>
        <v>135994</v>
      </c>
      <c r="C4126" s="2" t="s">
        <v>573</v>
      </c>
      <c r="D4126" s="2" t="str">
        <f t="shared" si="63"/>
        <v>Error?</v>
      </c>
    </row>
    <row r="4127" spans="1:4" x14ac:dyDescent="0.2">
      <c r="A4127" s="5">
        <v>4066</v>
      </c>
      <c r="B4127" s="138">
        <f>'Acct Summary 7-8'!H10</f>
        <v>114609</v>
      </c>
      <c r="C4127" s="2" t="s">
        <v>573</v>
      </c>
      <c r="D4127" s="2" t="str">
        <f t="shared" si="63"/>
        <v>Error?</v>
      </c>
    </row>
    <row r="4128" spans="1:4" x14ac:dyDescent="0.2">
      <c r="A4128" s="5">
        <v>4067</v>
      </c>
      <c r="B4128" s="138">
        <f>'Acct Summary 7-8'!I10</f>
        <v>11940</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23887</v>
      </c>
      <c r="C4130" s="2" t="s">
        <v>573</v>
      </c>
      <c r="D4130" s="2" t="str">
        <f t="shared" si="63"/>
        <v>Error?</v>
      </c>
    </row>
    <row r="4131" spans="1:4" x14ac:dyDescent="0.2">
      <c r="A4131" s="5">
        <v>4070</v>
      </c>
      <c r="B4131" s="138">
        <f>'Acct Summary 7-8'!C18</f>
        <v>1278297</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4128614</v>
      </c>
      <c r="C4136" s="2" t="s">
        <v>573</v>
      </c>
      <c r="D4136" s="2" t="str">
        <f t="shared" si="63"/>
        <v>Error?</v>
      </c>
    </row>
    <row r="4137" spans="1:4" x14ac:dyDescent="0.2">
      <c r="A4137" s="5">
        <v>4076</v>
      </c>
      <c r="B4137" s="138">
        <f>'Acct Summary 7-8'!D19</f>
        <v>326412</v>
      </c>
      <c r="C4137" s="2" t="s">
        <v>573</v>
      </c>
      <c r="D4137" s="2" t="str">
        <f t="shared" si="63"/>
        <v>Error?</v>
      </c>
    </row>
    <row r="4138" spans="1:4" x14ac:dyDescent="0.2">
      <c r="A4138" s="5">
        <v>4077</v>
      </c>
      <c r="B4138" s="138">
        <f>'Acct Summary 7-8'!E19</f>
        <v>44033</v>
      </c>
      <c r="C4138" s="2" t="s">
        <v>573</v>
      </c>
      <c r="D4138" s="2" t="str">
        <f t="shared" si="63"/>
        <v>Error?</v>
      </c>
    </row>
    <row r="4139" spans="1:4" x14ac:dyDescent="0.2">
      <c r="A4139" s="5">
        <v>4078</v>
      </c>
      <c r="B4139" s="138">
        <f>'Acct Summary 7-8'!F19</f>
        <v>295187</v>
      </c>
      <c r="C4139" s="2" t="s">
        <v>573</v>
      </c>
      <c r="D4139" s="2" t="str">
        <f t="shared" si="63"/>
        <v>Error?</v>
      </c>
    </row>
    <row r="4140" spans="1:4" x14ac:dyDescent="0.2">
      <c r="A4140" s="5">
        <v>4079</v>
      </c>
      <c r="B4140" s="138">
        <f>'Acct Summary 7-8'!G19</f>
        <v>122916</v>
      </c>
      <c r="C4140" s="2" t="s">
        <v>573</v>
      </c>
      <c r="D4140" s="2" t="str">
        <f t="shared" si="63"/>
        <v>Error?</v>
      </c>
    </row>
    <row r="4141" spans="1:4" x14ac:dyDescent="0.2">
      <c r="A4141" s="5">
        <v>4080</v>
      </c>
      <c r="B4141" s="138">
        <f>'Acct Summary 7-8'!H19</f>
        <v>110412</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150000</v>
      </c>
      <c r="C4171" s="2" t="s">
        <v>573</v>
      </c>
      <c r="D4171" s="2" t="str">
        <f t="shared" si="64"/>
        <v>Error?</v>
      </c>
    </row>
    <row r="4172" spans="1:4" x14ac:dyDescent="0.2">
      <c r="A4172" s="5">
        <v>4111</v>
      </c>
      <c r="B4172" s="138">
        <f>'Short-Term Long-Term Debt 24'!J49</f>
        <v>135930</v>
      </c>
      <c r="C4172" s="2" t="s">
        <v>573</v>
      </c>
      <c r="D4172" s="2" t="str">
        <f t="shared" si="64"/>
        <v>Error?</v>
      </c>
    </row>
    <row r="4173" spans="1:4" x14ac:dyDescent="0.2">
      <c r="A4173" s="5">
        <v>4112</v>
      </c>
      <c r="B4173" s="138">
        <f>'Short-Term Long-Term Debt 24'!H49</f>
        <v>51601</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2100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239.99999999999997</v>
      </c>
      <c r="C4267" s="2" t="s">
        <v>573</v>
      </c>
      <c r="D4267" s="2" t="str">
        <f t="shared" si="65"/>
        <v>Error?</v>
      </c>
      <c r="E4267" s="128"/>
    </row>
    <row r="4268" spans="1:5" x14ac:dyDescent="0.2">
      <c r="A4268" s="12">
        <v>4207</v>
      </c>
      <c r="B4268" s="138">
        <f>('FP Info 3'!J10)*100000</f>
        <v>2840</v>
      </c>
      <c r="C4268" s="2" t="s">
        <v>573</v>
      </c>
      <c r="D4268" s="2" t="str">
        <f t="shared" si="65"/>
        <v>Error?</v>
      </c>
    </row>
    <row r="4269" spans="1:5" x14ac:dyDescent="0.2">
      <c r="A4269" s="12">
        <v>4208</v>
      </c>
      <c r="B4269" s="138">
        <f>'FP Info 3'!J16</f>
        <v>2449563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5117</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8018</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9539</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1003</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44716</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25395641</v>
      </c>
      <c r="D4995" s="2" t="str">
        <f t="shared" si="77"/>
        <v>Error?</v>
      </c>
    </row>
    <row r="4996" spans="1:4" x14ac:dyDescent="0.2">
      <c r="A4996" s="12">
        <v>4935</v>
      </c>
      <c r="B4996" s="138">
        <f>'FP Info 3'!H31</f>
        <v>3504598.4580000001</v>
      </c>
      <c r="D4996" s="2" t="str">
        <f t="shared" si="77"/>
        <v>Error?</v>
      </c>
    </row>
    <row r="4997" spans="1:4" x14ac:dyDescent="0.2">
      <c r="A4997" s="12">
        <v>4936</v>
      </c>
      <c r="B4997" s="138">
        <f>'FP Info 3'!H37</f>
        <v>150000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10232</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494417</v>
      </c>
      <c r="D5061" s="2" t="str">
        <f t="shared" si="78"/>
        <v>Error?</v>
      </c>
    </row>
    <row r="5062" spans="1:4" x14ac:dyDescent="0.2">
      <c r="A5062" s="10">
        <v>5001</v>
      </c>
      <c r="D5062" s="2" t="str">
        <f t="shared" si="78"/>
        <v>OK</v>
      </c>
    </row>
    <row r="5063" spans="1:4" x14ac:dyDescent="0.2">
      <c r="A5063" s="5">
        <v>5002</v>
      </c>
      <c r="B5063" s="138">
        <f>'Revenues 9-14'!C7</f>
        <v>9417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514066</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95106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95106</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11383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11383</v>
      </c>
      <c r="C5090" s="2" t="s">
        <v>573</v>
      </c>
      <c r="D5090" s="2" t="str">
        <f t="shared" si="78"/>
        <v>Error?</v>
      </c>
    </row>
    <row r="5091" spans="1:4" x14ac:dyDescent="0.2">
      <c r="A5091" s="5">
        <v>5030</v>
      </c>
      <c r="B5091" s="138">
        <f>'Revenues 9-14'!C70</f>
        <v>2275</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29884</v>
      </c>
      <c r="C5096" s="2" t="s">
        <v>573</v>
      </c>
      <c r="D5096" s="2" t="str">
        <f t="shared" si="78"/>
        <v>Error?</v>
      </c>
    </row>
    <row r="5097" spans="1:4" x14ac:dyDescent="0.2">
      <c r="A5097" s="5">
        <v>5036</v>
      </c>
      <c r="B5097" s="138">
        <f>'Revenues 9-14'!C77</f>
        <v>8945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4725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13670</v>
      </c>
      <c r="C5102" s="2" t="s">
        <v>573</v>
      </c>
      <c r="D5102" s="2" t="str">
        <f t="shared" si="78"/>
        <v>Error?</v>
      </c>
    </row>
    <row r="5103" spans="1:4" x14ac:dyDescent="0.2">
      <c r="A5103" s="5">
        <v>5042</v>
      </c>
      <c r="B5103" s="138">
        <f>'Revenues 9-14'!C84</f>
        <v>19090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19090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61326</v>
      </c>
      <c r="D5119" s="2" t="str">
        <f t="shared" ref="D5119:D5182" si="79">IF(ISBLANK(B5119),"OK",IF(A5119-B5119=0,"OK","Error?"))</f>
        <v>Error?</v>
      </c>
    </row>
    <row r="5120" spans="1:4" x14ac:dyDescent="0.2">
      <c r="A5120" s="5">
        <v>5059</v>
      </c>
      <c r="B5120" s="138">
        <f>'Revenues 9-14'!C108</f>
        <v>65929</v>
      </c>
      <c r="C5120" s="2" t="s">
        <v>573</v>
      </c>
      <c r="D5120" s="2" t="str">
        <f t="shared" si="79"/>
        <v>Error?</v>
      </c>
    </row>
    <row r="5121" spans="1:4" x14ac:dyDescent="0.2">
      <c r="A5121" s="5">
        <v>5060</v>
      </c>
      <c r="B5121" s="138">
        <f>'Revenues 9-14'!C109</f>
        <v>749128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1889466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1889466</v>
      </c>
      <c r="C5132" s="2" t="s">
        <v>573</v>
      </c>
      <c r="D5132" s="2" t="str">
        <f t="shared" si="79"/>
        <v>Error?</v>
      </c>
    </row>
    <row r="5133" spans="1:4" x14ac:dyDescent="0.2">
      <c r="A5133" s="5">
        <v>5072</v>
      </c>
      <c r="B5133" s="138">
        <f>'Revenues 9-14'!C125</f>
        <v>23817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4693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28510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7475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2181</v>
      </c>
      <c r="D5167" s="2" t="str">
        <f t="shared" si="79"/>
        <v>Error?</v>
      </c>
    </row>
    <row r="5168" spans="1:4" x14ac:dyDescent="0.2">
      <c r="A5168" s="5">
        <v>5107</v>
      </c>
      <c r="B5168" s="138">
        <f>'Revenues 9-14'!C148</f>
        <v>5986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44902</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1934368</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44716</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89740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33069</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122809</v>
      </c>
      <c r="C5246" s="2" t="s">
        <v>573</v>
      </c>
      <c r="D5246" s="2" t="str">
        <f t="shared" si="80"/>
        <v>Error?</v>
      </c>
    </row>
    <row r="5247" spans="1:4" x14ac:dyDescent="0.2">
      <c r="A5247" s="5">
        <v>5186</v>
      </c>
      <c r="B5247" s="138">
        <f>'Revenues 9-14'!C200</f>
        <v>103325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9539</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103325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33999</v>
      </c>
      <c r="D5278" s="2" t="str">
        <f t="shared" si="81"/>
        <v>Error?</v>
      </c>
    </row>
    <row r="5279" spans="1:4" x14ac:dyDescent="0.2">
      <c r="A5279" s="5">
        <v>5218</v>
      </c>
      <c r="B5279" s="138">
        <f>'Revenues 9-14'!C214</f>
        <v>45922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79921</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328729</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373445</v>
      </c>
      <c r="C5326" s="2" t="s">
        <v>573</v>
      </c>
      <c r="D5326" s="2" t="str">
        <f t="shared" si="82"/>
        <v>Error?</v>
      </c>
    </row>
    <row r="5327" spans="1:5" x14ac:dyDescent="0.2">
      <c r="A5327" s="5">
        <v>5266</v>
      </c>
      <c r="B5327" s="138">
        <f>'Revenues 9-14'!C268</f>
        <v>3056941</v>
      </c>
      <c r="C5327" s="2" t="s">
        <v>573</v>
      </c>
      <c r="D5327" s="2" t="str">
        <f t="shared" si="82"/>
        <v>Error?</v>
      </c>
    </row>
    <row r="5328" spans="1:5" x14ac:dyDescent="0.2">
      <c r="A5328" s="5">
        <v>5267</v>
      </c>
      <c r="B5328" s="138">
        <f>'Revenues 9-14'!D5</f>
        <v>117718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117718</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1171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1171</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1584</v>
      </c>
      <c r="D5354" s="2" t="str">
        <f t="shared" si="82"/>
        <v>Error?</v>
      </c>
    </row>
    <row r="5355" spans="1:4" x14ac:dyDescent="0.2">
      <c r="A5355" s="5">
        <v>5294</v>
      </c>
      <c r="B5355" s="138">
        <f>'Revenues 9-14'!D108</f>
        <v>1584</v>
      </c>
      <c r="C5355" s="2" t="s">
        <v>573</v>
      </c>
      <c r="D5355" s="2" t="str">
        <f t="shared" si="82"/>
        <v>Error?</v>
      </c>
    </row>
    <row r="5356" spans="1:4" x14ac:dyDescent="0.2">
      <c r="A5356" s="5">
        <v>5295</v>
      </c>
      <c r="B5356" s="138">
        <f>'Revenues 9-14'!D109</f>
        <v>120473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6570</v>
      </c>
      <c r="D5359" s="2" t="str">
        <f t="shared" si="82"/>
        <v>Error?</v>
      </c>
    </row>
    <row r="5360" spans="1:4" x14ac:dyDescent="0.2">
      <c r="A5360" s="5">
        <v>5299</v>
      </c>
      <c r="B5360" s="138">
        <f>'Revenues 9-14'!D114</f>
        <v>6570</v>
      </c>
      <c r="C5360" s="2" t="s">
        <v>573</v>
      </c>
      <c r="D5360" s="2" t="str">
        <f t="shared" si="82"/>
        <v>Error?</v>
      </c>
    </row>
    <row r="5361" spans="1:4" x14ac:dyDescent="0.2">
      <c r="A5361" s="5">
        <v>5300</v>
      </c>
      <c r="B5361" s="138">
        <f>'Revenues 9-14'!D117</f>
        <v>300000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300000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300000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427043</v>
      </c>
      <c r="C5508" s="2" t="s">
        <v>573</v>
      </c>
      <c r="D5508" s="2" t="str">
        <f t="shared" si="85"/>
        <v>Error?</v>
      </c>
    </row>
    <row r="5509" spans="1:4" x14ac:dyDescent="0.2">
      <c r="A5509" s="5">
        <v>5448</v>
      </c>
      <c r="B5509" s="138">
        <f>'Revenues 9-14'!E5</f>
        <v>43684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43684</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94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94</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43778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43778</v>
      </c>
      <c r="C5552" s="2" t="s">
        <v>573</v>
      </c>
      <c r="D5552" s="2" t="str">
        <f t="shared" si="85"/>
        <v>Error?</v>
      </c>
    </row>
    <row r="5553" spans="1:4" x14ac:dyDescent="0.2">
      <c r="A5553" s="5">
        <v>5492</v>
      </c>
      <c r="B5553" s="138">
        <f>'Revenues 9-14'!F5</f>
        <v>56504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56504</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576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576</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25395</v>
      </c>
      <c r="D5586" s="2" t="str">
        <f t="shared" si="86"/>
        <v>Error?</v>
      </c>
    </row>
    <row r="5587" spans="1:4" x14ac:dyDescent="0.2">
      <c r="A5587" s="5">
        <v>5526</v>
      </c>
      <c r="B5587" s="138">
        <f>'Revenues 9-14'!F108</f>
        <v>25395</v>
      </c>
      <c r="C5587" s="2" t="s">
        <v>573</v>
      </c>
      <c r="D5587" s="2" t="str">
        <f t="shared" si="86"/>
        <v>Error?</v>
      </c>
    </row>
    <row r="5588" spans="1:4" x14ac:dyDescent="0.2">
      <c r="A5588" s="5">
        <v>5527</v>
      </c>
      <c r="B5588" s="138">
        <f>'Revenues 9-14'!F109</f>
        <v>82475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170000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170000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105837</v>
      </c>
      <c r="D5615" s="2" t="str">
        <f t="shared" si="86"/>
        <v>Error?</v>
      </c>
    </row>
    <row r="5616" spans="1:4" x14ac:dyDescent="0.2">
      <c r="A5616" s="10">
        <v>5555</v>
      </c>
      <c r="D5616" s="2" t="str">
        <f t="shared" si="86"/>
        <v>OK</v>
      </c>
    </row>
    <row r="5617" spans="1:5" x14ac:dyDescent="0.2">
      <c r="A5617" s="5">
        <v>5556</v>
      </c>
      <c r="B5617" s="138">
        <f>'Revenues 9-14'!F153</f>
        <v>38121</v>
      </c>
      <c r="D5617" s="2" t="str">
        <f t="shared" si="86"/>
        <v>Error?</v>
      </c>
    </row>
    <row r="5618" spans="1:5" x14ac:dyDescent="0.2">
      <c r="A5618" s="5">
        <v>5557</v>
      </c>
      <c r="B5618" s="138">
        <f>'Revenues 9-14'!F155</f>
        <v>143958</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143958</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313958</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84185</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84185</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84185</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84185</v>
      </c>
      <c r="C5719" s="2" t="s">
        <v>573</v>
      </c>
      <c r="D5719" s="2" t="str">
        <f t="shared" si="88"/>
        <v>Error?</v>
      </c>
    </row>
    <row r="5720" spans="1:4" x14ac:dyDescent="0.2">
      <c r="A5720" s="5">
        <v>5659</v>
      </c>
      <c r="B5720" s="138">
        <f>'Revenues 9-14'!F268</f>
        <v>480618</v>
      </c>
      <c r="C5720" s="2" t="s">
        <v>573</v>
      </c>
      <c r="D5720" s="2" t="str">
        <f t="shared" si="88"/>
        <v>Error?</v>
      </c>
    </row>
    <row r="5721" spans="1:4" x14ac:dyDescent="0.2">
      <c r="A5721" s="5">
        <v>5660</v>
      </c>
      <c r="B5721" s="138">
        <f>'Revenues 9-14'!G5</f>
        <v>70247</v>
      </c>
      <c r="D5721" s="2" t="str">
        <f t="shared" si="88"/>
        <v>Error?</v>
      </c>
    </row>
    <row r="5722" spans="1:4" x14ac:dyDescent="0.2">
      <c r="A5722" s="5">
        <v>5661</v>
      </c>
      <c r="B5722" s="138">
        <f>'Revenues 9-14'!G7</f>
        <v>0</v>
      </c>
      <c r="D5722" s="2" t="str">
        <f t="shared" si="88"/>
        <v>Error?</v>
      </c>
    </row>
    <row r="5723" spans="1:4" x14ac:dyDescent="0.2">
      <c r="A5723" s="5">
        <v>5662</v>
      </c>
      <c r="B5723" s="138">
        <f>'Revenues 9-14'!G8</f>
        <v>60199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130446</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4050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4050</v>
      </c>
      <c r="C5730" s="2" t="s">
        <v>573</v>
      </c>
      <c r="D5730" s="2" t="str">
        <f t="shared" si="88"/>
        <v>Error?</v>
      </c>
    </row>
    <row r="5731" spans="1:4" x14ac:dyDescent="0.2">
      <c r="A5731" s="5">
        <v>5670</v>
      </c>
      <c r="B5731" s="138">
        <f>'Revenues 9-14'!G65</f>
        <v>1498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1498</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135994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899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899</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2096</v>
      </c>
      <c r="D5885" s="2" t="str">
        <f t="shared" si="90"/>
        <v>Error?</v>
      </c>
    </row>
    <row r="5886" spans="1:4" x14ac:dyDescent="0.2">
      <c r="A5886" s="5">
        <v>5825</v>
      </c>
      <c r="B5886" s="138">
        <f>'Revenues 9-14'!H108</f>
        <v>113710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114609</v>
      </c>
      <c r="C5915" s="2" t="s">
        <v>573</v>
      </c>
      <c r="D5915" s="2" t="str">
        <f t="shared" si="91"/>
        <v>Error?</v>
      </c>
    </row>
    <row r="5916" spans="1:4" x14ac:dyDescent="0.2">
      <c r="A5916" s="5">
        <v>5855</v>
      </c>
      <c r="B5916" s="138">
        <f>'Revenues 9-14'!I5</f>
        <v>11771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11771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169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169</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11940</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23544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23544</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343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343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23887</v>
      </c>
      <c r="C6023" s="2" t="s">
        <v>573</v>
      </c>
      <c r="D6023" s="2" t="str">
        <f t="shared" si="93"/>
        <v>Error?</v>
      </c>
    </row>
    <row r="6024" spans="1:5" x14ac:dyDescent="0.2">
      <c r="A6024" s="5">
        <v>5963</v>
      </c>
      <c r="B6024" s="138">
        <f>'Revenues 9-14'!G109</f>
        <v>135994</v>
      </c>
      <c r="C6024" s="2" t="s">
        <v>573</v>
      </c>
      <c r="D6024" s="2" t="str">
        <f t="shared" si="93"/>
        <v>Error?</v>
      </c>
    </row>
    <row r="6025" spans="1:5" x14ac:dyDescent="0.2">
      <c r="A6025" s="5">
        <v>5964</v>
      </c>
      <c r="B6025" s="138">
        <f>'Revenues 9-14'!H109</f>
        <v>114609</v>
      </c>
      <c r="C6025" s="2" t="s">
        <v>573</v>
      </c>
      <c r="D6025" s="2" t="str">
        <f t="shared" si="93"/>
        <v>Error?</v>
      </c>
    </row>
    <row r="6026" spans="1:5" x14ac:dyDescent="0.2">
      <c r="A6026" s="5">
        <v>5965</v>
      </c>
      <c r="B6026" s="138">
        <f>'Revenues 9-14'!I109</f>
        <v>11940</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23887</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27609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12523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315.5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93120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-20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93140</v>
      </c>
      <c r="D6215" s="2" t="str">
        <f t="shared" si="96"/>
        <v>Error?</v>
      </c>
      <c r="E6215" s="2" t="s">
        <v>190</v>
      </c>
    </row>
    <row r="6216" spans="1:5" x14ac:dyDescent="0.2">
      <c r="A6216">
        <v>6155</v>
      </c>
      <c r="B6216" s="138">
        <f>'Assets-Liab 5-6'!J41</f>
        <v>93120</v>
      </c>
      <c r="D6216" s="2" t="str">
        <f t="shared" si="96"/>
        <v>Error?</v>
      </c>
      <c r="E6216" s="2" t="s">
        <v>190</v>
      </c>
    </row>
    <row r="6217" spans="1:5" x14ac:dyDescent="0.2">
      <c r="A6217">
        <v>6156</v>
      </c>
      <c r="B6217" s="138">
        <f>'Assets-Liab 5-6'!J4</f>
        <v>1659</v>
      </c>
      <c r="D6217" s="2" t="str">
        <f t="shared" si="96"/>
        <v>Error?</v>
      </c>
      <c r="E6217" s="2" t="s">
        <v>190</v>
      </c>
    </row>
    <row r="6218" spans="1:5" x14ac:dyDescent="0.2">
      <c r="A6218">
        <v>6157</v>
      </c>
      <c r="B6218" s="138">
        <f>'Assets-Liab 5-6'!J5</f>
        <v>91461</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177381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177381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177381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176977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176977</v>
      </c>
      <c r="D6229" s="2" t="str">
        <f t="shared" si="96"/>
        <v>Error?</v>
      </c>
      <c r="E6229" s="2" t="s">
        <v>190</v>
      </c>
    </row>
    <row r="6230" spans="1:5" x14ac:dyDescent="0.2">
      <c r="A6230">
        <v>6169</v>
      </c>
      <c r="B6230" s="138">
        <f>'Acct Summary 7-8'!J20</f>
        <v>404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404</v>
      </c>
      <c r="D6263" s="2" t="str">
        <f t="shared" si="96"/>
        <v>Error?</v>
      </c>
      <c r="E6263" s="2" t="s">
        <v>190</v>
      </c>
    </row>
    <row r="6264" spans="1:5" x14ac:dyDescent="0.2">
      <c r="A6264">
        <v>6203</v>
      </c>
      <c r="B6264" s="138">
        <f>'Acct Summary 7-8'!J79</f>
        <v>92735</v>
      </c>
      <c r="D6264" s="2" t="str">
        <f t="shared" si="96"/>
        <v>Error?</v>
      </c>
      <c r="E6264" s="2" t="s">
        <v>190</v>
      </c>
    </row>
    <row r="6265" spans="1:5" x14ac:dyDescent="0.2">
      <c r="A6265">
        <v>6204</v>
      </c>
      <c r="B6265" s="138">
        <f>'Acct Summary 7-8'!J80</f>
        <v>1</v>
      </c>
      <c r="D6265" s="2" t="str">
        <f t="shared" si="96"/>
        <v>Error?</v>
      </c>
      <c r="E6265" s="2" t="s">
        <v>190</v>
      </c>
    </row>
    <row r="6266" spans="1:5" x14ac:dyDescent="0.2">
      <c r="A6266">
        <v>6205</v>
      </c>
      <c r="B6266" s="138">
        <f>'Acct Summary 7-8'!J81</f>
        <v>93140</v>
      </c>
      <c r="D6266" s="2" t="str">
        <f t="shared" si="96"/>
        <v>Error?</v>
      </c>
      <c r="E6266" s="2" t="s">
        <v>190</v>
      </c>
    </row>
    <row r="6267" spans="1:5" x14ac:dyDescent="0.2">
      <c r="A6267">
        <v>6206</v>
      </c>
      <c r="B6267" s="138">
        <f>'Acct Summary 7-8'!C82</f>
        <v>206622</v>
      </c>
      <c r="D6267" s="2" t="str">
        <f t="shared" si="96"/>
        <v>Error?</v>
      </c>
      <c r="E6267" s="2" t="s">
        <v>190</v>
      </c>
    </row>
    <row r="6268" spans="1:5" x14ac:dyDescent="0.2">
      <c r="A6268">
        <v>6207</v>
      </c>
      <c r="B6268" s="138">
        <f>'Acct Summary 7-8'!D82</f>
        <v>145630</v>
      </c>
      <c r="D6268" s="2" t="str">
        <f t="shared" si="96"/>
        <v>Error?</v>
      </c>
      <c r="E6268" s="2" t="s">
        <v>190</v>
      </c>
    </row>
    <row r="6269" spans="1:5" x14ac:dyDescent="0.2">
      <c r="A6269">
        <v>6208</v>
      </c>
      <c r="B6269" s="138">
        <f>'Acct Summary 7-8'!E82</f>
        <v>-254</v>
      </c>
      <c r="D6269" s="2" t="str">
        <f t="shared" si="96"/>
        <v>Error?</v>
      </c>
      <c r="E6269" s="2" t="s">
        <v>190</v>
      </c>
    </row>
    <row r="6270" spans="1:5" x14ac:dyDescent="0.2">
      <c r="A6270">
        <v>6209</v>
      </c>
      <c r="B6270" s="138">
        <f>'Acct Summary 7-8'!F82</f>
        <v>185431</v>
      </c>
      <c r="D6270" s="2" t="str">
        <f t="shared" si="96"/>
        <v>Error?</v>
      </c>
      <c r="E6270" s="2" t="s">
        <v>190</v>
      </c>
    </row>
    <row r="6271" spans="1:5" x14ac:dyDescent="0.2">
      <c r="A6271">
        <v>6210</v>
      </c>
      <c r="B6271" s="138">
        <f>'Acct Summary 7-8'!G82</f>
        <v>13078</v>
      </c>
      <c r="D6271" s="2" t="str">
        <f t="shared" ref="D6271:D6334" si="97">IF(ISBLANK(B6271),"OK",IF(A6271-B6271=0,"OK","Error?"))</f>
        <v>Error?</v>
      </c>
      <c r="E6271" s="2" t="s">
        <v>190</v>
      </c>
    </row>
    <row r="6272" spans="1:5" x14ac:dyDescent="0.2">
      <c r="A6272">
        <v>6211</v>
      </c>
      <c r="B6272" s="138">
        <f>'Acct Summary 7-8'!H82</f>
        <v>4198</v>
      </c>
      <c r="D6272" s="2" t="str">
        <f t="shared" si="97"/>
        <v>Error?</v>
      </c>
      <c r="E6272" s="2" t="s">
        <v>190</v>
      </c>
    </row>
    <row r="6273" spans="1:5" x14ac:dyDescent="0.2">
      <c r="A6273">
        <v>6212</v>
      </c>
      <c r="B6273" s="138">
        <f>'Acct Summary 7-8'!I82</f>
        <v>-33060</v>
      </c>
      <c r="D6273" s="2" t="str">
        <f t="shared" si="97"/>
        <v>Error?</v>
      </c>
      <c r="E6273" s="2" t="s">
        <v>190</v>
      </c>
    </row>
    <row r="6274" spans="1:5" x14ac:dyDescent="0.2">
      <c r="A6274">
        <v>6213</v>
      </c>
      <c r="B6274" s="138">
        <f>'Acct Summary 7-8'!J82</f>
        <v>405</v>
      </c>
      <c r="D6274" s="2" t="str">
        <f t="shared" si="97"/>
        <v>Error?</v>
      </c>
      <c r="E6274" s="2" t="s">
        <v>190</v>
      </c>
    </row>
    <row r="6275" spans="1:5" x14ac:dyDescent="0.2">
      <c r="A6275">
        <v>6214</v>
      </c>
      <c r="B6275" s="138">
        <f>'Acct Summary 7-8'!K82</f>
        <v>23887</v>
      </c>
      <c r="D6275" s="2" t="str">
        <f t="shared" si="97"/>
        <v>Error?</v>
      </c>
      <c r="E6275" s="2" t="s">
        <v>190</v>
      </c>
    </row>
    <row r="6276" spans="1:5" x14ac:dyDescent="0.2">
      <c r="A6276">
        <v>6215</v>
      </c>
      <c r="B6276" s="138">
        <f>'Acct Summary 7-8'!C83</f>
        <v>0.10809891724250503</v>
      </c>
      <c r="D6276" s="2" t="str">
        <f t="shared" si="97"/>
        <v>Error?</v>
      </c>
      <c r="E6276" s="2" t="s">
        <v>190</v>
      </c>
    </row>
    <row r="6277" spans="1:5" x14ac:dyDescent="0.2">
      <c r="A6277">
        <v>6216</v>
      </c>
      <c r="B6277" s="138">
        <f>'Acct Summary 7-8'!D83</f>
        <v>0.82247097094835764</v>
      </c>
      <c r="D6277" s="2" t="str">
        <f t="shared" si="97"/>
        <v>Error?</v>
      </c>
      <c r="E6277" s="2" t="s">
        <v>190</v>
      </c>
    </row>
    <row r="6278" spans="1:5" x14ac:dyDescent="0.2">
      <c r="A6278">
        <v>6217</v>
      </c>
      <c r="B6278" s="138">
        <f>'Acct Summary 7-8'!E83</f>
        <v>-1.8052594171997158E-2</v>
      </c>
      <c r="D6278" s="2" t="str">
        <f t="shared" si="97"/>
        <v>Error?</v>
      </c>
      <c r="E6278" s="2" t="s">
        <v>190</v>
      </c>
    </row>
    <row r="6279" spans="1:5" x14ac:dyDescent="0.2">
      <c r="A6279">
        <v>6218</v>
      </c>
      <c r="B6279" s="138">
        <f>'Acct Summary 7-8'!F83</f>
        <v>0.55725649648241815</v>
      </c>
      <c r="D6279" s="2" t="str">
        <f t="shared" si="97"/>
        <v>Error?</v>
      </c>
      <c r="E6279" s="2" t="s">
        <v>190</v>
      </c>
    </row>
    <row r="6280" spans="1:5" x14ac:dyDescent="0.2">
      <c r="A6280">
        <v>6219</v>
      </c>
      <c r="B6280" s="138">
        <f>'Acct Summary 7-8'!G83</f>
        <v>5.6766341266499695E-2</v>
      </c>
      <c r="D6280" s="2" t="str">
        <f t="shared" si="97"/>
        <v>Error?</v>
      </c>
      <c r="E6280" s="2" t="s">
        <v>190</v>
      </c>
    </row>
    <row r="6281" spans="1:5" x14ac:dyDescent="0.2">
      <c r="A6281">
        <v>6220</v>
      </c>
      <c r="B6281" s="138">
        <f>'Acct Summary 7-8'!H83</f>
        <v>2.2861561752901261E-2</v>
      </c>
      <c r="D6281" s="2" t="str">
        <f t="shared" si="97"/>
        <v>Error?</v>
      </c>
      <c r="E6281" s="2" t="s">
        <v>190</v>
      </c>
    </row>
    <row r="6282" spans="1:5" x14ac:dyDescent="0.2">
      <c r="A6282">
        <v>6221</v>
      </c>
      <c r="B6282" s="138">
        <f>'Acct Summary 7-8'!I83</f>
        <v>-1.1671256089811481</v>
      </c>
      <c r="D6282" s="2" t="str">
        <f t="shared" si="97"/>
        <v>Error?</v>
      </c>
      <c r="E6282" s="2" t="s">
        <v>190</v>
      </c>
    </row>
    <row r="6283" spans="1:5" x14ac:dyDescent="0.2">
      <c r="A6283">
        <v>6222</v>
      </c>
      <c r="B6283" s="138">
        <f>'Acct Summary 7-8'!J83</f>
        <v>4.348292892420013E-3</v>
      </c>
      <c r="D6283" s="2" t="str">
        <f t="shared" si="97"/>
        <v>Error?</v>
      </c>
      <c r="E6283" s="2" t="s">
        <v>190</v>
      </c>
    </row>
    <row r="6284" spans="1:5" x14ac:dyDescent="0.2">
      <c r="A6284">
        <v>6223</v>
      </c>
      <c r="B6284" s="138">
        <f>'Acct Summary 7-8'!K83</f>
        <v>0.31298480083857444</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174553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174553</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461</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461</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3600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2367</v>
      </c>
      <c r="D6350" s="2" t="str">
        <f t="shared" si="98"/>
        <v>Error?</v>
      </c>
      <c r="E6350" s="2" t="s">
        <v>190</v>
      </c>
    </row>
    <row r="6351" spans="1:5" x14ac:dyDescent="0.2">
      <c r="A6351">
        <v>6290</v>
      </c>
      <c r="B6351" s="138">
        <f>'Revenues 9-14'!J108</f>
        <v>2367</v>
      </c>
      <c r="D6351" s="2" t="str">
        <f t="shared" si="98"/>
        <v>Error?</v>
      </c>
      <c r="E6351" s="2" t="s">
        <v>190</v>
      </c>
    </row>
    <row r="6352" spans="1:5" x14ac:dyDescent="0.2">
      <c r="A6352">
        <v>6291</v>
      </c>
      <c r="B6352" s="138">
        <f>'Revenues 9-14'!J109</f>
        <v>177381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7475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49630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18032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1226</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1226</v>
      </c>
      <c r="D7010" s="2" t="str">
        <f t="shared" si="108"/>
        <v>Error?</v>
      </c>
    </row>
    <row r="7011" spans="1:4" x14ac:dyDescent="0.2">
      <c r="A7011">
        <v>6950</v>
      </c>
      <c r="B7011" s="138">
        <f>'Expenditures 15-22'!E100</f>
        <v>1226</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1226</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176977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177381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619</v>
      </c>
      <c r="D7075" s="2" t="str">
        <f t="shared" si="109"/>
        <v>Error?</v>
      </c>
    </row>
    <row r="7076" spans="1:4" x14ac:dyDescent="0.2">
      <c r="A7076">
        <v>7015</v>
      </c>
      <c r="B7076" s="138">
        <f>'Expenditures 15-22'!K218</f>
        <v>619</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196</v>
      </c>
      <c r="D7079" s="2" t="str">
        <f t="shared" si="109"/>
        <v>Error?</v>
      </c>
    </row>
    <row r="7080" spans="1:4" x14ac:dyDescent="0.2">
      <c r="A7080">
        <v>7019</v>
      </c>
      <c r="B7080" s="138">
        <f>'Expenditures 15-22'!K226</f>
        <v>196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5695</v>
      </c>
      <c r="D7093" s="2" t="str">
        <f t="shared" si="109"/>
        <v>Error?</v>
      </c>
    </row>
    <row r="7094" spans="1:4" x14ac:dyDescent="0.2">
      <c r="A7094">
        <v>7033</v>
      </c>
      <c r="B7094" s="138">
        <f>'Expenditures 15-22'!K254</f>
        <v>5695</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24668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24668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19033</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19033</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66316</v>
      </c>
      <c r="D7172" s="2" t="str">
        <f t="shared" si="111"/>
        <v>Error?</v>
      </c>
    </row>
    <row r="7173" spans="1:4" x14ac:dyDescent="0.2">
      <c r="A7173">
        <v>7112</v>
      </c>
      <c r="B7173" s="138">
        <f>'Expenditures 15-22'!D325</f>
        <v>15015</v>
      </c>
      <c r="D7173" s="2" t="str">
        <f t="shared" si="111"/>
        <v>Error?</v>
      </c>
    </row>
    <row r="7174" spans="1:4" x14ac:dyDescent="0.2">
      <c r="A7174">
        <v>7113</v>
      </c>
      <c r="B7174" s="138">
        <f>'Expenditures 15-22'!E325</f>
        <v>3180</v>
      </c>
      <c r="D7174" s="2" t="str">
        <f t="shared" si="111"/>
        <v>Error?</v>
      </c>
    </row>
    <row r="7175" spans="1:4" x14ac:dyDescent="0.2">
      <c r="A7175">
        <v>7114</v>
      </c>
      <c r="B7175" s="138">
        <f>'Expenditures 15-22'!F325</f>
        <v>1279</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85790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5166</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5166</v>
      </c>
      <c r="D7198" s="2" t="str">
        <f t="shared" si="111"/>
        <v>Error?</v>
      </c>
    </row>
    <row r="7199" spans="1:4" x14ac:dyDescent="0.2">
      <c r="A7199">
        <v>7138</v>
      </c>
      <c r="B7199" s="138">
        <f>'Expenditures 15-22'!C330</f>
        <v>66316</v>
      </c>
      <c r="D7199" s="2" t="str">
        <f t="shared" si="111"/>
        <v>Error?</v>
      </c>
    </row>
    <row r="7200" spans="1:4" x14ac:dyDescent="0.2">
      <c r="A7200">
        <v>7139</v>
      </c>
      <c r="B7200" s="138">
        <f>'Expenditures 15-22'!D330</f>
        <v>15015</v>
      </c>
      <c r="D7200" s="2" t="str">
        <f t="shared" si="111"/>
        <v>Error?</v>
      </c>
    </row>
    <row r="7201" spans="1:4" x14ac:dyDescent="0.2">
      <c r="A7201">
        <v>7140</v>
      </c>
      <c r="B7201" s="138">
        <f>'Expenditures 15-22'!E330</f>
        <v>94367</v>
      </c>
      <c r="D7201" s="2" t="str">
        <f t="shared" si="111"/>
        <v>Error?</v>
      </c>
    </row>
    <row r="7202" spans="1:4" x14ac:dyDescent="0.2">
      <c r="A7202">
        <v>7141</v>
      </c>
      <c r="B7202" s="138">
        <f>'Expenditures 15-22'!F330</f>
        <v>1279</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176977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66316</v>
      </c>
      <c r="D7216" s="2" t="str">
        <f t="shared" si="111"/>
        <v>Error?</v>
      </c>
    </row>
    <row r="7217" spans="1:4" x14ac:dyDescent="0.2">
      <c r="A7217">
        <v>7156</v>
      </c>
      <c r="B7217" s="138">
        <f>'Expenditures 15-22'!D342</f>
        <v>15015</v>
      </c>
      <c r="D7217" s="2" t="str">
        <f t="shared" si="111"/>
        <v>Error?</v>
      </c>
    </row>
    <row r="7218" spans="1:4" x14ac:dyDescent="0.2">
      <c r="A7218">
        <v>7157</v>
      </c>
      <c r="B7218" s="138">
        <f>'Expenditures 15-22'!E342</f>
        <v>94367</v>
      </c>
      <c r="D7218" s="2" t="str">
        <f t="shared" si="111"/>
        <v>Error?</v>
      </c>
    </row>
    <row r="7219" spans="1:4" x14ac:dyDescent="0.2">
      <c r="A7219">
        <v>7158</v>
      </c>
      <c r="B7219" s="138">
        <f>'Expenditures 15-22'!F342</f>
        <v>1279</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176977</v>
      </c>
      <c r="D7224" s="2" t="str">
        <f t="shared" si="111"/>
        <v>Error?</v>
      </c>
    </row>
    <row r="7225" spans="1:4" x14ac:dyDescent="0.2">
      <c r="A7225">
        <v>7164</v>
      </c>
      <c r="B7225" s="138">
        <f>'Expenditures 15-22'!K343</f>
        <v>404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42683</v>
      </c>
      <c r="D7251" s="2" t="str">
        <f t="shared" si="112"/>
        <v>Error?</v>
      </c>
    </row>
    <row r="7252" spans="1:4" x14ac:dyDescent="0.2">
      <c r="A7252">
        <f t="shared" si="113"/>
        <v>7191</v>
      </c>
      <c r="B7252" s="138">
        <f>'Expenditures 15-22'!D9</f>
        <v>5629</v>
      </c>
      <c r="D7252" s="2" t="str">
        <f t="shared" si="112"/>
        <v>Error?</v>
      </c>
    </row>
    <row r="7253" spans="1:4" x14ac:dyDescent="0.2">
      <c r="A7253">
        <f t="shared" si="113"/>
        <v>7192</v>
      </c>
      <c r="B7253" s="138">
        <f>'Expenditures 15-22'!E9</f>
        <v>44</v>
      </c>
      <c r="D7253" s="2" t="str">
        <f t="shared" si="112"/>
        <v>Error?</v>
      </c>
    </row>
    <row r="7254" spans="1:4" x14ac:dyDescent="0.2">
      <c r="A7254">
        <f t="shared" si="113"/>
        <v>7193</v>
      </c>
      <c r="B7254" s="138">
        <f>'Expenditures 15-22'!F9</f>
        <v>1274</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13552</v>
      </c>
      <c r="D7263" s="2" t="str">
        <f t="shared" si="112"/>
        <v>Error?</v>
      </c>
    </row>
    <row r="7264" spans="1:4" x14ac:dyDescent="0.2">
      <c r="A7264">
        <f t="shared" si="113"/>
        <v>7203</v>
      </c>
      <c r="B7264" s="138">
        <f>'Expenditures 15-22'!D17</f>
        <v>4230</v>
      </c>
      <c r="D7264" s="2" t="str">
        <f t="shared" si="112"/>
        <v>Error?</v>
      </c>
    </row>
    <row r="7265" spans="1:5" x14ac:dyDescent="0.2">
      <c r="A7265">
        <f t="shared" si="113"/>
        <v>7204</v>
      </c>
      <c r="B7265" s="138">
        <f>'Expenditures 15-22'!E17</f>
        <v>170</v>
      </c>
      <c r="D7265" s="2" t="str">
        <f t="shared" si="112"/>
        <v>Error?</v>
      </c>
    </row>
    <row r="7266" spans="1:5" x14ac:dyDescent="0.2">
      <c r="A7266">
        <f t="shared" si="113"/>
        <v>7205</v>
      </c>
      <c r="B7266" s="138">
        <f>'Expenditures 15-22'!F17</f>
        <v>80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143445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42320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42320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179427</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899</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3600</v>
      </c>
      <c r="D7712" s="2" t="str">
        <f t="shared" si="126"/>
        <v>Error?</v>
      </c>
      <c r="E7712" s="2" t="s">
        <v>827</v>
      </c>
    </row>
    <row r="7713" spans="1:6" x14ac:dyDescent="0.2">
      <c r="A7713">
        <v>7652</v>
      </c>
      <c r="B7713" s="138">
        <f>'Rest Tax Levies-Tort Im 25'!J8</f>
        <v>111614</v>
      </c>
      <c r="D7713" s="2" t="str">
        <f t="shared" si="126"/>
        <v>Error?</v>
      </c>
      <c r="E7713" s="2" t="s">
        <v>827</v>
      </c>
    </row>
    <row r="7714" spans="1:6" x14ac:dyDescent="0.2">
      <c r="A7714">
        <v>7653</v>
      </c>
      <c r="B7714" s="138">
        <f>'Rest Tax Levies-Tort Im 25'!K9</f>
        <v>5986</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112513</v>
      </c>
      <c r="D7718" s="2" t="str">
        <f t="shared" si="126"/>
        <v>Error?</v>
      </c>
      <c r="E7718" s="2" t="s">
        <v>827</v>
      </c>
    </row>
    <row r="7719" spans="1:6" x14ac:dyDescent="0.2">
      <c r="A7719">
        <v>7658</v>
      </c>
      <c r="B7719" s="138">
        <f>'Rest Tax Levies-Tort Im 25'!K12</f>
        <v>9586</v>
      </c>
      <c r="D7719" s="2" t="str">
        <f t="shared" si="126"/>
        <v>Error?</v>
      </c>
      <c r="E7719" s="2" t="s">
        <v>827</v>
      </c>
    </row>
    <row r="7720" spans="1:6" x14ac:dyDescent="0.2">
      <c r="A7720">
        <v>7659</v>
      </c>
      <c r="B7720" s="138">
        <f>'Rest Tax Levies-Tort Im 25'!H14</f>
        <v>9417</v>
      </c>
      <c r="D7720" s="2" t="str">
        <f t="shared" si="126"/>
        <v>Error?</v>
      </c>
      <c r="E7720" s="2" t="s">
        <v>827</v>
      </c>
    </row>
    <row r="7721" spans="1:6" x14ac:dyDescent="0.2">
      <c r="A7721">
        <v>7660</v>
      </c>
      <c r="B7721" s="138">
        <f>'Rest Tax Levies-Tort Im 25'!K14</f>
        <v>9586</v>
      </c>
      <c r="D7721" s="2" t="str">
        <f t="shared" si="126"/>
        <v>Error?</v>
      </c>
      <c r="E7721" s="2" t="s">
        <v>827</v>
      </c>
    </row>
    <row r="7722" spans="1:6" x14ac:dyDescent="0.2">
      <c r="A7722">
        <v>7661</v>
      </c>
      <c r="B7722" s="138">
        <f>'Rest Tax Levies-Tort Im 25'!J15</f>
        <v>110412</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110412</v>
      </c>
      <c r="D7730" s="2" t="str">
        <f t="shared" si="126"/>
        <v>Error?</v>
      </c>
      <c r="E7730" s="2" t="s">
        <v>827</v>
      </c>
    </row>
    <row r="7731" spans="1:6" x14ac:dyDescent="0.2">
      <c r="A7731">
        <v>7670</v>
      </c>
      <c r="B7731" s="138">
        <f>'Revenues 9-14'!H103</f>
        <v>111614</v>
      </c>
      <c r="D7731" s="2" t="str">
        <f t="shared" si="126"/>
        <v>Error?</v>
      </c>
      <c r="E7731" s="2" t="s">
        <v>827</v>
      </c>
    </row>
    <row r="7732" spans="1:6" x14ac:dyDescent="0.2">
      <c r="A7732">
        <v>7671</v>
      </c>
      <c r="B7732" s="138">
        <f>'Rest Tax Levies-Tort Im 25'!J24</f>
        <v>181528</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180629</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899</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45000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151506</v>
      </c>
      <c r="D7797" s="2" t="str">
        <f t="shared" si="127"/>
        <v>Error?</v>
      </c>
      <c r="E7797" s="4" t="s">
        <v>1904</v>
      </c>
    </row>
    <row r="7798" spans="1:5" x14ac:dyDescent="0.2">
      <c r="A7798">
        <v>7737</v>
      </c>
      <c r="B7798" s="138">
        <f>'Contracts Paid in CY 29'!F141</f>
        <v>133798</v>
      </c>
      <c r="D7798" s="2" t="str">
        <f t="shared" si="127"/>
        <v>Error?</v>
      </c>
      <c r="E7798" s="4" t="s">
        <v>1904</v>
      </c>
    </row>
    <row r="7799" spans="1:5" x14ac:dyDescent="0.2">
      <c r="A7799">
        <v>7738</v>
      </c>
      <c r="B7799" s="138">
        <f>'Contracts Paid in CY 29'!G141</f>
        <v>17708</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04" t="s">
        <v>1191</v>
      </c>
      <c r="B2" s="2404"/>
      <c r="C2" s="2404"/>
      <c r="D2" s="2404"/>
      <c r="E2" s="2404"/>
      <c r="F2" s="2404"/>
      <c r="G2" s="2404"/>
      <c r="H2" s="2404"/>
      <c r="I2" s="2404"/>
      <c r="J2" s="2404"/>
      <c r="K2" s="2404"/>
      <c r="L2" s="2404"/>
    </row>
    <row r="3" spans="1:29" ht="13.5" customHeight="1" x14ac:dyDescent="0.2">
      <c r="A3" s="2390" t="s">
        <v>1190</v>
      </c>
      <c r="B3" s="2390"/>
      <c r="C3" s="2390"/>
      <c r="D3" s="2390"/>
      <c r="E3" s="2390"/>
      <c r="F3" s="2390"/>
      <c r="G3" s="2390"/>
      <c r="H3" s="2390"/>
      <c r="I3" s="2390"/>
      <c r="J3" s="2390"/>
      <c r="K3" s="2390"/>
      <c r="L3" s="2390"/>
    </row>
    <row r="4" spans="1:29" ht="13.5" customHeight="1" x14ac:dyDescent="0.2">
      <c r="A4" s="2404" t="s">
        <v>1989</v>
      </c>
      <c r="B4" s="2421"/>
      <c r="C4" s="2421"/>
      <c r="D4" s="2421"/>
      <c r="E4" s="2421"/>
      <c r="F4" s="2421"/>
      <c r="G4" s="2421"/>
      <c r="H4" s="2421"/>
      <c r="I4" s="2421"/>
      <c r="J4" s="2421"/>
      <c r="K4" s="2421"/>
      <c r="L4" s="2421"/>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7" customHeight="1" x14ac:dyDescent="0.2">
      <c r="A7" s="2384" t="str">
        <f>COVER!A17</f>
        <v>Cowden-Herrick CUSD 3A</v>
      </c>
      <c r="B7" s="2385"/>
      <c r="C7" s="2385"/>
      <c r="D7" s="2422"/>
      <c r="E7" s="2423" t="str">
        <f>COVER!A13</f>
        <v>11087003A26</v>
      </c>
      <c r="F7" s="2424"/>
      <c r="G7" s="2391" t="str">
        <f>COVER!T23</f>
        <v>066-005286</v>
      </c>
      <c r="H7" s="2392"/>
      <c r="I7" s="2392"/>
      <c r="J7" s="2392"/>
      <c r="K7" s="2392"/>
      <c r="L7" s="2393"/>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394"/>
      <c r="B9" s="2395"/>
      <c r="C9" s="2395"/>
      <c r="D9" s="2395"/>
      <c r="E9" s="2395"/>
      <c r="F9" s="2396"/>
      <c r="G9" s="2397" t="str">
        <f>COVER!T13</f>
        <v>McGuire, Yuhas, Huffman &amp; Buckley, P.C.</v>
      </c>
      <c r="H9" s="2398"/>
      <c r="I9" s="2398"/>
      <c r="J9" s="2398"/>
      <c r="K9" s="2398"/>
      <c r="L9" s="2399"/>
    </row>
    <row r="10" spans="1:29" ht="13.5" customHeight="1" x14ac:dyDescent="0.2">
      <c r="A10" s="2381" t="str">
        <f>COVER!A38</f>
        <v>Seth Schuler</v>
      </c>
      <c r="B10" s="2382"/>
      <c r="C10" s="2382"/>
      <c r="D10" s="2382"/>
      <c r="E10" s="2382"/>
      <c r="F10" s="2383"/>
      <c r="G10" s="2397" t="str">
        <f>COVER!T17</f>
        <v>334 W. Eldorado St.</v>
      </c>
      <c r="H10" s="2410"/>
      <c r="I10" s="2410"/>
      <c r="J10" s="2410"/>
      <c r="K10" s="2410"/>
      <c r="L10" s="2411"/>
    </row>
    <row r="11" spans="1:29" ht="13.5" customHeight="1" x14ac:dyDescent="0.2">
      <c r="A11" s="1183" t="s">
        <v>1519</v>
      </c>
      <c r="B11" s="1184"/>
      <c r="C11" s="1185"/>
      <c r="D11" s="1190"/>
      <c r="E11" s="1185"/>
      <c r="F11" s="1189"/>
      <c r="G11" s="2397" t="str">
        <f>COVER!T19</f>
        <v>Decatur</v>
      </c>
      <c r="H11" s="2410"/>
      <c r="I11" s="2410"/>
      <c r="J11" s="2410"/>
      <c r="K11" s="2410"/>
      <c r="L11" s="2411"/>
    </row>
    <row r="12" spans="1:29" ht="13.5" customHeight="1" x14ac:dyDescent="0.2">
      <c r="A12" s="2415" t="s">
        <v>1518</v>
      </c>
      <c r="B12" s="2416"/>
      <c r="C12" s="2416"/>
      <c r="D12" s="2416"/>
      <c r="E12" s="2416"/>
      <c r="F12" s="2417"/>
      <c r="G12" s="2412"/>
      <c r="H12" s="2413"/>
      <c r="I12" s="2413"/>
      <c r="J12" s="2413"/>
      <c r="K12" s="2413"/>
      <c r="L12" s="2414"/>
    </row>
    <row r="13" spans="1:29" ht="13.5" customHeight="1" x14ac:dyDescent="0.2">
      <c r="A13" s="2397"/>
      <c r="B13" s="2410"/>
      <c r="C13" s="2410"/>
      <c r="D13" s="2410"/>
      <c r="E13" s="2410"/>
      <c r="F13" s="2411"/>
      <c r="G13" s="2405" t="s">
        <v>1520</v>
      </c>
      <c r="H13" s="2406"/>
      <c r="I13" s="2418" t="str">
        <f>COVER!T25</f>
        <v>kbuckley@myhbcpa.com</v>
      </c>
      <c r="J13" s="2419"/>
      <c r="K13" s="2419"/>
      <c r="L13" s="2420"/>
    </row>
    <row r="14" spans="1:29" ht="13.5" customHeight="1" x14ac:dyDescent="0.2">
      <c r="A14" s="2397" t="str">
        <f>COVER!A19</f>
        <v>633 County Highway 22</v>
      </c>
      <c r="B14" s="2410"/>
      <c r="C14" s="2410"/>
      <c r="D14" s="2410"/>
      <c r="E14" s="2410"/>
      <c r="F14" s="2411"/>
      <c r="G14" s="1194" t="s">
        <v>1185</v>
      </c>
      <c r="H14" s="1192"/>
      <c r="I14" s="1192"/>
      <c r="J14" s="1192"/>
      <c r="K14" s="1192"/>
      <c r="L14" s="1193"/>
    </row>
    <row r="15" spans="1:29" ht="13.5" customHeight="1" x14ac:dyDescent="0.2">
      <c r="A15" s="2397" t="str">
        <f>COVER!A21</f>
        <v xml:space="preserve">Cowden </v>
      </c>
      <c r="B15" s="2410"/>
      <c r="C15" s="2410"/>
      <c r="D15" s="2410"/>
      <c r="E15" s="2410"/>
      <c r="F15" s="2411"/>
      <c r="G15" s="2407" t="str">
        <f>COVER!T15</f>
        <v>Kevin Buckley</v>
      </c>
      <c r="H15" s="2408"/>
      <c r="I15" s="2408"/>
      <c r="J15" s="2408"/>
      <c r="K15" s="2408"/>
      <c r="L15" s="2409"/>
    </row>
    <row r="16" spans="1:29" ht="12.4" customHeight="1" x14ac:dyDescent="0.2">
      <c r="A16" s="2387">
        <f>COVER!A25</f>
        <v>62422</v>
      </c>
      <c r="B16" s="2388"/>
      <c r="C16" s="2388"/>
      <c r="D16" s="2388"/>
      <c r="E16" s="2388"/>
      <c r="F16" s="2389"/>
      <c r="G16" s="2400"/>
      <c r="H16" s="2401"/>
      <c r="I16" s="2401"/>
      <c r="J16" s="2401"/>
      <c r="K16" s="2401"/>
      <c r="L16" s="2402"/>
    </row>
    <row r="17" spans="1:13" ht="12.4" customHeight="1" x14ac:dyDescent="0.2">
      <c r="A17" s="2403"/>
      <c r="B17" s="2388"/>
      <c r="C17" s="2388"/>
      <c r="D17" s="2388"/>
      <c r="E17" s="2388"/>
      <c r="F17" s="2389"/>
      <c r="G17" s="1194" t="s">
        <v>1184</v>
      </c>
      <c r="H17" s="1192"/>
      <c r="I17" s="1192"/>
      <c r="J17" s="1192"/>
      <c r="K17" s="1196" t="s">
        <v>1183</v>
      </c>
      <c r="L17" s="1189"/>
      <c r="M17" s="1182"/>
    </row>
    <row r="18" spans="1:13" ht="12.4" customHeight="1" x14ac:dyDescent="0.2">
      <c r="A18" s="2381"/>
      <c r="B18" s="2382"/>
      <c r="C18" s="2382"/>
      <c r="D18" s="2382"/>
      <c r="E18" s="2382"/>
      <c r="F18" s="2383"/>
      <c r="G18" s="2384" t="str">
        <f>COVER!T21</f>
        <v>217-428-2127</v>
      </c>
      <c r="H18" s="2385"/>
      <c r="I18" s="2385"/>
      <c r="J18" s="2385"/>
      <c r="K18" s="2384" t="str">
        <f>COVER!X21</f>
        <v>217-428-5915</v>
      </c>
      <c r="L18" s="2386"/>
    </row>
    <row r="19" spans="1:13" ht="12.4" customHeight="1" x14ac:dyDescent="0.2">
      <c r="A19" s="1197"/>
      <c r="C19" s="1197"/>
      <c r="D19" s="1197"/>
      <c r="E19" s="1197"/>
      <c r="F19" s="1197"/>
      <c r="G19" s="1197"/>
      <c r="H19" s="1197"/>
      <c r="I19" s="1197"/>
      <c r="J19" s="1197"/>
      <c r="K19" s="1197"/>
      <c r="L19" s="1197"/>
    </row>
    <row r="20" spans="1:13" ht="12.4" customHeight="1" x14ac:dyDescent="0.2">
      <c r="A20" s="1197"/>
      <c r="C20" s="1197"/>
      <c r="D20" s="1197"/>
      <c r="E20" s="1197"/>
      <c r="F20" s="1197"/>
      <c r="G20" s="1197"/>
      <c r="H20" s="1197"/>
      <c r="I20" s="1197"/>
      <c r="J20" s="1197" t="s">
        <v>1169</v>
      </c>
      <c r="K20" s="1175" t="s">
        <v>1169</v>
      </c>
    </row>
    <row r="21" spans="1:13" ht="12.4" customHeight="1" x14ac:dyDescent="0.2">
      <c r="A21" s="1198" t="s">
        <v>1698</v>
      </c>
    </row>
    <row r="22" spans="1:13" ht="12.4" customHeight="1" x14ac:dyDescent="0.2">
      <c r="A22" s="1199"/>
    </row>
    <row r="23" spans="1:13" ht="12.4" customHeight="1" x14ac:dyDescent="0.2">
      <c r="A23" s="1199"/>
      <c r="B23" s="1200"/>
      <c r="C23" s="1201" t="s">
        <v>1182</v>
      </c>
    </row>
    <row r="24" spans="1:13" ht="10.15" customHeight="1" x14ac:dyDescent="0.2">
      <c r="A24" s="1199"/>
      <c r="C24" s="1201" t="s">
        <v>1181</v>
      </c>
    </row>
    <row r="25" spans="1:13" ht="9.1999999999999993" customHeight="1" x14ac:dyDescent="0.2">
      <c r="B25" s="1202" t="s">
        <v>1169</v>
      </c>
      <c r="C25" s="1203"/>
    </row>
    <row r="26" spans="1:13" s="1197" customFormat="1" ht="12.4" customHeight="1" x14ac:dyDescent="0.2">
      <c r="B26" s="1200"/>
      <c r="C26" s="1201" t="s">
        <v>1699</v>
      </c>
    </row>
    <row r="27" spans="1:13" s="1197" customFormat="1" ht="9.1999999999999993" customHeight="1" x14ac:dyDescent="0.2">
      <c r="B27" s="1202"/>
      <c r="C27" s="1201"/>
    </row>
    <row r="28" spans="1:13" s="1197" customFormat="1" ht="12.4" customHeight="1" x14ac:dyDescent="0.2">
      <c r="A28" s="1204"/>
      <c r="B28" s="1200"/>
      <c r="C28" s="1201" t="s">
        <v>1700</v>
      </c>
    </row>
    <row r="29" spans="1:13" s="1197" customFormat="1" ht="9.1999999999999993" customHeight="1" x14ac:dyDescent="0.2">
      <c r="A29" s="1204"/>
      <c r="B29" s="1202"/>
      <c r="C29" s="1201"/>
    </row>
    <row r="30" spans="1:13" s="1197" customFormat="1" ht="12.4" customHeight="1" x14ac:dyDescent="0.2">
      <c r="B30" s="1200"/>
      <c r="C30" s="1201" t="s">
        <v>1562</v>
      </c>
      <c r="D30" s="1195"/>
      <c r="E30" s="1195"/>
    </row>
    <row r="31" spans="1:13" s="1197" customFormat="1" ht="9.1999999999999993" customHeight="1" x14ac:dyDescent="0.2">
      <c r="B31" s="1202"/>
      <c r="C31" s="1201"/>
      <c r="D31" s="1195"/>
      <c r="E31" s="1195"/>
    </row>
    <row r="32" spans="1:13" s="1197" customFormat="1" ht="12.4" customHeight="1" x14ac:dyDescent="0.2">
      <c r="B32" s="1200"/>
      <c r="C32" s="1201" t="s">
        <v>1563</v>
      </c>
      <c r="D32" s="1195"/>
      <c r="E32" s="1195"/>
    </row>
    <row r="33" spans="1:8" s="1197" customFormat="1" ht="10.9" customHeight="1" x14ac:dyDescent="0.2">
      <c r="B33" s="1202"/>
      <c r="C33" s="1205" t="s">
        <v>1701</v>
      </c>
      <c r="D33" s="1195"/>
      <c r="E33" s="1195"/>
    </row>
    <row r="34" spans="1:8" ht="9.1999999999999993" customHeight="1" x14ac:dyDescent="0.2">
      <c r="B34" s="1202"/>
      <c r="C34" s="1205"/>
    </row>
    <row r="35" spans="1:8" s="1197" customFormat="1" ht="13.5" customHeight="1" x14ac:dyDescent="0.2">
      <c r="B35" s="1200"/>
      <c r="C35" s="1201" t="s">
        <v>1564</v>
      </c>
    </row>
    <row r="36" spans="1:8" s="1197" customFormat="1" ht="10.9" customHeight="1" x14ac:dyDescent="0.2">
      <c r="B36" s="1202"/>
      <c r="C36" s="1205" t="s">
        <v>1565</v>
      </c>
    </row>
    <row r="37" spans="1:8" ht="9.1999999999999993" customHeight="1" x14ac:dyDescent="0.2">
      <c r="B37" s="1202"/>
      <c r="C37" s="1205"/>
    </row>
    <row r="38" spans="1:8" s="1197" customFormat="1" ht="12.4" customHeight="1" x14ac:dyDescent="0.2">
      <c r="B38" s="1200"/>
      <c r="C38" s="1201" t="s">
        <v>1566</v>
      </c>
    </row>
    <row r="39" spans="1:8" ht="9.1999999999999993" customHeight="1" x14ac:dyDescent="0.2">
      <c r="B39" s="1202"/>
      <c r="C39" s="1205"/>
    </row>
    <row r="40" spans="1:8" s="1197" customFormat="1" ht="13.5" customHeight="1" x14ac:dyDescent="0.2">
      <c r="B40" s="1200"/>
      <c r="C40" s="1201" t="s">
        <v>1567</v>
      </c>
    </row>
    <row r="41" spans="1:8" ht="9.1999999999999993" customHeight="1" x14ac:dyDescent="0.2">
      <c r="A41" s="1206"/>
      <c r="B41" s="1202"/>
      <c r="C41" s="1205"/>
    </row>
    <row r="42" spans="1:8" s="1197" customFormat="1" ht="13.5" customHeight="1" x14ac:dyDescent="0.2">
      <c r="B42" s="1200"/>
      <c r="C42" s="1201" t="s">
        <v>1836</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4" customHeight="1" x14ac:dyDescent="0.2">
      <c r="B46" s="1200"/>
      <c r="C46" s="1208" t="s">
        <v>1568</v>
      </c>
      <c r="D46" s="1195"/>
      <c r="E46" s="1195"/>
      <c r="F46" s="1195"/>
      <c r="G46" s="1195"/>
      <c r="H46" s="1195"/>
    </row>
    <row r="47" spans="1:8" ht="9.1999999999999993" customHeight="1" x14ac:dyDescent="0.2"/>
    <row r="48" spans="1:8" ht="12.4" customHeight="1" x14ac:dyDescent="0.2">
      <c r="B48" s="1934"/>
      <c r="C48" s="1209" t="s">
        <v>1569</v>
      </c>
    </row>
    <row r="49" spans="1:12" ht="9.1999999999999993" customHeight="1" x14ac:dyDescent="0.2"/>
    <row r="50" spans="1:12" ht="6" customHeight="1" x14ac:dyDescent="0.2">
      <c r="C50" s="1209"/>
    </row>
    <row r="51" spans="1:12" ht="12.4" customHeight="1" x14ac:dyDescent="0.2">
      <c r="A51" s="1207"/>
    </row>
    <row r="52" spans="1:12" ht="12.4" customHeight="1" x14ac:dyDescent="0.2"/>
    <row r="53" spans="1:12" ht="12.4" customHeight="1" x14ac:dyDescent="0.2"/>
    <row r="54" spans="1:12" ht="12.4" customHeight="1" x14ac:dyDescent="0.2"/>
    <row r="55" spans="1:12" ht="12.4" customHeight="1" x14ac:dyDescent="0.2">
      <c r="A55" s="1210"/>
    </row>
    <row r="58" spans="1:12" ht="12.75" customHeight="1" x14ac:dyDescent="0.2"/>
    <row r="59" spans="1:12" ht="36" customHeight="1" x14ac:dyDescent="0.2">
      <c r="L59" s="1177"/>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25" t="str">
        <f>'Single Audit Cover'!A7</f>
        <v>Cowden-Herrick CUSD 3A</v>
      </c>
      <c r="B1" s="2421"/>
      <c r="C1" s="2421"/>
      <c r="D1" s="2421"/>
    </row>
    <row r="2" spans="1:11" s="1211" customFormat="1" ht="12.75" x14ac:dyDescent="0.2">
      <c r="A2" s="2426" t="str">
        <f>'Single Audit Cover'!E7</f>
        <v>11087003A26</v>
      </c>
      <c r="B2" s="2427"/>
      <c r="C2" s="2427"/>
      <c r="D2" s="2427"/>
    </row>
    <row r="3" spans="1:11" s="1211" customFormat="1" ht="12.75" x14ac:dyDescent="0.2">
      <c r="A3" s="2425" t="s">
        <v>1513</v>
      </c>
      <c r="B3" s="2421"/>
      <c r="C3" s="2421"/>
      <c r="D3" s="2421"/>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c r="C42" s="1228">
        <v>11</v>
      </c>
      <c r="D42" s="1239" t="s">
        <v>1574</v>
      </c>
      <c r="E42" s="312"/>
    </row>
    <row r="43" spans="1:5" ht="3" customHeight="1" x14ac:dyDescent="0.2">
      <c r="A43" s="1218"/>
      <c r="B43" s="1235"/>
      <c r="C43" s="1236"/>
      <c r="D43" s="1217"/>
    </row>
    <row r="44" spans="1:5" x14ac:dyDescent="0.2">
      <c r="A44" s="1218"/>
      <c r="B44" s="1221"/>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c r="C48" s="1222">
        <f>C44+1</f>
        <v>13</v>
      </c>
      <c r="D48" s="1233" t="s">
        <v>1575</v>
      </c>
    </row>
    <row r="49" spans="1:4" ht="3" customHeight="1" x14ac:dyDescent="0.2">
      <c r="A49" s="1218"/>
      <c r="B49" s="1225"/>
      <c r="C49" s="1222"/>
      <c r="D49" s="1233"/>
    </row>
    <row r="50" spans="1:4" x14ac:dyDescent="0.2">
      <c r="A50" s="1218"/>
      <c r="B50" s="1221"/>
      <c r="C50" s="1222">
        <f>C48+1</f>
        <v>14</v>
      </c>
      <c r="D50" s="1233" t="s">
        <v>1212</v>
      </c>
    </row>
    <row r="51" spans="1:4" ht="3" customHeight="1" x14ac:dyDescent="0.2">
      <c r="A51" s="1218"/>
      <c r="B51" s="1225"/>
      <c r="C51" s="1222"/>
      <c r="D51" s="1233"/>
    </row>
    <row r="52" spans="1:4" x14ac:dyDescent="0.2">
      <c r="A52" s="1218"/>
      <c r="B52" s="1221"/>
      <c r="C52" s="1222">
        <f>C50+1</f>
        <v>15</v>
      </c>
      <c r="D52" s="1233" t="s">
        <v>1211</v>
      </c>
    </row>
    <row r="53" spans="1:4" ht="3" customHeight="1" x14ac:dyDescent="0.2">
      <c r="A53" s="1218"/>
      <c r="B53" s="1225"/>
      <c r="C53" s="1222"/>
      <c r="D53" s="1233"/>
    </row>
    <row r="54" spans="1:4" x14ac:dyDescent="0.2">
      <c r="A54" s="1218"/>
      <c r="B54" s="1221"/>
      <c r="C54" s="1222">
        <f>C52+1</f>
        <v>16</v>
      </c>
      <c r="D54" s="1233" t="s">
        <v>1210</v>
      </c>
    </row>
    <row r="55" spans="1:4" ht="3" customHeight="1" x14ac:dyDescent="0.2">
      <c r="A55" s="1218"/>
      <c r="B55" s="1225"/>
      <c r="C55" s="1222"/>
      <c r="D55" s="1233"/>
    </row>
    <row r="56" spans="1:4" x14ac:dyDescent="0.2">
      <c r="A56" s="1218"/>
      <c r="B56" s="1221"/>
      <c r="C56" s="1222">
        <f>C54+1</f>
        <v>17</v>
      </c>
      <c r="D56" s="1217" t="s">
        <v>1708</v>
      </c>
    </row>
    <row r="57" spans="1:4" ht="10.5" customHeight="1" x14ac:dyDescent="0.2">
      <c r="A57" s="1218"/>
      <c r="D57" s="1233" t="s">
        <v>1709</v>
      </c>
    </row>
    <row r="58" spans="1:4" x14ac:dyDescent="0.2">
      <c r="A58" s="1218"/>
      <c r="C58" s="1240"/>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c r="D69" s="1233" t="s">
        <v>1713</v>
      </c>
    </row>
    <row r="70" spans="1:4" x14ac:dyDescent="0.2">
      <c r="A70" s="1218"/>
      <c r="D70" s="1242" t="s">
        <v>1206</v>
      </c>
    </row>
    <row r="71" spans="1:4" ht="3" customHeight="1" x14ac:dyDescent="0.2">
      <c r="A71" s="1218"/>
      <c r="D71" s="1217"/>
    </row>
    <row r="72" spans="1:4" x14ac:dyDescent="0.2">
      <c r="A72" s="1218"/>
      <c r="B72" s="1221"/>
      <c r="C72" s="1222">
        <f>C56+1</f>
        <v>18</v>
      </c>
      <c r="D72" s="1243" t="s">
        <v>1714</v>
      </c>
    </row>
    <row r="73" spans="1:4" ht="3" customHeight="1" x14ac:dyDescent="0.2">
      <c r="A73" s="1218"/>
      <c r="B73" s="1225"/>
      <c r="C73" s="1222"/>
      <c r="D73" s="1243"/>
    </row>
    <row r="74" spans="1:4" x14ac:dyDescent="0.2">
      <c r="A74" s="1218"/>
      <c r="B74" s="1221"/>
      <c r="C74" s="1222">
        <f>C72+1</f>
        <v>19</v>
      </c>
      <c r="D74" s="1233" t="s">
        <v>1205</v>
      </c>
    </row>
    <row r="75" spans="1:4" ht="3" customHeight="1" x14ac:dyDescent="0.2">
      <c r="A75" s="1218"/>
      <c r="B75" s="1225"/>
      <c r="C75" s="1222"/>
      <c r="D75" s="1233"/>
    </row>
    <row r="76" spans="1:4" x14ac:dyDescent="0.2">
      <c r="A76" s="1218"/>
      <c r="B76" s="1221"/>
      <c r="C76" s="1222">
        <f>C74+1</f>
        <v>20</v>
      </c>
      <c r="D76" s="1244" t="s">
        <v>1715</v>
      </c>
    </row>
    <row r="77" spans="1:4" ht="3" customHeight="1" x14ac:dyDescent="0.2">
      <c r="A77" s="1218"/>
      <c r="B77" s="1225"/>
      <c r="C77" s="1222"/>
      <c r="D77" s="1244"/>
    </row>
    <row r="78" spans="1:4" x14ac:dyDescent="0.2">
      <c r="A78" s="1218"/>
      <c r="B78" s="1221"/>
      <c r="C78" s="1222">
        <f>C76+1</f>
        <v>21</v>
      </c>
      <c r="D78" s="1217" t="s">
        <v>1716</v>
      </c>
    </row>
    <row r="79" spans="1:4" ht="3" customHeight="1" x14ac:dyDescent="0.2">
      <c r="A79" s="1218"/>
      <c r="B79" s="1225"/>
      <c r="C79" s="1222"/>
      <c r="D79" s="1217"/>
    </row>
    <row r="80" spans="1:4" x14ac:dyDescent="0.2">
      <c r="A80" s="1218"/>
      <c r="B80" s="1221"/>
      <c r="C80" s="1222">
        <f>C78+1</f>
        <v>22</v>
      </c>
      <c r="D80" s="1245" t="s">
        <v>1717</v>
      </c>
    </row>
    <row r="81" spans="1:4" ht="3" customHeight="1" x14ac:dyDescent="0.2">
      <c r="A81" s="1218"/>
      <c r="B81" s="1225"/>
      <c r="C81" s="1222"/>
      <c r="D81" s="1245"/>
    </row>
    <row r="82" spans="1:4" x14ac:dyDescent="0.2">
      <c r="A82" s="1218"/>
      <c r="B82" s="1221"/>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c r="C85" s="1222">
        <f>C82+1</f>
        <v>24</v>
      </c>
      <c r="D85" s="1233" t="s">
        <v>1203</v>
      </c>
    </row>
    <row r="86" spans="1:4" ht="3" customHeight="1" x14ac:dyDescent="0.2">
      <c r="A86" s="1218"/>
      <c r="B86" s="1225"/>
      <c r="C86" s="1222"/>
      <c r="D86" s="1233"/>
    </row>
    <row r="87" spans="1:4" x14ac:dyDescent="0.2">
      <c r="A87" s="1218"/>
      <c r="B87" s="1221"/>
      <c r="C87" s="1222">
        <f>C85+1</f>
        <v>25</v>
      </c>
      <c r="D87" s="1233" t="s">
        <v>1202</v>
      </c>
    </row>
    <row r="88" spans="1:4" ht="3" customHeight="1" x14ac:dyDescent="0.2">
      <c r="A88" s="1218"/>
      <c r="B88" s="1225"/>
      <c r="C88" s="1222"/>
      <c r="D88" s="1233"/>
    </row>
    <row r="89" spans="1:4" x14ac:dyDescent="0.2">
      <c r="A89" s="1218"/>
      <c r="B89" s="1221"/>
      <c r="C89" s="1222">
        <f>C87+1</f>
        <v>26</v>
      </c>
      <c r="D89" s="1233" t="s">
        <v>1201</v>
      </c>
    </row>
    <row r="90" spans="1:4" ht="3" customHeight="1" x14ac:dyDescent="0.2">
      <c r="A90" s="1218"/>
      <c r="B90" s="1225"/>
      <c r="C90" s="1222"/>
      <c r="D90" s="1233"/>
    </row>
    <row r="91" spans="1:4" x14ac:dyDescent="0.2">
      <c r="A91" s="1218"/>
      <c r="B91" s="1221"/>
      <c r="C91" s="1222">
        <f>C89+1</f>
        <v>27</v>
      </c>
      <c r="D91" s="1233" t="s">
        <v>1719</v>
      </c>
    </row>
    <row r="92" spans="1:4" x14ac:dyDescent="0.2">
      <c r="A92" s="1218"/>
      <c r="B92" s="1246"/>
      <c r="C92" s="1240"/>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c r="C96" s="1222">
        <f>C91+1</f>
        <v>28</v>
      </c>
      <c r="D96" s="1233" t="s">
        <v>1720</v>
      </c>
    </row>
    <row r="97" spans="1:4" ht="3" customHeight="1" x14ac:dyDescent="0.2">
      <c r="A97" s="1218"/>
      <c r="B97" s="1225"/>
      <c r="C97" s="1222"/>
      <c r="D97" s="1233"/>
    </row>
    <row r="98" spans="1:4" x14ac:dyDescent="0.2">
      <c r="A98" s="1218"/>
      <c r="B98" s="1221"/>
      <c r="C98" s="1222">
        <f>C96+1</f>
        <v>29</v>
      </c>
      <c r="D98" s="1247" t="s">
        <v>1721</v>
      </c>
    </row>
    <row r="99" spans="1:4" ht="3" customHeight="1" x14ac:dyDescent="0.2">
      <c r="A99" s="1218"/>
      <c r="B99" s="1225"/>
      <c r="C99" s="1222"/>
      <c r="D99" s="1247"/>
    </row>
    <row r="100" spans="1:4" x14ac:dyDescent="0.2">
      <c r="A100" s="1218"/>
      <c r="B100" s="1221"/>
      <c r="C100" s="1222">
        <f>C98+1</f>
        <v>30</v>
      </c>
      <c r="D100" s="1233" t="s">
        <v>1722</v>
      </c>
    </row>
    <row r="101" spans="1:4" ht="3" customHeight="1" x14ac:dyDescent="0.2">
      <c r="A101" s="1218"/>
      <c r="B101" s="1225"/>
      <c r="C101" s="1222"/>
      <c r="D101" s="1248"/>
    </row>
    <row r="102" spans="1:4" x14ac:dyDescent="0.2">
      <c r="A102" s="1218"/>
      <c r="B102" s="1221"/>
      <c r="C102" s="1222">
        <f>C100+1</f>
        <v>31</v>
      </c>
      <c r="D102" s="1233" t="s">
        <v>1579</v>
      </c>
    </row>
    <row r="103" spans="1:4" ht="4.5" customHeight="1" x14ac:dyDescent="0.2">
      <c r="A103" s="1218"/>
      <c r="B103" s="312"/>
      <c r="C103" s="1222"/>
      <c r="D103" s="1233"/>
    </row>
    <row r="104" spans="1:4" ht="14.25" customHeight="1" x14ac:dyDescent="0.2">
      <c r="A104" s="1218"/>
      <c r="B104" s="1249" t="s">
        <v>1199</v>
      </c>
    </row>
    <row r="105" spans="1:4" ht="4.5" customHeight="1" x14ac:dyDescent="0.2">
      <c r="A105" s="1218"/>
      <c r="B105" s="1249"/>
    </row>
    <row r="106" spans="1:4" x14ac:dyDescent="0.2">
      <c r="A106" s="1218"/>
      <c r="B106" s="1221"/>
      <c r="C106" s="1222">
        <f>C102+1</f>
        <v>32</v>
      </c>
      <c r="D106" s="1217" t="s">
        <v>1580</v>
      </c>
    </row>
    <row r="107" spans="1:4" ht="3" customHeight="1" x14ac:dyDescent="0.2">
      <c r="A107" s="1218"/>
      <c r="B107" s="1225"/>
      <c r="C107" s="1222"/>
      <c r="D107" s="1217"/>
    </row>
    <row r="108" spans="1:4" x14ac:dyDescent="0.2">
      <c r="A108" s="1218"/>
      <c r="B108" s="1221"/>
      <c r="C108" s="1222">
        <v>33</v>
      </c>
      <c r="D108" s="1217" t="s">
        <v>1723</v>
      </c>
    </row>
    <row r="109" spans="1:4" ht="3" customHeight="1" x14ac:dyDescent="0.2">
      <c r="A109" s="1218"/>
      <c r="B109" s="1225"/>
      <c r="C109" s="1222"/>
      <c r="D109" s="1217"/>
    </row>
    <row r="110" spans="1:4" x14ac:dyDescent="0.2">
      <c r="A110" s="1218"/>
      <c r="B110" s="1221"/>
      <c r="C110" s="1222">
        <f>C108+1</f>
        <v>34</v>
      </c>
      <c r="D110" s="1217" t="s">
        <v>1198</v>
      </c>
    </row>
    <row r="111" spans="1:4" ht="3" customHeight="1" x14ac:dyDescent="0.2">
      <c r="A111" s="1218"/>
      <c r="B111" s="1225"/>
      <c r="C111" s="1222"/>
      <c r="D111" s="1217"/>
    </row>
    <row r="112" spans="1:4" x14ac:dyDescent="0.2">
      <c r="A112" s="1218"/>
      <c r="B112" s="1221"/>
      <c r="C112" s="1222">
        <f>C110+1</f>
        <v>35</v>
      </c>
      <c r="D112" s="1217" t="s">
        <v>1197</v>
      </c>
    </row>
    <row r="113" spans="1:4" ht="11.45" customHeight="1" x14ac:dyDescent="0.2">
      <c r="A113" s="1218"/>
      <c r="B113" s="1250"/>
      <c r="C113" s="1222"/>
      <c r="D113" s="1251" t="s">
        <v>1196</v>
      </c>
    </row>
    <row r="114" spans="1:4" ht="3" customHeight="1" x14ac:dyDescent="0.2">
      <c r="A114" s="1218"/>
      <c r="B114" s="1252"/>
      <c r="C114" s="1222"/>
      <c r="D114" s="1251"/>
    </row>
    <row r="115" spans="1:4" x14ac:dyDescent="0.2">
      <c r="A115" s="1218"/>
      <c r="B115" s="1221"/>
      <c r="C115" s="1222">
        <f>C112+1</f>
        <v>36</v>
      </c>
      <c r="D115" s="1233" t="s">
        <v>1195</v>
      </c>
    </row>
    <row r="116" spans="1:4" ht="3" customHeight="1" x14ac:dyDescent="0.2">
      <c r="A116" s="1218"/>
      <c r="B116" s="1225"/>
      <c r="C116" s="1222"/>
      <c r="D116" s="1233"/>
    </row>
    <row r="117" spans="1:4" x14ac:dyDescent="0.2">
      <c r="A117" s="1218"/>
      <c r="B117" s="1221"/>
      <c r="C117" s="1222">
        <f>C115+1</f>
        <v>37</v>
      </c>
      <c r="D117" s="1233" t="s">
        <v>1724</v>
      </c>
    </row>
    <row r="118" spans="1:4" ht="3" customHeight="1" x14ac:dyDescent="0.2">
      <c r="A118" s="1218"/>
      <c r="B118" s="1225"/>
      <c r="C118" s="1222"/>
      <c r="D118" s="1233"/>
    </row>
    <row r="119" spans="1:4" x14ac:dyDescent="0.2">
      <c r="A119" s="1218"/>
      <c r="B119" s="1221"/>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c r="C123" s="1222">
        <f>C119+1</f>
        <v>39</v>
      </c>
      <c r="D123" s="1243" t="s">
        <v>1837</v>
      </c>
    </row>
    <row r="124" spans="1:4" x14ac:dyDescent="0.2">
      <c r="A124" s="1218"/>
      <c r="B124" s="312"/>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29" t="str">
        <f>'Single Audit Cover'!A7</f>
        <v>Cowden-Herrick CUSD 3A</v>
      </c>
      <c r="B1" s="2429"/>
      <c r="C1" s="2429"/>
      <c r="D1" s="2429"/>
      <c r="E1" s="2429"/>
    </row>
    <row r="2" spans="1:5" x14ac:dyDescent="0.2">
      <c r="A2" s="2430" t="str">
        <f>'Single Audit Cover'!E7</f>
        <v>11087003A26</v>
      </c>
      <c r="B2" s="2430"/>
      <c r="C2" s="2430"/>
      <c r="D2" s="2430"/>
      <c r="E2" s="2430"/>
    </row>
    <row r="3" spans="1:5" ht="4.5" customHeight="1" x14ac:dyDescent="0.2"/>
    <row r="4" spans="1:5" x14ac:dyDescent="0.2">
      <c r="A4" s="2429" t="s">
        <v>1245</v>
      </c>
      <c r="B4" s="2429"/>
      <c r="C4" s="2429"/>
      <c r="D4" s="2429"/>
      <c r="E4" s="2429"/>
    </row>
    <row r="5" spans="1:5" x14ac:dyDescent="0.2">
      <c r="A5" s="2432" t="str">
        <f>'Single Audit Cover'!A4</f>
        <v>Year Ending June 30, 2019</v>
      </c>
      <c r="B5" s="2432"/>
      <c r="C5" s="2432"/>
      <c r="D5" s="2432"/>
      <c r="E5" s="2432"/>
    </row>
    <row r="6" spans="1:5" x14ac:dyDescent="0.2">
      <c r="A6" s="2429" t="s">
        <v>1244</v>
      </c>
      <c r="B6" s="2429"/>
      <c r="C6" s="2429"/>
      <c r="D6" s="2429"/>
      <c r="E6" s="2429"/>
    </row>
    <row r="8" spans="1:5" x14ac:dyDescent="0.2">
      <c r="A8" s="1256" t="s">
        <v>1243</v>
      </c>
    </row>
    <row r="10" spans="1:5" x14ac:dyDescent="0.2">
      <c r="A10" s="1257" t="s">
        <v>1242</v>
      </c>
      <c r="B10" s="1258" t="s">
        <v>1241</v>
      </c>
      <c r="C10" s="1258"/>
      <c r="D10" s="1259">
        <f>SUM('Acct Summary 7-8'!C7:K7)</f>
        <v>457630</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12523</v>
      </c>
    </row>
    <row r="15" spans="1:5" x14ac:dyDescent="0.2">
      <c r="A15" s="1257"/>
      <c r="B15" s="1258"/>
      <c r="C15" s="1258"/>
    </row>
    <row r="16" spans="1:5" x14ac:dyDescent="0.2">
      <c r="A16" s="1257" t="s">
        <v>1844</v>
      </c>
      <c r="B16" s="1258"/>
      <c r="C16" s="1258"/>
    </row>
    <row r="17" spans="1:4" x14ac:dyDescent="0.2">
      <c r="A17" s="1257" t="s">
        <v>2061</v>
      </c>
      <c r="B17" s="1258" t="s">
        <v>1236</v>
      </c>
      <c r="C17" s="1258"/>
      <c r="D17" s="1260">
        <f>-SUM('Revenues 9-14'!C264:D264,'Revenues 9-14'!F264:G264)</f>
        <v>-8018</v>
      </c>
    </row>
    <row r="19" spans="1:4" ht="13.5" thickBot="1" x14ac:dyDescent="0.25">
      <c r="A19" s="1261" t="s">
        <v>1235</v>
      </c>
      <c r="D19" s="1262">
        <f>SUM(D10:D17)</f>
        <v>462135</v>
      </c>
    </row>
    <row r="20" spans="1:4" ht="21.95" customHeight="1" thickTop="1" x14ac:dyDescent="0.2"/>
    <row r="21" spans="1:4" x14ac:dyDescent="0.2">
      <c r="A21" s="1256" t="s">
        <v>1234</v>
      </c>
    </row>
    <row r="22" spans="1:4" ht="8.25" customHeight="1" x14ac:dyDescent="0.2"/>
    <row r="23" spans="1:4" x14ac:dyDescent="0.2">
      <c r="A23" s="1263" t="s">
        <v>1228</v>
      </c>
    </row>
    <row r="24" spans="1:4" x14ac:dyDescent="0.2">
      <c r="A24" s="2431"/>
      <c r="B24" s="2431"/>
      <c r="D24" s="1264"/>
    </row>
    <row r="25" spans="1:4" x14ac:dyDescent="0.2">
      <c r="A25" s="2428"/>
      <c r="B25" s="2428"/>
      <c r="D25" s="1264"/>
    </row>
    <row r="26" spans="1:4" x14ac:dyDescent="0.2">
      <c r="A26" s="2428"/>
      <c r="B26" s="2428"/>
      <c r="D26" s="1264"/>
    </row>
    <row r="27" spans="1:4" x14ac:dyDescent="0.2">
      <c r="A27" s="2428"/>
      <c r="B27" s="2428"/>
      <c r="D27" s="1264"/>
    </row>
    <row r="28" spans="1:4" x14ac:dyDescent="0.2">
      <c r="A28" s="2428"/>
      <c r="B28" s="2428"/>
      <c r="D28" s="1264"/>
    </row>
    <row r="29" spans="1:4" x14ac:dyDescent="0.2">
      <c r="A29" s="2428"/>
      <c r="B29" s="2428"/>
      <c r="D29" s="1264"/>
    </row>
    <row r="30" spans="1:4" x14ac:dyDescent="0.2">
      <c r="A30" s="2428"/>
      <c r="B30" s="2428"/>
      <c r="D30" s="1264"/>
    </row>
    <row r="32" spans="1:4" x14ac:dyDescent="0.2">
      <c r="A32" s="1256" t="s">
        <v>1233</v>
      </c>
      <c r="D32" s="1259">
        <f>SUM(D19:D30)</f>
        <v>462135</v>
      </c>
    </row>
    <row r="33" spans="1:4" x14ac:dyDescent="0.2">
      <c r="D33" s="1265"/>
    </row>
    <row r="34" spans="1:4" x14ac:dyDescent="0.2">
      <c r="A34" s="317" t="s">
        <v>1232</v>
      </c>
    </row>
    <row r="35" spans="1:4" x14ac:dyDescent="0.2">
      <c r="A35" s="317" t="s">
        <v>1231</v>
      </c>
      <c r="B35" s="1254" t="s">
        <v>1230</v>
      </c>
      <c r="D35" s="1266"/>
    </row>
    <row r="37" spans="1:4" x14ac:dyDescent="0.2">
      <c r="A37" s="1256" t="s">
        <v>1229</v>
      </c>
    </row>
    <row r="39" spans="1:4" ht="13.35" customHeight="1" x14ac:dyDescent="0.2">
      <c r="A39" s="1263" t="s">
        <v>1228</v>
      </c>
    </row>
    <row r="40" spans="1:4" x14ac:dyDescent="0.2">
      <c r="A40" s="2428"/>
      <c r="B40" s="2428"/>
      <c r="D40" s="1264"/>
    </row>
    <row r="41" spans="1:4" x14ac:dyDescent="0.2">
      <c r="A41" s="2428"/>
      <c r="B41" s="2428"/>
      <c r="D41" s="1267"/>
    </row>
    <row r="42" spans="1:4" x14ac:dyDescent="0.2">
      <c r="A42" s="2428"/>
      <c r="B42" s="2428"/>
      <c r="D42" s="1267"/>
    </row>
    <row r="43" spans="1:4" x14ac:dyDescent="0.2">
      <c r="A43" s="2428"/>
      <c r="B43" s="2428"/>
      <c r="D43" s="1267"/>
    </row>
    <row r="44" spans="1:4" x14ac:dyDescent="0.2">
      <c r="A44" s="2428"/>
      <c r="B44" s="2428"/>
      <c r="D44" s="1267"/>
    </row>
    <row r="45" spans="1:4" x14ac:dyDescent="0.2">
      <c r="A45" s="2428"/>
      <c r="B45" s="2428"/>
      <c r="D45" s="1267"/>
    </row>
    <row r="47" spans="1:4" x14ac:dyDescent="0.2">
      <c r="B47" s="1268" t="s">
        <v>1227</v>
      </c>
      <c r="C47" s="1268"/>
      <c r="D47" s="1269">
        <f>SUM(D35:D45)</f>
        <v>0</v>
      </c>
    </row>
    <row r="49" spans="2:4" x14ac:dyDescent="0.2">
      <c r="B49" s="1268" t="s">
        <v>1226</v>
      </c>
      <c r="C49" s="1268"/>
      <c r="D49" s="1269">
        <f>D32-D47</f>
        <v>462135</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390" t="str">
        <f>'Single Audit Cover'!A7</f>
        <v>Cowden-Herrick CUSD 3A</v>
      </c>
      <c r="C1" s="2433"/>
      <c r="D1" s="2433"/>
      <c r="E1" s="2433"/>
      <c r="F1" s="2433"/>
      <c r="G1" s="2433"/>
      <c r="H1" s="2433"/>
      <c r="I1" s="2433"/>
      <c r="J1" s="2433"/>
      <c r="K1" s="2433"/>
      <c r="L1" s="2433"/>
      <c r="M1" s="2433"/>
    </row>
    <row r="2" spans="2:14" ht="15" x14ac:dyDescent="0.2">
      <c r="B2" s="2434" t="str">
        <f>'Single Audit Cover'!E7</f>
        <v>11087003A26</v>
      </c>
      <c r="C2" s="2434"/>
      <c r="D2" s="2434"/>
      <c r="E2" s="2434"/>
      <c r="F2" s="2434"/>
      <c r="G2" s="2434"/>
      <c r="H2" s="2434"/>
      <c r="I2" s="2434"/>
      <c r="J2" s="2434"/>
      <c r="K2" s="2434"/>
      <c r="L2" s="2434"/>
      <c r="M2" s="2434"/>
      <c r="N2" s="1298"/>
    </row>
    <row r="3" spans="2:14" ht="15" x14ac:dyDescent="0.2">
      <c r="B3" s="2435" t="s">
        <v>1219</v>
      </c>
      <c r="C3" s="2435"/>
      <c r="D3" s="2435"/>
      <c r="E3" s="2435"/>
      <c r="F3" s="2435"/>
      <c r="G3" s="2435"/>
      <c r="H3" s="2435"/>
      <c r="I3" s="2435"/>
      <c r="J3" s="2435"/>
      <c r="K3" s="2435"/>
      <c r="L3" s="2435"/>
      <c r="M3" s="2435"/>
      <c r="N3" s="1298"/>
    </row>
    <row r="4" spans="2:14" ht="15" x14ac:dyDescent="0.2">
      <c r="B4" s="2436" t="str">
        <f>'Single Audit Cover'!A4</f>
        <v>Year Ending June 30, 2019</v>
      </c>
      <c r="C4" s="2436"/>
      <c r="D4" s="2436"/>
      <c r="E4" s="2436"/>
      <c r="F4" s="2436"/>
      <c r="G4" s="2436"/>
      <c r="H4" s="2436"/>
      <c r="I4" s="2436"/>
      <c r="J4" s="2436"/>
      <c r="K4" s="2436"/>
      <c r="L4" s="2436"/>
      <c r="M4" s="2436"/>
      <c r="N4" s="1298"/>
    </row>
    <row r="6" spans="2:14" x14ac:dyDescent="0.2">
      <c r="B6" s="1299"/>
      <c r="C6" s="1300"/>
      <c r="D6" s="1301" t="s">
        <v>1265</v>
      </c>
      <c r="E6" s="1302" t="s">
        <v>527</v>
      </c>
      <c r="F6" s="1303"/>
      <c r="G6" s="1304" t="s">
        <v>1734</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1839</v>
      </c>
      <c r="I8" s="1315" t="s">
        <v>1262</v>
      </c>
      <c r="J8" s="1314" t="s">
        <v>1990</v>
      </c>
      <c r="K8" s="1315" t="s">
        <v>1261</v>
      </c>
      <c r="L8" s="1316" t="s">
        <v>1257</v>
      </c>
      <c r="M8" s="1317" t="s">
        <v>30</v>
      </c>
    </row>
    <row r="9" spans="2:14" ht="14.25" x14ac:dyDescent="0.2">
      <c r="B9" s="1321" t="s">
        <v>1259</v>
      </c>
      <c r="C9" s="1309" t="s">
        <v>1735</v>
      </c>
      <c r="D9" s="1310" t="s">
        <v>1736</v>
      </c>
      <c r="E9" s="1318" t="s">
        <v>1839</v>
      </c>
      <c r="F9" s="1319" t="s">
        <v>1990</v>
      </c>
      <c r="G9" s="1320" t="s">
        <v>1839</v>
      </c>
      <c r="H9" s="1313" t="s">
        <v>1582</v>
      </c>
      <c r="I9" s="1315" t="s">
        <v>1990</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f>+G11+I11+K11</f>
        <v>0</v>
      </c>
      <c r="M11" s="1336"/>
    </row>
    <row r="12" spans="2:14" ht="20.100000000000001" customHeight="1" x14ac:dyDescent="0.2">
      <c r="B12" s="1333"/>
      <c r="C12" s="1337"/>
      <c r="D12" s="1338"/>
      <c r="E12" s="1339"/>
      <c r="F12" s="1339"/>
      <c r="G12" s="1339"/>
      <c r="H12" s="1339"/>
      <c r="I12" s="1339"/>
      <c r="J12" s="1339"/>
      <c r="K12" s="1339"/>
      <c r="L12" s="1336">
        <f t="shared" ref="L12:L27" si="0">+G12+I12+K12</f>
        <v>0</v>
      </c>
      <c r="M12" s="1339"/>
    </row>
    <row r="13" spans="2:14" ht="20.100000000000001" customHeight="1" x14ac:dyDescent="0.2">
      <c r="B13" s="1333"/>
      <c r="C13" s="1337"/>
      <c r="D13" s="1338"/>
      <c r="E13" s="1339"/>
      <c r="F13" s="1339"/>
      <c r="G13" s="1339"/>
      <c r="H13" s="1339"/>
      <c r="I13" s="1339"/>
      <c r="J13" s="1339"/>
      <c r="K13" s="1339"/>
      <c r="L13" s="1336">
        <f t="shared" si="0"/>
        <v>0</v>
      </c>
      <c r="M13" s="1339"/>
    </row>
    <row r="14" spans="2:14" ht="20.100000000000001" customHeight="1" x14ac:dyDescent="0.2">
      <c r="B14" s="1333"/>
      <c r="C14" s="1337"/>
      <c r="D14" s="1338"/>
      <c r="E14" s="1339"/>
      <c r="F14" s="1339"/>
      <c r="G14" s="1339"/>
      <c r="H14" s="1339"/>
      <c r="I14" s="1339"/>
      <c r="J14" s="1339"/>
      <c r="K14" s="1339"/>
      <c r="L14" s="1336">
        <f t="shared" si="0"/>
        <v>0</v>
      </c>
      <c r="M14" s="1339"/>
    </row>
    <row r="15" spans="2:14" ht="20.100000000000001" customHeight="1" x14ac:dyDescent="0.2">
      <c r="B15" s="1333" t="s">
        <v>1169</v>
      </c>
      <c r="C15" s="1337"/>
      <c r="D15" s="1338"/>
      <c r="E15" s="1339"/>
      <c r="F15" s="1339"/>
      <c r="G15" s="1339"/>
      <c r="H15" s="1339"/>
      <c r="I15" s="1339"/>
      <c r="J15" s="1339"/>
      <c r="K15" s="1339"/>
      <c r="L15" s="1336">
        <f t="shared" si="0"/>
        <v>0</v>
      </c>
      <c r="M15" s="1339"/>
    </row>
    <row r="16" spans="2:14" ht="20.100000000000001" customHeight="1" x14ac:dyDescent="0.2">
      <c r="B16" s="1333"/>
      <c r="C16" s="1337"/>
      <c r="D16" s="1338"/>
      <c r="E16" s="1339"/>
      <c r="F16" s="1339"/>
      <c r="G16" s="1339"/>
      <c r="H16" s="1339"/>
      <c r="I16" s="1339"/>
      <c r="J16" s="1339"/>
      <c r="K16" s="1339"/>
      <c r="L16" s="1336">
        <f t="shared" si="0"/>
        <v>0</v>
      </c>
      <c r="M16" s="1339"/>
    </row>
    <row r="17" spans="2:14" ht="20.100000000000001" customHeight="1" x14ac:dyDescent="0.2">
      <c r="B17" s="1333"/>
      <c r="C17" s="1337"/>
      <c r="D17" s="1338"/>
      <c r="E17" s="1339"/>
      <c r="F17" s="1339"/>
      <c r="G17" s="1339"/>
      <c r="H17" s="1339"/>
      <c r="I17" s="1339"/>
      <c r="J17" s="1339"/>
      <c r="K17" s="1339"/>
      <c r="L17" s="1336">
        <f t="shared" si="0"/>
        <v>0</v>
      </c>
      <c r="M17" s="1339"/>
    </row>
    <row r="18" spans="2:14" ht="20.100000000000001" customHeight="1" x14ac:dyDescent="0.2">
      <c r="B18" s="1333"/>
      <c r="C18" s="1337"/>
      <c r="D18" s="1338"/>
      <c r="E18" s="1339"/>
      <c r="F18" s="1339"/>
      <c r="G18" s="1339"/>
      <c r="H18" s="1339"/>
      <c r="I18" s="1339"/>
      <c r="J18" s="1339"/>
      <c r="K18" s="1339"/>
      <c r="L18" s="1336">
        <f t="shared" si="0"/>
        <v>0</v>
      </c>
      <c r="M18" s="1339"/>
    </row>
    <row r="19" spans="2:14" ht="20.100000000000001" customHeight="1" x14ac:dyDescent="0.2">
      <c r="B19" s="1333"/>
      <c r="C19" s="1337"/>
      <c r="D19" s="1338"/>
      <c r="E19" s="1339"/>
      <c r="F19" s="1339"/>
      <c r="G19" s="1339"/>
      <c r="H19" s="1339"/>
      <c r="I19" s="1339"/>
      <c r="J19" s="1339"/>
      <c r="K19" s="1339"/>
      <c r="L19" s="1336">
        <f t="shared" si="0"/>
        <v>0</v>
      </c>
      <c r="M19" s="1339"/>
    </row>
    <row r="20" spans="2:14" ht="20.100000000000001" customHeight="1" x14ac:dyDescent="0.2">
      <c r="B20" s="1333"/>
      <c r="C20" s="1337"/>
      <c r="D20" s="1338"/>
      <c r="E20" s="1339"/>
      <c r="F20" s="1339"/>
      <c r="G20" s="1339"/>
      <c r="H20" s="1339"/>
      <c r="I20" s="1339"/>
      <c r="J20" s="1339"/>
      <c r="K20" s="1339"/>
      <c r="L20" s="1336">
        <f t="shared" si="0"/>
        <v>0</v>
      </c>
      <c r="M20" s="1339"/>
    </row>
    <row r="21" spans="2:14" ht="20.100000000000001" customHeight="1" x14ac:dyDescent="0.2">
      <c r="B21" s="1333"/>
      <c r="C21" s="1337"/>
      <c r="D21" s="1338"/>
      <c r="E21" s="1339"/>
      <c r="F21" s="1339"/>
      <c r="G21" s="1339"/>
      <c r="H21" s="1339"/>
      <c r="I21" s="1339"/>
      <c r="J21" s="1339"/>
      <c r="K21" s="1339"/>
      <c r="L21" s="1336">
        <f t="shared" si="0"/>
        <v>0</v>
      </c>
      <c r="M21" s="1339"/>
    </row>
    <row r="22" spans="2:14" ht="20.100000000000001" customHeight="1" x14ac:dyDescent="0.2">
      <c r="B22" s="1333"/>
      <c r="C22" s="1337"/>
      <c r="D22" s="1338"/>
      <c r="E22" s="1339"/>
      <c r="F22" s="1339"/>
      <c r="G22" s="1339"/>
      <c r="H22" s="1339"/>
      <c r="I22" s="1339"/>
      <c r="J22" s="1339"/>
      <c r="K22" s="1339"/>
      <c r="L22" s="1336">
        <f t="shared" si="0"/>
        <v>0</v>
      </c>
      <c r="M22" s="1339"/>
    </row>
    <row r="23" spans="2:14" ht="20.100000000000001" customHeight="1" x14ac:dyDescent="0.2">
      <c r="B23" s="1333"/>
      <c r="C23" s="1337"/>
      <c r="D23" s="1338"/>
      <c r="E23" s="1339"/>
      <c r="F23" s="1339"/>
      <c r="G23" s="1339"/>
      <c r="H23" s="1339"/>
      <c r="I23" s="1339"/>
      <c r="J23" s="1339"/>
      <c r="K23" s="1339"/>
      <c r="L23" s="1336">
        <f t="shared" si="0"/>
        <v>0</v>
      </c>
      <c r="M23" s="1339"/>
    </row>
    <row r="24" spans="2:14" ht="20.100000000000001" customHeight="1" x14ac:dyDescent="0.2">
      <c r="B24" s="1333"/>
      <c r="C24" s="1337"/>
      <c r="D24" s="1338"/>
      <c r="E24" s="1339"/>
      <c r="F24" s="1339"/>
      <c r="G24" s="1339"/>
      <c r="H24" s="1339"/>
      <c r="I24" s="1339"/>
      <c r="J24" s="1339"/>
      <c r="K24" s="1339"/>
      <c r="L24" s="1336">
        <f t="shared" si="0"/>
        <v>0</v>
      </c>
      <c r="M24" s="1339"/>
    </row>
    <row r="25" spans="2:14" ht="20.100000000000001" customHeight="1" x14ac:dyDescent="0.2">
      <c r="B25" s="1333"/>
      <c r="C25" s="1337"/>
      <c r="D25" s="1338"/>
      <c r="E25" s="1339"/>
      <c r="F25" s="1339"/>
      <c r="G25" s="1339"/>
      <c r="H25" s="1339"/>
      <c r="I25" s="1339"/>
      <c r="J25" s="1339"/>
      <c r="K25" s="1339"/>
      <c r="L25" s="1336">
        <f t="shared" si="0"/>
        <v>0</v>
      </c>
      <c r="M25" s="1339"/>
    </row>
    <row r="26" spans="2:14" ht="20.100000000000001" customHeight="1" x14ac:dyDescent="0.2">
      <c r="B26" s="1333"/>
      <c r="C26" s="1337"/>
      <c r="D26" s="1338"/>
      <c r="E26" s="1339"/>
      <c r="F26" s="1339"/>
      <c r="G26" s="1339"/>
      <c r="H26" s="1339"/>
      <c r="I26" s="1339"/>
      <c r="J26" s="1339"/>
      <c r="K26" s="1339"/>
      <c r="L26" s="1336">
        <f t="shared" si="0"/>
        <v>0</v>
      </c>
      <c r="M26" s="1339"/>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1737</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1840</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45" customHeight="1" x14ac:dyDescent="0.2">
      <c r="B37" s="1360" t="s">
        <v>1738</v>
      </c>
      <c r="C37" s="1361"/>
      <c r="D37" s="1361"/>
      <c r="E37" s="1361"/>
      <c r="F37" s="1361"/>
      <c r="G37" s="1361"/>
      <c r="H37" s="1361"/>
      <c r="I37" s="1362"/>
      <c r="J37" s="1362"/>
      <c r="K37" s="1362"/>
      <c r="L37" s="1362"/>
      <c r="M37" s="1362"/>
    </row>
    <row r="38" spans="2:13" ht="11.4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45" customHeight="1" x14ac:dyDescent="0.2">
      <c r="B40" s="1360" t="s">
        <v>1739</v>
      </c>
      <c r="C40" s="1362"/>
      <c r="D40" s="1362"/>
      <c r="E40" s="1362"/>
      <c r="F40" s="1362"/>
      <c r="G40" s="1362"/>
      <c r="H40" s="1362"/>
      <c r="I40" s="1362"/>
      <c r="J40" s="1362"/>
      <c r="K40" s="1362"/>
      <c r="L40" s="1362"/>
      <c r="M40" s="1362"/>
    </row>
    <row r="41" spans="2:13" ht="11.4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45" customHeight="1" x14ac:dyDescent="0.2">
      <c r="B43" s="1367" t="s">
        <v>1740</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45" customHeight="1" x14ac:dyDescent="0.2">
      <c r="B45" s="1368" t="s">
        <v>1741</v>
      </c>
      <c r="C45" s="1364"/>
      <c r="D45" s="1365"/>
      <c r="E45" s="1296"/>
      <c r="F45" s="1296"/>
      <c r="G45" s="1296"/>
      <c r="H45" s="1296"/>
      <c r="I45" s="1296"/>
      <c r="J45" s="1296"/>
      <c r="K45" s="1366"/>
      <c r="L45" s="1366"/>
      <c r="M45" s="1296"/>
    </row>
    <row r="46" spans="2:13" ht="11.4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9000000000000004" customHeight="1" x14ac:dyDescent="0.2"/>
    <row r="112" ht="12.4"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9000000000000004" customHeight="1" x14ac:dyDescent="0.2"/>
    <row r="152" ht="12.4"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38" t="str">
        <f>'Single Audit Cover'!A7</f>
        <v>Cowden-Herrick CUSD 3A</v>
      </c>
      <c r="B1" s="2438"/>
      <c r="C1" s="2438"/>
      <c r="D1" s="2438"/>
      <c r="E1" s="2438"/>
      <c r="F1" s="2438"/>
    </row>
    <row r="2" spans="1:7" ht="13.5" customHeight="1" x14ac:dyDescent="0.2">
      <c r="A2" s="2434" t="str">
        <f>'Single Audit Cover'!E7</f>
        <v>11087003A26</v>
      </c>
      <c r="B2" s="2434"/>
      <c r="C2" s="2434"/>
      <c r="D2" s="2434"/>
      <c r="E2" s="2434"/>
      <c r="F2" s="2434"/>
      <c r="G2" s="1271"/>
    </row>
    <row r="3" spans="1:7" ht="15.75" customHeight="1" x14ac:dyDescent="0.2">
      <c r="A3" s="2439" t="s">
        <v>1271</v>
      </c>
      <c r="B3" s="2439"/>
      <c r="C3" s="2439"/>
      <c r="D3" s="2439"/>
      <c r="E3" s="2439"/>
      <c r="F3" s="2439"/>
    </row>
    <row r="4" spans="1:7" ht="13.5" customHeight="1" x14ac:dyDescent="0.2">
      <c r="A4" s="2440" t="str">
        <f>'Single Audit Cover'!A4</f>
        <v>Year Ending June 30, 2019</v>
      </c>
      <c r="B4" s="2440"/>
      <c r="C4" s="2440"/>
      <c r="D4" s="2440"/>
      <c r="E4" s="2440"/>
      <c r="F4" s="2440"/>
    </row>
    <row r="5" spans="1:7" ht="8.25" customHeight="1" x14ac:dyDescent="0.2">
      <c r="C5" s="317"/>
      <c r="D5" s="317"/>
    </row>
    <row r="6" spans="1:7" ht="13.5" customHeight="1" x14ac:dyDescent="0.2">
      <c r="A6" s="1272" t="s">
        <v>1728</v>
      </c>
      <c r="C6" s="317"/>
      <c r="D6" s="317"/>
    </row>
    <row r="7" spans="1:7" ht="61.15" customHeight="1" x14ac:dyDescent="0.2">
      <c r="A7" s="2437" t="s">
        <v>1729</v>
      </c>
      <c r="B7" s="2437"/>
      <c r="C7" s="2437"/>
      <c r="D7" s="2437"/>
      <c r="E7" s="2437"/>
      <c r="F7" s="2437"/>
    </row>
    <row r="8" spans="1:7" ht="12" customHeight="1" x14ac:dyDescent="0.2">
      <c r="A8" s="1272"/>
      <c r="B8" s="1278"/>
      <c r="C8" s="1278"/>
      <c r="D8" s="1278"/>
    </row>
    <row r="9" spans="1:7" ht="15" customHeight="1" x14ac:dyDescent="0.2">
      <c r="A9" s="1273" t="s">
        <v>1730</v>
      </c>
      <c r="B9" s="1276"/>
      <c r="C9" s="1276"/>
      <c r="D9" s="1276"/>
      <c r="E9" s="1274"/>
      <c r="F9" s="1274"/>
      <c r="G9" s="1274"/>
    </row>
    <row r="10" spans="1:7" ht="15" customHeight="1" x14ac:dyDescent="0.2">
      <c r="A10" s="1275" t="s">
        <v>1547</v>
      </c>
      <c r="B10" s="1276"/>
      <c r="C10" s="1277"/>
      <c r="D10" s="1276" t="s">
        <v>1548</v>
      </c>
      <c r="E10" s="1277"/>
      <c r="F10" s="1276" t="s">
        <v>99</v>
      </c>
      <c r="G10" s="1274"/>
    </row>
    <row r="11" spans="1:7" ht="12" customHeight="1" x14ac:dyDescent="0.2">
      <c r="A11" s="1275"/>
      <c r="B11" s="1276"/>
      <c r="C11" s="1901"/>
      <c r="D11" s="1276"/>
      <c r="E11" s="1901"/>
      <c r="F11" s="1276"/>
      <c r="G11" s="1274"/>
    </row>
    <row r="12" spans="1:7" x14ac:dyDescent="0.2">
      <c r="A12" s="1272" t="s">
        <v>1587</v>
      </c>
      <c r="C12" s="1256"/>
      <c r="D12" s="1256"/>
    </row>
    <row r="13" spans="1:7" ht="15" customHeight="1" x14ac:dyDescent="0.2">
      <c r="A13" s="2437" t="s">
        <v>1731</v>
      </c>
      <c r="B13" s="2437"/>
      <c r="C13" s="2437"/>
      <c r="D13" s="2437"/>
      <c r="E13" s="2437"/>
      <c r="F13" s="2437"/>
    </row>
    <row r="14" spans="1:7" ht="9.75" customHeight="1" x14ac:dyDescent="0.2">
      <c r="C14" s="1256"/>
      <c r="D14" s="1256"/>
    </row>
    <row r="15" spans="1:7" ht="13.5" customHeight="1" x14ac:dyDescent="0.2">
      <c r="C15" s="1845" t="s">
        <v>1270</v>
      </c>
      <c r="D15" s="2442" t="s">
        <v>1269</v>
      </c>
      <c r="E15" s="2442"/>
      <c r="F15" s="2442"/>
    </row>
    <row r="16" spans="1:7" ht="13.5" customHeight="1" x14ac:dyDescent="0.2">
      <c r="A16" s="1278"/>
      <c r="B16" s="1272" t="s">
        <v>1268</v>
      </c>
      <c r="C16" s="1845" t="s">
        <v>1267</v>
      </c>
      <c r="D16" s="2443" t="s">
        <v>1588</v>
      </c>
      <c r="E16" s="2443"/>
      <c r="F16" s="2443"/>
    </row>
    <row r="17" spans="1:6" ht="20.45" customHeight="1" x14ac:dyDescent="0.2">
      <c r="A17" s="1279"/>
      <c r="B17" s="1280"/>
      <c r="C17" s="1281"/>
      <c r="D17" s="2441"/>
      <c r="E17" s="2441"/>
      <c r="F17" s="2441"/>
    </row>
    <row r="18" spans="1:6" ht="20.85" customHeight="1" x14ac:dyDescent="0.2">
      <c r="A18" s="1279"/>
      <c r="B18" s="1280"/>
      <c r="C18" s="1281"/>
      <c r="D18" s="2441"/>
      <c r="E18" s="2441"/>
      <c r="F18" s="2441"/>
    </row>
    <row r="19" spans="1:6" ht="20.85" customHeight="1" x14ac:dyDescent="0.2">
      <c r="A19" s="1279"/>
      <c r="B19" s="1280"/>
      <c r="C19" s="1281"/>
      <c r="D19" s="2441"/>
      <c r="E19" s="2441"/>
      <c r="F19" s="2441"/>
    </row>
    <row r="20" spans="1:6" ht="20.85" customHeight="1" x14ac:dyDescent="0.2">
      <c r="A20" s="1279"/>
      <c r="B20" s="1280"/>
      <c r="C20" s="1281"/>
      <c r="D20" s="2441"/>
      <c r="E20" s="2441"/>
      <c r="F20" s="2441"/>
    </row>
    <row r="21" spans="1:6" ht="20.85" customHeight="1" x14ac:dyDescent="0.2">
      <c r="A21" s="1279"/>
      <c r="B21" s="1280"/>
      <c r="C21" s="1281"/>
      <c r="D21" s="2441"/>
      <c r="E21" s="2441"/>
      <c r="F21" s="2441"/>
    </row>
    <row r="22" spans="1:6" ht="20.85" customHeight="1" x14ac:dyDescent="0.2">
      <c r="A22" s="1279"/>
      <c r="B22" s="1280"/>
      <c r="C22" s="1281"/>
      <c r="D22" s="2441"/>
      <c r="E22" s="2441"/>
      <c r="F22" s="2441"/>
    </row>
    <row r="23" spans="1:6" ht="20.85" customHeight="1" x14ac:dyDescent="0.2">
      <c r="A23" s="1279"/>
      <c r="B23" s="1280"/>
      <c r="C23" s="1281"/>
      <c r="D23" s="2441"/>
      <c r="E23" s="2441"/>
      <c r="F23" s="2441"/>
    </row>
    <row r="24" spans="1:6" ht="20.85" customHeight="1" x14ac:dyDescent="0.2">
      <c r="A24" s="1279"/>
      <c r="B24" s="1280"/>
      <c r="C24" s="1281"/>
      <c r="D24" s="2441"/>
      <c r="E24" s="2441"/>
      <c r="F24" s="2441"/>
    </row>
    <row r="25" spans="1:6" ht="20.85" customHeight="1" x14ac:dyDescent="0.2">
      <c r="A25" s="1279"/>
      <c r="B25" s="1280"/>
      <c r="C25" s="1281"/>
      <c r="D25" s="2441"/>
      <c r="E25" s="2441"/>
      <c r="F25" s="2441"/>
    </row>
    <row r="26" spans="1:6" ht="20.85" customHeight="1" x14ac:dyDescent="0.2">
      <c r="A26" s="1279"/>
      <c r="B26" s="1280"/>
      <c r="C26" s="1281"/>
      <c r="D26" s="2441"/>
      <c r="E26" s="2441"/>
      <c r="F26" s="2441"/>
    </row>
    <row r="27" spans="1:6" ht="20.85" customHeight="1" x14ac:dyDescent="0.2">
      <c r="A27" s="1279"/>
      <c r="B27" s="1280"/>
      <c r="C27" s="1281"/>
      <c r="D27" s="2441"/>
      <c r="E27" s="2441"/>
      <c r="F27" s="2441"/>
    </row>
    <row r="28" spans="1:6" ht="20.85" customHeight="1" x14ac:dyDescent="0.2">
      <c r="A28" s="1279"/>
      <c r="B28" s="1280"/>
      <c r="C28" s="1281"/>
      <c r="D28" s="2441"/>
      <c r="E28" s="2441"/>
      <c r="F28" s="2441"/>
    </row>
    <row r="29" spans="1:6" ht="20.85" customHeight="1" x14ac:dyDescent="0.2">
      <c r="A29" s="1279"/>
      <c r="B29" s="1280"/>
      <c r="C29" s="1281"/>
      <c r="D29" s="2441"/>
      <c r="E29" s="2441"/>
      <c r="F29" s="2441"/>
    </row>
    <row r="30" spans="1:6" ht="12" customHeight="1" x14ac:dyDescent="0.2">
      <c r="A30" s="328"/>
      <c r="B30" s="328"/>
      <c r="C30" s="1461"/>
      <c r="D30" s="1902"/>
      <c r="E30" s="1282"/>
    </row>
    <row r="31" spans="1:6" ht="12" customHeight="1" x14ac:dyDescent="0.2">
      <c r="A31" s="1283" t="s">
        <v>1549</v>
      </c>
      <c r="B31" s="328"/>
      <c r="C31" s="1461"/>
      <c r="D31" s="1902"/>
      <c r="E31" s="1282"/>
    </row>
    <row r="32" spans="1:6" ht="30" customHeight="1" x14ac:dyDescent="0.2">
      <c r="A32" s="2445" t="s">
        <v>1732</v>
      </c>
      <c r="B32" s="2445"/>
      <c r="C32" s="2445"/>
      <c r="D32" s="2445"/>
      <c r="E32" s="2445"/>
      <c r="F32" s="2445"/>
    </row>
    <row r="33" spans="1:6" ht="13.5" customHeight="1" x14ac:dyDescent="0.2">
      <c r="A33" s="328" t="s">
        <v>1434</v>
      </c>
      <c r="B33" s="328"/>
      <c r="C33" s="1284">
        <v>0</v>
      </c>
      <c r="D33" s="1902"/>
      <c r="E33" s="1282"/>
    </row>
    <row r="34" spans="1:6" ht="13.5" customHeight="1" x14ac:dyDescent="0.2">
      <c r="A34" s="328" t="s">
        <v>1838</v>
      </c>
      <c r="B34" s="328"/>
      <c r="C34" s="1285">
        <v>0</v>
      </c>
      <c r="D34" s="1902" t="s">
        <v>1589</v>
      </c>
      <c r="E34" s="2446">
        <f>+C33+C34</f>
        <v>0</v>
      </c>
      <c r="F34" s="2447"/>
    </row>
    <row r="35" spans="1:6" ht="12" customHeight="1" x14ac:dyDescent="0.2">
      <c r="A35" s="328"/>
      <c r="B35" s="328"/>
      <c r="C35" s="1903"/>
      <c r="D35" s="1902"/>
      <c r="E35" s="1286"/>
      <c r="F35" s="1287"/>
    </row>
    <row r="36" spans="1:6" ht="13.5" customHeight="1" x14ac:dyDescent="0.2">
      <c r="A36" s="1283" t="s">
        <v>1550</v>
      </c>
      <c r="B36" s="328"/>
      <c r="C36" s="1461"/>
      <c r="D36" s="1902"/>
      <c r="E36" s="1282"/>
    </row>
    <row r="37" spans="1:6" ht="14.25" customHeight="1" x14ac:dyDescent="0.2">
      <c r="A37" s="328" t="s">
        <v>1484</v>
      </c>
      <c r="B37" s="328"/>
      <c r="C37" s="1904"/>
      <c r="D37" s="1902"/>
      <c r="E37" s="1282"/>
    </row>
    <row r="38" spans="1:6" ht="14.25" customHeight="1" x14ac:dyDescent="0.2">
      <c r="A38" s="328"/>
      <c r="B38" s="328" t="s">
        <v>1435</v>
      </c>
      <c r="C38" s="1288"/>
      <c r="D38" s="1902"/>
      <c r="E38" s="1282"/>
    </row>
    <row r="39" spans="1:6" ht="14.25" customHeight="1" x14ac:dyDescent="0.2">
      <c r="A39" s="328"/>
      <c r="B39" s="328" t="s">
        <v>1436</v>
      </c>
      <c r="C39" s="1288"/>
      <c r="D39" s="1902"/>
      <c r="E39" s="1282"/>
    </row>
    <row r="40" spans="1:6" ht="14.25" customHeight="1" x14ac:dyDescent="0.2">
      <c r="A40" s="328"/>
      <c r="B40" s="328" t="s">
        <v>1437</v>
      </c>
      <c r="C40" s="1288"/>
      <c r="D40" s="1902"/>
      <c r="E40" s="1282"/>
    </row>
    <row r="41" spans="1:6" ht="14.25" customHeight="1" x14ac:dyDescent="0.2">
      <c r="A41" s="328"/>
      <c r="B41" s="328" t="s">
        <v>1438</v>
      </c>
      <c r="C41" s="1288"/>
      <c r="D41" s="1902"/>
      <c r="E41" s="1282"/>
    </row>
    <row r="42" spans="1:6" ht="14.25" customHeight="1" x14ac:dyDescent="0.2">
      <c r="A42" s="328" t="s">
        <v>1439</v>
      </c>
      <c r="B42" s="328"/>
      <c r="C42" s="1900"/>
      <c r="D42" s="1902"/>
      <c r="E42" s="1282"/>
    </row>
    <row r="43" spans="1:6" ht="14.25" customHeight="1" x14ac:dyDescent="0.2">
      <c r="A43" s="328" t="s">
        <v>1440</v>
      </c>
      <c r="B43" s="328"/>
      <c r="C43" s="1289"/>
      <c r="D43" s="1902"/>
      <c r="E43" s="1282"/>
    </row>
    <row r="44" spans="1:6" ht="14.25" customHeight="1" x14ac:dyDescent="0.2">
      <c r="A44" s="328"/>
      <c r="B44" s="328"/>
      <c r="C44" s="1904" t="s">
        <v>1441</v>
      </c>
      <c r="D44" s="1902"/>
      <c r="E44" s="1282"/>
    </row>
    <row r="45" spans="1:6" ht="13.5" customHeight="1" x14ac:dyDescent="0.2">
      <c r="B45" s="322"/>
      <c r="C45" s="1290"/>
      <c r="D45" s="1290"/>
    </row>
    <row r="46" spans="1:6" x14ac:dyDescent="0.2">
      <c r="A46" s="1291" t="s">
        <v>1733</v>
      </c>
      <c r="C46" s="317"/>
      <c r="D46" s="317"/>
    </row>
    <row r="47" spans="1:6" s="322" customFormat="1" ht="11.4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48" t="s">
        <v>1590</v>
      </c>
      <c r="C49" s="2448"/>
      <c r="D49" s="2448"/>
      <c r="E49" s="1395"/>
    </row>
    <row r="50" spans="1:5" s="1296" customFormat="1" ht="3.95" customHeight="1" x14ac:dyDescent="0.2">
      <c r="A50" s="1295"/>
      <c r="B50" s="1844"/>
      <c r="C50" s="1844"/>
      <c r="D50" s="1844"/>
      <c r="E50" s="1395"/>
    </row>
    <row r="51" spans="1:5" s="1296" customFormat="1" ht="20.25" customHeight="1" x14ac:dyDescent="0.2">
      <c r="A51" s="1297">
        <v>6</v>
      </c>
      <c r="B51" s="2444" t="s">
        <v>1551</v>
      </c>
      <c r="C51" s="2444"/>
      <c r="D51" s="2444"/>
    </row>
    <row r="52" spans="1:5" ht="14.25" customHeight="1" x14ac:dyDescent="0.2">
      <c r="A52" s="1297"/>
      <c r="B52" s="2444"/>
      <c r="C52" s="2444"/>
      <c r="D52" s="2444"/>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3" t="str">
        <f>'Single Audit Cover'!A7</f>
        <v>Cowden-Herrick CUSD 3A</v>
      </c>
      <c r="C1" s="2454"/>
      <c r="D1" s="2454"/>
      <c r="E1" s="2454"/>
      <c r="F1" s="2454"/>
      <c r="G1" s="2454"/>
      <c r="H1" s="2454"/>
      <c r="I1" s="2454"/>
      <c r="J1" s="1405"/>
    </row>
    <row r="2" spans="2:10" s="317" customFormat="1" ht="12.75" customHeight="1" x14ac:dyDescent="0.2">
      <c r="B2" s="2455" t="str">
        <f>'Single Audit Cover'!E7</f>
        <v>11087003A26</v>
      </c>
      <c r="C2" s="2456"/>
      <c r="D2" s="2456"/>
      <c r="E2" s="2456"/>
      <c r="F2" s="2456"/>
      <c r="G2" s="2456"/>
      <c r="H2" s="2456"/>
      <c r="I2" s="2456"/>
      <c r="J2" s="1405"/>
    </row>
    <row r="3" spans="2:10" s="317" customFormat="1" ht="12.75" customHeight="1" x14ac:dyDescent="0.2">
      <c r="B3" s="2457" t="s">
        <v>1285</v>
      </c>
      <c r="C3" s="2458"/>
      <c r="D3" s="2458"/>
      <c r="E3" s="2458"/>
      <c r="F3" s="2458"/>
      <c r="G3" s="2458"/>
      <c r="H3" s="2458"/>
      <c r="I3" s="2458"/>
      <c r="J3" s="1406"/>
    </row>
    <row r="4" spans="2:10" s="317" customFormat="1" ht="12.75" customHeight="1" x14ac:dyDescent="0.2">
      <c r="B4" s="2457" t="str">
        <f>'Single Audit Cover'!A4</f>
        <v>Year Ending June 30, 2019</v>
      </c>
      <c r="C4" s="2458"/>
      <c r="D4" s="2458"/>
      <c r="E4" s="2458"/>
      <c r="F4" s="2458"/>
      <c r="G4" s="2458"/>
      <c r="H4" s="2458"/>
      <c r="I4" s="2458"/>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57" t="s">
        <v>1284</v>
      </c>
      <c r="C7" s="2458"/>
      <c r="D7" s="2458"/>
      <c r="E7" s="2458"/>
      <c r="F7" s="2458"/>
      <c r="G7" s="2458"/>
      <c r="H7" s="2458"/>
      <c r="I7" s="2458"/>
    </row>
    <row r="8" spans="2:10" s="317" customFormat="1" ht="6.2" customHeight="1" x14ac:dyDescent="0.2">
      <c r="B8" s="1409" t="s">
        <v>1169</v>
      </c>
      <c r="C8" s="1410"/>
      <c r="D8" s="1410"/>
      <c r="E8" s="1411"/>
      <c r="F8" s="1410"/>
      <c r="G8" s="1410"/>
      <c r="H8" s="1410"/>
      <c r="I8" s="1410"/>
    </row>
    <row r="9" spans="2:10" s="317" customFormat="1" ht="9.1999999999999993"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59"/>
      <c r="D11" s="2459"/>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c r="H27" s="1296" t="s">
        <v>1276</v>
      </c>
      <c r="I27" s="1296"/>
    </row>
    <row r="28" spans="2:9" s="317" customFormat="1" ht="12.75" customHeight="1" x14ac:dyDescent="0.2">
      <c r="B28" s="1364"/>
      <c r="C28" s="1278"/>
      <c r="E28" s="1254"/>
    </row>
    <row r="29" spans="2:9" s="317" customFormat="1" ht="12.75" customHeight="1" x14ac:dyDescent="0.2">
      <c r="B29" s="1364" t="s">
        <v>1275</v>
      </c>
      <c r="C29" s="1278"/>
      <c r="D29" s="2460"/>
      <c r="E29" s="2460"/>
      <c r="F29" s="2460"/>
      <c r="G29" s="2460"/>
      <c r="H29" s="2460"/>
      <c r="I29" s="2460"/>
    </row>
    <row r="30" spans="2:9" s="317" customFormat="1" x14ac:dyDescent="0.2">
      <c r="B30" s="1364"/>
      <c r="C30" s="322"/>
      <c r="D30" s="1416" t="s">
        <v>1748</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c r="H33" s="1296" t="s">
        <v>99</v>
      </c>
    </row>
    <row r="35" spans="2:9" x14ac:dyDescent="0.2">
      <c r="B35" s="1424" t="s">
        <v>1749</v>
      </c>
      <c r="C35" s="1425"/>
      <c r="D35" s="1263"/>
    </row>
    <row r="36" spans="2:9" ht="6" customHeight="1" x14ac:dyDescent="0.2">
      <c r="B36" s="1424"/>
      <c r="C36" s="1425"/>
      <c r="D36" s="1263"/>
    </row>
    <row r="37" spans="2:9" ht="17.25" customHeight="1" x14ac:dyDescent="0.2">
      <c r="B37" s="1426" t="s">
        <v>1750</v>
      </c>
      <c r="C37" s="2461" t="s">
        <v>1751</v>
      </c>
      <c r="D37" s="2462"/>
      <c r="E37" s="2462"/>
      <c r="F37" s="2463"/>
      <c r="G37" s="2461" t="s">
        <v>1592</v>
      </c>
      <c r="H37" s="2462"/>
      <c r="I37" s="2463"/>
    </row>
    <row r="38" spans="2:9" ht="16.7" customHeight="1" x14ac:dyDescent="0.2">
      <c r="B38" s="1427"/>
      <c r="C38" s="2449"/>
      <c r="D38" s="2450"/>
      <c r="E38" s="2450"/>
      <c r="F38" s="2451"/>
      <c r="G38" s="2464"/>
      <c r="H38" s="2465"/>
      <c r="I38" s="2466"/>
    </row>
    <row r="39" spans="2:9" ht="16.7" customHeight="1" x14ac:dyDescent="0.2">
      <c r="B39" s="1427"/>
      <c r="C39" s="2449"/>
      <c r="D39" s="2450"/>
      <c r="E39" s="2450"/>
      <c r="F39" s="2451"/>
      <c r="G39" s="2452"/>
      <c r="H39" s="2452"/>
      <c r="I39" s="2452"/>
    </row>
    <row r="40" spans="2:9" ht="16.7" customHeight="1" x14ac:dyDescent="0.2">
      <c r="B40" s="1427"/>
      <c r="C40" s="2449"/>
      <c r="D40" s="2450"/>
      <c r="E40" s="2450"/>
      <c r="F40" s="2451"/>
      <c r="G40" s="2452"/>
      <c r="H40" s="2452"/>
      <c r="I40" s="2452"/>
    </row>
    <row r="41" spans="2:9" ht="16.7" customHeight="1" x14ac:dyDescent="0.2">
      <c r="B41" s="1427"/>
      <c r="C41" s="2449"/>
      <c r="D41" s="2450"/>
      <c r="E41" s="2450"/>
      <c r="F41" s="2451"/>
      <c r="G41" s="2452"/>
      <c r="H41" s="2452"/>
      <c r="I41" s="2452"/>
    </row>
    <row r="42" spans="2:9" ht="16.7" customHeight="1" x14ac:dyDescent="0.2">
      <c r="B42" s="1427"/>
      <c r="C42" s="2449"/>
      <c r="D42" s="2450"/>
      <c r="E42" s="2450"/>
      <c r="F42" s="2451"/>
      <c r="G42" s="2452"/>
      <c r="H42" s="2452"/>
      <c r="I42" s="2452"/>
    </row>
    <row r="43" spans="2:9" ht="16.7" customHeight="1" x14ac:dyDescent="0.2">
      <c r="B43" s="1427"/>
      <c r="C43" s="2467" t="s">
        <v>1593</v>
      </c>
      <c r="D43" s="2468"/>
      <c r="E43" s="2468"/>
      <c r="F43" s="2469"/>
      <c r="G43" s="2470">
        <f>SUM(G38:I42)</f>
        <v>0</v>
      </c>
      <c r="H43" s="2470"/>
      <c r="I43" s="2470"/>
    </row>
    <row r="44" spans="2:9" ht="12.75" customHeight="1" x14ac:dyDescent="0.2"/>
    <row r="45" spans="2:9" ht="12.75" customHeight="1" x14ac:dyDescent="0.2">
      <c r="B45" s="1418" t="s">
        <v>1841</v>
      </c>
      <c r="D45" s="2471">
        <v>0</v>
      </c>
      <c r="E45" s="2472"/>
    </row>
    <row r="46" spans="2:9" ht="5.25" customHeight="1" x14ac:dyDescent="0.2">
      <c r="B46" s="1428"/>
      <c r="D46" s="1429"/>
      <c r="E46" s="1430"/>
    </row>
    <row r="47" spans="2:9" ht="12.75" customHeight="1" x14ac:dyDescent="0.2">
      <c r="B47" s="1296" t="s">
        <v>1594</v>
      </c>
      <c r="C47" s="1296"/>
      <c r="D47" s="1431" t="e">
        <f>+G43/D45</f>
        <v>#DIV/0!</v>
      </c>
      <c r="E47" s="1432"/>
      <c r="F47" s="1433"/>
      <c r="I47" s="1434"/>
    </row>
    <row r="48" spans="2:9" ht="9.9499999999999993" customHeight="1" x14ac:dyDescent="0.2"/>
    <row r="49" spans="1:9" x14ac:dyDescent="0.2">
      <c r="B49" s="1364" t="s">
        <v>1273</v>
      </c>
      <c r="C49" s="1278"/>
      <c r="D49" s="1278"/>
      <c r="E49" s="2473"/>
      <c r="F49" s="2473"/>
      <c r="G49" s="2473"/>
      <c r="H49" s="322"/>
    </row>
    <row r="51" spans="1:9" ht="13.5" customHeight="1" x14ac:dyDescent="0.2">
      <c r="B51" s="1364" t="s">
        <v>1272</v>
      </c>
      <c r="C51" s="1278"/>
      <c r="E51" s="1421"/>
      <c r="F51" s="1296" t="s">
        <v>885</v>
      </c>
      <c r="G51" s="1421"/>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1752</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1753</v>
      </c>
      <c r="C58" s="1447"/>
      <c r="D58" s="1447"/>
    </row>
    <row r="59" spans="1:9" s="1444" customFormat="1" ht="3.95" customHeight="1" x14ac:dyDescent="0.2">
      <c r="A59" s="1441"/>
      <c r="B59" s="1446"/>
      <c r="C59" s="1447"/>
      <c r="D59" s="1447"/>
    </row>
    <row r="60" spans="1:9" s="1444" customFormat="1" ht="13.5" customHeight="1" x14ac:dyDescent="0.2">
      <c r="A60" s="1441"/>
      <c r="B60" s="1446" t="s">
        <v>1754</v>
      </c>
      <c r="C60" s="1447"/>
      <c r="D60" s="1447"/>
    </row>
    <row r="61" spans="1:9" s="1444" customFormat="1" ht="3.95" customHeight="1" x14ac:dyDescent="0.2">
      <c r="A61" s="1441"/>
      <c r="B61" s="1446"/>
      <c r="C61" s="1447"/>
      <c r="D61" s="1447"/>
    </row>
    <row r="62" spans="1:9" s="1444" customFormat="1" ht="12.75" customHeight="1" x14ac:dyDescent="0.2">
      <c r="A62" s="1441"/>
      <c r="B62" s="1446" t="s">
        <v>1755</v>
      </c>
      <c r="C62" s="1447"/>
      <c r="D62" s="1447"/>
    </row>
    <row r="63" spans="1:9" s="1444" customFormat="1" ht="13.5" customHeight="1" x14ac:dyDescent="0.2">
      <c r="A63" s="1441"/>
      <c r="B63" s="1445" t="s">
        <v>1597</v>
      </c>
      <c r="C63" s="1441"/>
      <c r="D63" s="1441"/>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3" t="str">
        <f>'Single Audit Cover'!A7</f>
        <v>Cowden-Herrick CUSD 3A</v>
      </c>
      <c r="C1" s="2453"/>
      <c r="D1" s="2453"/>
      <c r="E1" s="2453"/>
      <c r="F1" s="2453"/>
      <c r="G1" s="2453"/>
      <c r="H1" s="2453"/>
      <c r="I1" s="2453"/>
      <c r="J1" s="2453"/>
      <c r="K1" s="2453"/>
      <c r="L1" s="1370"/>
      <c r="M1" s="1370"/>
    </row>
    <row r="2" spans="1:13" ht="12" customHeight="1" x14ac:dyDescent="0.2">
      <c r="B2" s="2455" t="str">
        <f>'Single Audit Cover'!E7</f>
        <v>11087003A26</v>
      </c>
      <c r="C2" s="2455"/>
      <c r="D2" s="2455"/>
      <c r="E2" s="2455"/>
      <c r="F2" s="2455"/>
      <c r="G2" s="2455"/>
      <c r="H2" s="2455"/>
      <c r="I2" s="2455"/>
      <c r="J2" s="2455"/>
      <c r="K2" s="2455"/>
      <c r="L2" s="1371"/>
      <c r="M2" s="1372"/>
    </row>
    <row r="3" spans="1:13" ht="10.35" customHeight="1" x14ac:dyDescent="0.2">
      <c r="B3" s="2476" t="s">
        <v>1285</v>
      </c>
      <c r="C3" s="2476"/>
      <c r="D3" s="2476"/>
      <c r="E3" s="2476"/>
      <c r="F3" s="2476"/>
      <c r="G3" s="2476"/>
      <c r="H3" s="2476"/>
      <c r="I3" s="2476"/>
      <c r="J3" s="2476"/>
      <c r="K3" s="2476"/>
      <c r="L3" s="1373"/>
      <c r="M3" s="1373"/>
    </row>
    <row r="4" spans="1:13" ht="14.25" customHeight="1" x14ac:dyDescent="0.2">
      <c r="B4" s="2477" t="str">
        <f>'Single Audit Cover'!A4</f>
        <v>Year Ending June 30, 2019</v>
      </c>
      <c r="C4" s="2477"/>
      <c r="D4" s="2477"/>
      <c r="E4" s="2477"/>
      <c r="F4" s="2477"/>
      <c r="G4" s="2477"/>
      <c r="H4" s="2477"/>
      <c r="I4" s="2477"/>
      <c r="J4" s="2477"/>
      <c r="K4" s="2477"/>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77" t="s">
        <v>1296</v>
      </c>
      <c r="C7" s="2477"/>
      <c r="D7" s="2478"/>
      <c r="E7" s="2478"/>
      <c r="F7" s="2478"/>
      <c r="G7" s="2478"/>
      <c r="H7" s="2478"/>
      <c r="I7" s="2478"/>
      <c r="J7" s="2478"/>
      <c r="K7" s="2478"/>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7" customHeight="1" x14ac:dyDescent="0.2">
      <c r="B10" s="1380" t="s">
        <v>1742</v>
      </c>
      <c r="C10" s="1381" t="s">
        <v>1991</v>
      </c>
      <c r="D10" s="1382"/>
      <c r="E10" s="322"/>
      <c r="F10" s="1383" t="s">
        <v>1295</v>
      </c>
      <c r="G10" s="1384"/>
      <c r="H10" s="1385" t="s">
        <v>1294</v>
      </c>
      <c r="I10" s="1384"/>
      <c r="J10" s="1386" t="s">
        <v>1293</v>
      </c>
      <c r="K10" s="322"/>
      <c r="L10" s="1377"/>
    </row>
    <row r="11" spans="1:13" ht="13.5" customHeight="1" x14ac:dyDescent="0.2">
      <c r="B11" s="322"/>
      <c r="C11" s="322"/>
      <c r="D11" s="322"/>
      <c r="E11" s="322"/>
      <c r="F11" s="322"/>
      <c r="G11" s="1379"/>
      <c r="H11" s="322"/>
      <c r="I11" s="1387" t="s">
        <v>1292</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475"/>
      <c r="C14" s="2475"/>
      <c r="D14" s="2475"/>
      <c r="E14" s="2475"/>
      <c r="F14" s="2475"/>
      <c r="G14" s="2475"/>
      <c r="H14" s="2475"/>
      <c r="I14" s="2475"/>
      <c r="J14" s="2475"/>
      <c r="K14" s="2475"/>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475"/>
      <c r="C17" s="2475"/>
      <c r="D17" s="2475"/>
      <c r="E17" s="2475"/>
      <c r="F17" s="2475"/>
      <c r="G17" s="2475"/>
      <c r="H17" s="2475"/>
      <c r="I17" s="2475"/>
      <c r="J17" s="2475"/>
      <c r="K17" s="2475"/>
      <c r="L17" s="1377"/>
    </row>
    <row r="18" spans="2:12" ht="4.5" customHeight="1" x14ac:dyDescent="0.2">
      <c r="B18" s="1394"/>
      <c r="C18" s="1394"/>
      <c r="L18" s="1377"/>
    </row>
    <row r="19" spans="2:12" s="1278" customFormat="1" ht="13.5" customHeight="1" x14ac:dyDescent="0.2">
      <c r="B19" s="1389" t="s">
        <v>1743</v>
      </c>
      <c r="C19" s="1389"/>
      <c r="D19" s="1390"/>
      <c r="E19" s="1390"/>
      <c r="F19" s="1390"/>
      <c r="G19" s="1391"/>
      <c r="H19" s="1390"/>
      <c r="I19" s="1391"/>
      <c r="J19" s="1390"/>
      <c r="K19" s="1390"/>
      <c r="L19" s="1392"/>
    </row>
    <row r="20" spans="2:12" ht="45.75" customHeight="1" x14ac:dyDescent="0.2">
      <c r="B20" s="2479"/>
      <c r="C20" s="2479"/>
      <c r="D20" s="2475"/>
      <c r="E20" s="2475"/>
      <c r="F20" s="2475"/>
      <c r="G20" s="2475"/>
      <c r="H20" s="2475"/>
      <c r="I20" s="2475"/>
      <c r="J20" s="2475"/>
      <c r="K20" s="2475"/>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2" customHeight="1" x14ac:dyDescent="0.2">
      <c r="B23" s="2475"/>
      <c r="C23" s="2475"/>
      <c r="D23" s="2475"/>
      <c r="E23" s="2475"/>
      <c r="F23" s="2475"/>
      <c r="G23" s="2475"/>
      <c r="H23" s="2475"/>
      <c r="I23" s="2475"/>
      <c r="J23" s="2475"/>
      <c r="K23" s="2475"/>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475"/>
      <c r="C26" s="2475"/>
      <c r="D26" s="2475"/>
      <c r="E26" s="2475"/>
      <c r="F26" s="2475"/>
      <c r="G26" s="2475"/>
      <c r="H26" s="2475"/>
      <c r="I26" s="2475"/>
      <c r="J26" s="2475"/>
      <c r="K26" s="2475"/>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474"/>
      <c r="C29" s="2474"/>
      <c r="D29" s="2475"/>
      <c r="E29" s="2475"/>
      <c r="F29" s="2475"/>
      <c r="G29" s="2475"/>
      <c r="H29" s="2475"/>
      <c r="I29" s="2475"/>
      <c r="J29" s="2475"/>
      <c r="K29" s="2475"/>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1744</v>
      </c>
      <c r="C31" s="1399"/>
      <c r="D31" s="1374"/>
      <c r="E31" s="1375"/>
      <c r="F31" s="1375"/>
      <c r="G31" s="1376"/>
      <c r="H31" s="1375"/>
      <c r="I31" s="1376"/>
      <c r="J31" s="1375"/>
      <c r="K31" s="1375"/>
      <c r="L31" s="1377"/>
    </row>
    <row r="32" spans="2:12" s="322" customFormat="1" ht="44.25" customHeight="1" x14ac:dyDescent="0.2">
      <c r="B32" s="2474"/>
      <c r="C32" s="2474"/>
      <c r="D32" s="2475"/>
      <c r="E32" s="2475"/>
      <c r="F32" s="2475"/>
      <c r="G32" s="2475"/>
      <c r="H32" s="2475"/>
      <c r="I32" s="2475"/>
      <c r="J32" s="2475"/>
      <c r="K32" s="2475"/>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1745</v>
      </c>
      <c r="C35" s="1402"/>
      <c r="D35" s="322"/>
      <c r="E35" s="322"/>
      <c r="F35" s="322"/>
      <c r="L35" s="1377"/>
    </row>
    <row r="36" spans="1:13" ht="9.6" customHeight="1" x14ac:dyDescent="0.2">
      <c r="B36" s="1296" t="s">
        <v>1842</v>
      </c>
      <c r="C36" s="1296"/>
      <c r="L36" s="1377"/>
    </row>
    <row r="37" spans="1:13" ht="9.6" customHeight="1" x14ac:dyDescent="0.2">
      <c r="B37" s="1296" t="s">
        <v>1843</v>
      </c>
      <c r="C37" s="1296"/>
    </row>
    <row r="38" spans="1:13" ht="11.85" customHeight="1" x14ac:dyDescent="0.2">
      <c r="B38" s="1403" t="s">
        <v>1746</v>
      </c>
      <c r="C38" s="1403"/>
    </row>
    <row r="39" spans="1:13" ht="9.6" customHeight="1" x14ac:dyDescent="0.2">
      <c r="B39" s="1296" t="s">
        <v>1286</v>
      </c>
      <c r="C39" s="1296"/>
      <c r="M39" s="1404"/>
    </row>
    <row r="40" spans="1:13" ht="12.6" customHeight="1" x14ac:dyDescent="0.2">
      <c r="B40" s="1403" t="s">
        <v>1747</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0" t="str">
        <f>'Single Audit Cover'!A7</f>
        <v>Cowden-Herrick CUSD 3A</v>
      </c>
      <c r="C1" s="2480"/>
      <c r="D1" s="2480"/>
      <c r="E1" s="2480"/>
      <c r="F1" s="2480"/>
      <c r="G1" s="2480"/>
      <c r="H1" s="2480"/>
      <c r="I1" s="2480"/>
      <c r="J1" s="2480"/>
      <c r="K1" s="2480"/>
      <c r="L1" s="1448"/>
    </row>
    <row r="2" spans="1:12" ht="12.75" customHeight="1" x14ac:dyDescent="0.2">
      <c r="B2" s="2481" t="str">
        <f>'Single Audit Cover'!E7</f>
        <v>11087003A26</v>
      </c>
      <c r="C2" s="2481"/>
      <c r="D2" s="2481"/>
      <c r="E2" s="2481"/>
      <c r="F2" s="2481"/>
      <c r="G2" s="2481"/>
      <c r="H2" s="2481"/>
      <c r="I2" s="2481"/>
      <c r="J2" s="2481"/>
      <c r="K2" s="2481"/>
      <c r="L2" s="1449"/>
    </row>
    <row r="3" spans="1:12" ht="12.75" customHeight="1" x14ac:dyDescent="0.2">
      <c r="B3" s="2476" t="s">
        <v>1285</v>
      </c>
      <c r="C3" s="2476"/>
      <c r="D3" s="2476"/>
      <c r="E3" s="2476"/>
      <c r="F3" s="2476"/>
      <c r="G3" s="2476"/>
      <c r="H3" s="2476"/>
      <c r="I3" s="2476"/>
      <c r="J3" s="2476"/>
      <c r="K3" s="2476"/>
      <c r="L3" s="1373"/>
    </row>
    <row r="4" spans="1:12" ht="12.75" customHeight="1" x14ac:dyDescent="0.2">
      <c r="B4" s="2476" t="str">
        <f>'Single Audit Cover'!A4</f>
        <v>Year Ending June 30, 2019</v>
      </c>
      <c r="C4" s="2476"/>
      <c r="D4" s="2476"/>
      <c r="E4" s="2476"/>
      <c r="F4" s="2476"/>
      <c r="G4" s="2476"/>
      <c r="H4" s="2476"/>
      <c r="I4" s="2476"/>
      <c r="J4" s="2476"/>
      <c r="K4" s="2476"/>
      <c r="L4" s="1373"/>
    </row>
    <row r="5" spans="1:12" ht="5.25" customHeight="1" x14ac:dyDescent="0.2">
      <c r="B5" s="1256" t="s">
        <v>1169</v>
      </c>
      <c r="C5" s="1256"/>
      <c r="L5" s="322"/>
    </row>
    <row r="6" spans="1:12" ht="30.75" customHeight="1" x14ac:dyDescent="0.2">
      <c r="A6" s="322"/>
      <c r="B6" s="2482" t="s">
        <v>1308</v>
      </c>
      <c r="C6" s="2482"/>
      <c r="D6" s="2482"/>
      <c r="E6" s="2482"/>
      <c r="F6" s="2482"/>
      <c r="G6" s="2482"/>
      <c r="H6" s="2482"/>
      <c r="I6" s="2482"/>
      <c r="J6" s="2482"/>
      <c r="K6" s="2482"/>
      <c r="L6" s="322"/>
    </row>
    <row r="7" spans="1:12" ht="4.5" customHeight="1" x14ac:dyDescent="0.2">
      <c r="B7" s="1375"/>
      <c r="C7" s="1375"/>
      <c r="D7" s="1375"/>
      <c r="E7" s="1375"/>
      <c r="F7" s="1375"/>
      <c r="G7" s="1376"/>
      <c r="H7" s="1375"/>
      <c r="I7" s="1376"/>
      <c r="J7" s="1375"/>
      <c r="K7" s="1375"/>
      <c r="L7" s="322"/>
    </row>
    <row r="8" spans="1:12" ht="13.5" customHeight="1" x14ac:dyDescent="0.2">
      <c r="B8" s="1383" t="s">
        <v>1756</v>
      </c>
      <c r="C8" s="1450" t="s">
        <v>1991</v>
      </c>
      <c r="D8" s="1451"/>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460"/>
      <c r="G12" s="2460"/>
      <c r="H12" s="2460"/>
      <c r="I12" s="2460"/>
      <c r="J12" s="2460"/>
      <c r="K12" s="2460"/>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483"/>
      <c r="E14" s="2483"/>
      <c r="F14" s="2483"/>
      <c r="H14" s="1458" t="s">
        <v>1303</v>
      </c>
      <c r="I14" s="2484"/>
      <c r="J14" s="2484"/>
      <c r="K14" s="2484"/>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484"/>
      <c r="E16" s="2484"/>
      <c r="F16" s="2484"/>
      <c r="G16" s="2484"/>
      <c r="H16" s="2484"/>
      <c r="I16" s="2484"/>
      <c r="J16" s="2484"/>
      <c r="K16" s="2484"/>
      <c r="L16" s="322"/>
    </row>
    <row r="17" spans="2:12" ht="13.5" customHeight="1" x14ac:dyDescent="0.2">
      <c r="B17" s="1383" t="s">
        <v>1301</v>
      </c>
      <c r="C17" s="1383"/>
      <c r="D17" s="2485"/>
      <c r="E17" s="2485"/>
      <c r="F17" s="2485"/>
      <c r="G17" s="2485"/>
      <c r="H17" s="2485"/>
      <c r="I17" s="2485"/>
      <c r="J17" s="2485"/>
      <c r="K17" s="2485"/>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475"/>
      <c r="C20" s="2475"/>
      <c r="D20" s="2475"/>
      <c r="E20" s="2475"/>
      <c r="F20" s="2475"/>
      <c r="G20" s="2475"/>
      <c r="H20" s="2475"/>
      <c r="I20" s="2475"/>
      <c r="J20" s="2475"/>
      <c r="K20" s="2475"/>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1757</v>
      </c>
      <c r="C22" s="1460"/>
      <c r="D22" s="322"/>
      <c r="E22" s="322"/>
      <c r="F22" s="322"/>
      <c r="G22" s="1379"/>
      <c r="H22" s="322"/>
      <c r="I22" s="1379"/>
      <c r="J22" s="322"/>
      <c r="K22" s="322"/>
      <c r="L22" s="322"/>
    </row>
    <row r="23" spans="2:12" ht="37.5" customHeight="1" x14ac:dyDescent="0.2">
      <c r="B23" s="2475"/>
      <c r="C23" s="2475"/>
      <c r="D23" s="2475"/>
      <c r="E23" s="2475"/>
      <c r="F23" s="2475"/>
      <c r="G23" s="2475"/>
      <c r="H23" s="2475"/>
      <c r="I23" s="2475"/>
      <c r="J23" s="2475"/>
      <c r="K23" s="2475"/>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1758</v>
      </c>
      <c r="C25" s="1460"/>
      <c r="D25" s="322"/>
      <c r="E25" s="322"/>
      <c r="F25" s="322"/>
      <c r="G25" s="1379"/>
      <c r="H25" s="322"/>
      <c r="I25" s="1379"/>
      <c r="J25" s="322"/>
      <c r="K25" s="322"/>
      <c r="L25" s="322"/>
    </row>
    <row r="26" spans="2:12" ht="37.5" customHeight="1" x14ac:dyDescent="0.2">
      <c r="B26" s="2475"/>
      <c r="C26" s="2475"/>
      <c r="D26" s="2475"/>
      <c r="E26" s="2475"/>
      <c r="F26" s="2475"/>
      <c r="G26" s="2475"/>
      <c r="H26" s="2475"/>
      <c r="I26" s="2475"/>
      <c r="J26" s="2475"/>
      <c r="K26" s="2475"/>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1759</v>
      </c>
      <c r="C28" s="1460"/>
      <c r="D28" s="322"/>
      <c r="E28" s="322"/>
      <c r="F28" s="322"/>
      <c r="G28" s="1379"/>
      <c r="H28" s="322"/>
      <c r="I28" s="1379"/>
      <c r="J28" s="322"/>
      <c r="K28" s="322"/>
      <c r="L28" s="322"/>
    </row>
    <row r="29" spans="2:12" ht="37.5" customHeight="1" x14ac:dyDescent="0.2">
      <c r="B29" s="2475"/>
      <c r="C29" s="2475"/>
      <c r="D29" s="2475"/>
      <c r="E29" s="2475"/>
      <c r="F29" s="2475"/>
      <c r="G29" s="2475"/>
      <c r="H29" s="2475"/>
      <c r="I29" s="2475"/>
      <c r="J29" s="2475"/>
      <c r="K29" s="2475"/>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475"/>
      <c r="C32" s="2475"/>
      <c r="D32" s="2475"/>
      <c r="E32" s="2475"/>
      <c r="F32" s="2475"/>
      <c r="G32" s="2475"/>
      <c r="H32" s="2475"/>
      <c r="I32" s="2475"/>
      <c r="J32" s="2475"/>
      <c r="K32" s="2475"/>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475"/>
      <c r="C35" s="2475"/>
      <c r="D35" s="2475"/>
      <c r="E35" s="2475"/>
      <c r="F35" s="2475"/>
      <c r="G35" s="2475"/>
      <c r="H35" s="2475"/>
      <c r="I35" s="2475"/>
      <c r="J35" s="2475"/>
      <c r="K35" s="2475"/>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475"/>
      <c r="C38" s="2475"/>
      <c r="D38" s="2475"/>
      <c r="E38" s="2475"/>
      <c r="F38" s="2475"/>
      <c r="G38" s="2475"/>
      <c r="H38" s="2475"/>
      <c r="I38" s="2475"/>
      <c r="J38" s="2475"/>
      <c r="K38" s="2475"/>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1760</v>
      </c>
      <c r="C40" s="1399"/>
      <c r="D40" s="1374"/>
      <c r="E40" s="1375"/>
      <c r="F40" s="1375"/>
      <c r="G40" s="1376"/>
      <c r="H40" s="1375"/>
      <c r="I40" s="1376"/>
      <c r="J40" s="1375"/>
      <c r="K40" s="1375"/>
    </row>
    <row r="41" spans="2:12" s="322" customFormat="1" ht="33.75" customHeight="1" x14ac:dyDescent="0.2">
      <c r="B41" s="2475"/>
      <c r="C41" s="2475"/>
      <c r="D41" s="2475"/>
      <c r="E41" s="2475"/>
      <c r="F41" s="2475"/>
      <c r="G41" s="2475"/>
      <c r="H41" s="2475"/>
      <c r="I41" s="2475"/>
      <c r="J41" s="2475"/>
      <c r="K41" s="2475"/>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1761</v>
      </c>
      <c r="C44" s="1402"/>
      <c r="D44" s="322"/>
      <c r="E44" s="322"/>
      <c r="F44" s="322"/>
    </row>
    <row r="45" spans="2:12" ht="10.5" customHeight="1" x14ac:dyDescent="0.2">
      <c r="B45" s="1403" t="s">
        <v>1762</v>
      </c>
      <c r="C45" s="1403"/>
      <c r="G45" s="317"/>
      <c r="I45" s="317"/>
    </row>
    <row r="46" spans="2:12" ht="11.1" customHeight="1" x14ac:dyDescent="0.2">
      <c r="B46" s="1403" t="s">
        <v>1763</v>
      </c>
      <c r="C46" s="1403"/>
      <c r="G46" s="317"/>
      <c r="I46" s="317"/>
    </row>
    <row r="47" spans="2:12" ht="11.1" customHeight="1" x14ac:dyDescent="0.2">
      <c r="B47" s="1403" t="s">
        <v>1764</v>
      </c>
      <c r="C47" s="1403"/>
      <c r="G47" s="317"/>
      <c r="I47" s="317"/>
    </row>
    <row r="48" spans="2:12" ht="11.1" customHeight="1" x14ac:dyDescent="0.2">
      <c r="B48" s="1403" t="s">
        <v>1765</v>
      </c>
      <c r="C48" s="1403"/>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53" t="str">
        <f>'Single Audit Cover'!A7</f>
        <v>Cowden-Herrick CUSD 3A</v>
      </c>
      <c r="C1" s="2453"/>
      <c r="D1" s="2453"/>
      <c r="E1" s="1468"/>
    </row>
    <row r="2" spans="2:5" s="1278" customFormat="1" ht="12.75" customHeight="1" x14ac:dyDescent="0.2">
      <c r="B2" s="2455" t="str">
        <f>'Single Audit Cover'!E7</f>
        <v>11087003A26</v>
      </c>
      <c r="C2" s="2455"/>
      <c r="D2" s="2455"/>
      <c r="E2" s="1469"/>
    </row>
    <row r="3" spans="2:5" ht="12.75" customHeight="1" x14ac:dyDescent="0.2">
      <c r="B3" s="2476" t="s">
        <v>1766</v>
      </c>
      <c r="C3" s="2476"/>
      <c r="D3" s="2476"/>
      <c r="E3" s="1270"/>
    </row>
    <row r="4" spans="2:5" s="1278" customFormat="1" ht="12.75" customHeight="1" x14ac:dyDescent="0.2">
      <c r="B4" s="2486" t="str">
        <f>'Single Audit Cover'!A4</f>
        <v>Year Ending June 30, 2019</v>
      </c>
      <c r="C4" s="2486"/>
      <c r="D4" s="2486"/>
      <c r="E4" s="1470"/>
    </row>
    <row r="5" spans="2:5" s="1278" customFormat="1" ht="40.15" customHeight="1" x14ac:dyDescent="0.2">
      <c r="B5" s="1471" t="s">
        <v>1767</v>
      </c>
      <c r="C5" s="328"/>
      <c r="D5" s="328"/>
      <c r="E5" s="328"/>
    </row>
    <row r="6" spans="2:5" s="1278" customFormat="1" ht="13.5" customHeight="1" x14ac:dyDescent="0.2">
      <c r="B6" s="1472" t="s">
        <v>1315</v>
      </c>
      <c r="C6" s="1472" t="s">
        <v>1314</v>
      </c>
      <c r="D6" s="1472" t="s">
        <v>1768</v>
      </c>
    </row>
    <row r="7" spans="2:5" ht="13.5" customHeight="1" x14ac:dyDescent="0.2">
      <c r="B7" s="1473"/>
      <c r="C7" s="324"/>
      <c r="D7" s="324"/>
      <c r="E7" s="324"/>
    </row>
    <row r="8" spans="2:5" ht="13.5" customHeight="1" x14ac:dyDescent="0.2">
      <c r="B8" s="1473"/>
      <c r="C8" s="324"/>
      <c r="D8" s="324"/>
      <c r="E8" s="324"/>
    </row>
    <row r="9" spans="2:5" ht="13.5" customHeight="1" x14ac:dyDescent="0.2">
      <c r="B9" s="1474"/>
      <c r="C9" s="323"/>
      <c r="D9" s="323"/>
      <c r="E9" s="323"/>
    </row>
    <row r="10" spans="2:5" ht="13.5" customHeight="1" x14ac:dyDescent="0.2">
      <c r="B10" s="1473"/>
      <c r="C10" s="323"/>
      <c r="D10" s="323"/>
      <c r="E10" s="323"/>
    </row>
    <row r="11" spans="2:5" ht="13.5" customHeight="1" x14ac:dyDescent="0.2">
      <c r="B11" s="1473"/>
      <c r="C11" s="323"/>
      <c r="D11" s="323"/>
      <c r="E11" s="323"/>
    </row>
    <row r="12" spans="2:5" ht="13.5" customHeight="1" x14ac:dyDescent="0.2">
      <c r="B12" s="1473"/>
      <c r="C12" s="323"/>
      <c r="D12" s="323"/>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4" customHeight="1" x14ac:dyDescent="0.2">
      <c r="B44" s="1253" t="s">
        <v>1313</v>
      </c>
      <c r="C44" s="322"/>
    </row>
    <row r="45" spans="2:5" ht="12.4" customHeight="1" x14ac:dyDescent="0.2">
      <c r="B45" s="1482" t="s">
        <v>1769</v>
      </c>
    </row>
    <row r="46" spans="2:5" ht="12.4" customHeight="1" x14ac:dyDescent="0.2">
      <c r="B46" s="1482" t="s">
        <v>1770</v>
      </c>
    </row>
    <row r="47" spans="2:5" ht="12.4" customHeight="1" x14ac:dyDescent="0.2">
      <c r="B47" s="1483" t="s">
        <v>1312</v>
      </c>
    </row>
    <row r="48" spans="2:5" ht="12.4" customHeight="1" x14ac:dyDescent="0.2">
      <c r="B48" s="1483" t="s">
        <v>1311</v>
      </c>
    </row>
    <row r="49" spans="2:5" ht="12.4" customHeight="1" x14ac:dyDescent="0.2">
      <c r="B49" s="1483" t="s">
        <v>1310</v>
      </c>
    </row>
    <row r="50" spans="2:5" ht="12.4"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infopath/2007/PartnerControls"/>
    <ds:schemaRef ds:uri="http://schemas.microsoft.com/office/2006/metadata/properties"/>
    <ds:schemaRef ds:uri="http://www.w3.org/XML/1998/namespace"/>
    <ds:schemaRef ds:uri="d21dc803-237d-4c68-8692-8d731fd29118"/>
    <ds:schemaRef ds:uri="4d435f69-8686-490b-bd6d-b153bf22ab50"/>
    <ds:schemaRef ds:uri="http://purl.org/dc/dcmitype/"/>
    <ds:schemaRef ds:uri="http://purl.org/dc/elements/1.1/"/>
    <ds:schemaRef ds:uri="http://schemas.microsoft.com/sharepoint/v3"/>
    <ds:schemaRef ds:uri="http://schemas.microsoft.com/office/2006/documentManagement/types"/>
    <ds:schemaRef ds:uri="http://schemas.openxmlformats.org/package/2006/metadata/core-properties"/>
    <ds:schemaRef ds:uri="6ce3111e-7420-4802-b50a-75d4e9a0b980"/>
    <ds:schemaRef ds:uri="http://purl.org/dc/te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2019-10-04T19:55:56Z</cp:lastPrinted>
  <dcterms:created xsi:type="dcterms:W3CDTF">2003-10-29T19:06:34Z</dcterms:created>
  <dcterms:modified xsi:type="dcterms:W3CDTF">2019-12-03T17:21:43Z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