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6B8D869-1A70-40BA-B417-310BF0E59689}" xr6:coauthVersionLast="36" xr6:coauthVersionMax="36" xr10:uidLastSave="{00000000-0000-0000-0000-000000000000}"/>
  <bookViews>
    <workbookView xWindow="0" yWindow="60" windowWidth="13500" windowHeight="117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19-001" sheetId="175" r:id="rId31"/>
    <sheet name="2019-002" sheetId="188" r:id="rId32"/>
    <sheet name="2019-003" sheetId="190" r:id="rId33"/>
    <sheet name="2019-004" sheetId="191" r:id="rId34"/>
    <sheet name="2019-005" sheetId="192" r:id="rId35"/>
    <sheet name="2019-006" sheetId="189" r:id="rId36"/>
    <sheet name="SF&amp;QC Sec-3" sheetId="176" r:id="rId37"/>
    <sheet name="SSPAF" sheetId="177" r:id="rId38"/>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92" l="1"/>
  <c r="B4" i="191"/>
  <c r="B4" i="190"/>
  <c r="B4" i="189"/>
  <c r="B4" i="188"/>
  <c r="F32" i="181" l="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3" i="181"/>
  <c r="D80" i="36" l="1"/>
  <c r="B7797" i="106"/>
  <c r="E33" i="181"/>
  <c r="E18" i="181"/>
  <c r="F18" i="181" s="1"/>
  <c r="E17" i="181"/>
  <c r="F17" i="181" s="1"/>
  <c r="G17" i="181" l="1"/>
  <c r="G18" i="181"/>
  <c r="G33" i="181" s="1"/>
  <c r="G40" i="108" l="1"/>
  <c r="B7799" i="106"/>
  <c r="F33"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1"/>
  <c r="B2" i="192"/>
  <c r="B2" i="188"/>
  <c r="B2" i="190"/>
  <c r="B2" i="189"/>
  <c r="B1" i="190"/>
  <c r="B1" i="191"/>
  <c r="B1" i="192"/>
  <c r="B1" i="189"/>
  <c r="B1" i="188"/>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F69" i="34" l="1"/>
  <c r="F64" i="34"/>
  <c r="F67" i="34"/>
  <c r="E26" i="108"/>
  <c r="D6103" i="106"/>
  <c r="H44" i="4"/>
  <c r="B1274" i="106"/>
  <c r="D1274" i="106" s="1"/>
  <c r="L13" i="11"/>
  <c r="B2060" i="106" s="1"/>
  <c r="D2060" i="106" s="1"/>
  <c r="B2836" i="106"/>
  <c r="D2836" i="106" s="1"/>
  <c r="B2724" i="106"/>
  <c r="D2724" i="106" s="1"/>
  <c r="F36" i="108"/>
  <c r="G14" i="4"/>
  <c r="B2609" i="106" s="1"/>
  <c r="D2609" i="106" s="1"/>
  <c r="F50" i="34"/>
  <c r="F27" i="108"/>
  <c r="B1126" i="106"/>
  <c r="D1126" i="106" s="1"/>
  <c r="L342" i="29"/>
  <c r="C352" i="29"/>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151" i="29" l="1"/>
  <c r="B1273" i="106" s="1"/>
  <c r="D1273" i="106" s="1"/>
  <c r="D7256" i="106"/>
  <c r="D7251" i="106"/>
  <c r="D7254" i="106"/>
  <c r="D7250" i="106"/>
  <c r="J16" i="4"/>
  <c r="B6226" i="106" s="1"/>
  <c r="D6226"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K78"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<sst xmlns="http://schemas.openxmlformats.org/spreadsheetml/2006/main" count="5313" uniqueCount="2176">
  <si>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</si>
  <si>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</si>
  <si>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</si>
  <si>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</si>
  <si>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</si>
  <si>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</si>
  <si>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</si>
  <si>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</si>
  <si>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</si>
  <si>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</si>
  <si>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</si>
  <si>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</si>
  <si>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</si>
  <si>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</si>
  <si>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</si>
  <si>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</si>
  <si>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</si>
  <si>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</si>
  <si>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</si>
  <si>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</si>
  <si>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</si>
  <si>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</si>
  <si>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</si>
  <si>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</si>
  <si>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</si>
  <si>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</si>
  <si>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</si>
  <si>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</si>
  <si>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</si>
  <si>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</si>
  <si>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</si>
  <si>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</si>
  <si>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</si>
  <si>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</si>
  <si>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</si>
  <si>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</si>
  <si>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</si>
  <si>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</si>
  <si>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</si>
  <si>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</si>
  <si>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</si>
  <si>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</si>
  <si>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</si>
  <si>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</si>
  <si>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</si>
  <si>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</si>
  <si>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</si>
  <si>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</si>
  <si>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</si>
  <si>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</si>
  <si>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</si>
  <si>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</si>
  <si>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</si>
  <si>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</si>
  <si>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</si>
  <si>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</si>
  <si>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</si>
  <si>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</si>
  <si>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</si>
  <si>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</si>
  <si>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</si>
  <si>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</si>
  <si>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</si>
  <si>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</si>
  <si>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</si>
  <si>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</si>
  <si>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</si>
  <si>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</si>
  <si>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</si>
  <si>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</si>
  <si>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</si>
  <si>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</si>
  <si>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</si>
  <si>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</si>
  <si>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</si>
  <si>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</si>
  <si>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</si>
  <si>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</si>
  <si>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</si>
  <si>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</si>
  <si>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</si>
  <si>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</si>
  <si>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</si>
  <si>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</si>
  <si>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</si>
  <si>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</si>
  <si>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</si>
  <si>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</si>
  <si>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</si>
  <si>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</si>
  <si>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</si>
  <si>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</si>
  <si>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</si>
  <si>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</si>
  <si>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</si>
  <si>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</si>
  <si>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</si>
  <si>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</si>
  <si>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</si>
  <si>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</si>
  <si>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</si>
  <si>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</si>
  <si>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</si>
  <si>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</si>
  <si>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</si>
  <si>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</si>
  <si>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</si>
  <si>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</si>
  <si>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</si>
  <si>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</si>
  <si>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</si>
  <si>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</si>
  <si>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</si>
  <si>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</si>
  <si>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</si>
  <si>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</si>
  <si>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</si>
  <si>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</si>
  <si>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</si>
  <si>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</si>
  <si>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</si>
  <si>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</si>
  <si>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</si>
  <si>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</si>
  <si>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</si>
  <si>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</si>
  <si>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</si>
  <si>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</si>
  <si>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</si>
  <si>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</si>
  <si>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</si>
  <si>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</si>
  <si>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</si>
  <si>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</si>
  <si>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</si>
  <si>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</si>
  <si>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</si>
  <si>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</si>
  <si>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</si>
  <si>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</si>
  <si>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</si>
  <si>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</si>
  <si>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</si>
  <si>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</si>
  <si>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</si>
  <si>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</si>
  <si>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</si>
  <si>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</si>
  <si>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</si>
  <si>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</si>
  <si>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</si>
  <si>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</si>
  <si>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</si>
  <si>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</si>
  <si>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</si>
  <si>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</si>
  <si>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</si>
  <si>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</si>
  <si>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</si>
  <si>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</si>
  <si>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</si>
  <si>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</si>
  <si>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</si>
  <si>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</si>
  <si>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</si>
  <si>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</si>
  <si>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</si>
  <si>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</si>
  <si>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</si>
  <si>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</si>
  <si>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</si>
  <si>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</si>
  <si>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</si>
  <si>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</si>
  <si>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</si>
  <si>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</si>
  <si>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</si>
  <si>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</si>
  <si>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</si>
  <si>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</si>
  <si>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</si>
  <si>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</si>
  <si>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</si>
  <si>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</si>
  <si>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</si>
  <si>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</si>
  <si>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</si>
  <si>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</si>
  <si>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</si>
  <si>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</si>
  <si>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</si>
  <si>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</si>
  <si>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</si>
  <si>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</si>
  <si>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</si>
  <si>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</si>
  <si>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</si>
  <si>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</si>
  <si>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</si>
  <si>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</si>
  <si>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</si>
  <si>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</si>
  <si>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</si>
  <si>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</si>
  <si>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</si>
  <si>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</si>
  <si>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</si>
  <si>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</si>
  <si>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</si>
  <si>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</si>
  <si>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</si>
  <si>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</si>
  <si>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</si>
  <si>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</si>
  <si>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</si>
  <si>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</si>
  <si>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</si>
  <si>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</si>
  <si>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</si>
  <si>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</si>
  <si>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</si>
  <si>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</si>
  <si>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</si>
  <si>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</si>
  <si>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</si>
  <si>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</si>
  <si>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</si>
  <si>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</si>
  <si>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</si>
  <si>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</si>
  <si>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</si>
  <si>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</si>
  <si>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</si>
  <si>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</si>
  <si>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</si>
  <si>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</si>
  <si>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</si>
  <si>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</si>
  <si>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</si>
  <si>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</si>
  <si>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</si>
  <si>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</si>
  <si>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</si>
  <si>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</si>
  <si>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</si>
  <si>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</si>
  <si>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</si>
  <si>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</si>
  <si>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</si>
  <si>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</si>
  <si>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</si>
  <si>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</si>
  <si>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</si>
  <si>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</si>
  <si>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</si>
  <si>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</si>
  <si>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</si>
  <si>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</si>
  <si>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</si>
  <si>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</si>
  <si>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</si>
  <si>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</si>
  <si>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</si>
  <si>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</si>
  <si>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</si>
  <si>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</si>
  <si>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</si>
  <si>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</si>
  <si>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</si>
  <si>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</si>
  <si>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</si>
  <si>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</si>
  <si>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</si>
  <si>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</si>
  <si>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</si>
  <si>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</si>
  <si>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</si>
  <si>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</si>
  <si>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</si>
  <si>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</si>
  <si>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</si>
  <si>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</si>
  <si>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</si>
  <si>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</si>
  <si>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</si>
  <si>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</si>
  <si>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</si>
  <si>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</si>
  <si>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</si>
  <si>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</si>
  <si>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</si>
  <si>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</si>
  <si>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</si>
  <si>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</si>
  <si>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</si>
  <si>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</si>
  <si>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</si>
  <si>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</si>
  <si>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</si>
  <si>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</si>
  <si>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</si>
  <si>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</si>
  <si>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</si>
  <si>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</si>
  <si>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</si>
  <si>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</si>
  <si>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</si>
  <si>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</si>
  <si>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</si>
  <si>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</si>
  <si>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</si>
  <si>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</si>
  <si>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</si>
  <si>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</si>
  <si>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</si>
  <si>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</si>
  <si>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</si>
  <si>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</si>
  <si>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</si>
  <si>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</si>
  <si>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</si>
  <si>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</si>
  <si>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</si>
  <si>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</si>
  <si>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</si>
  <si>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</si>
  <si>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</si>
  <si>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</si>
  <si>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</si>
  <si>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</si>
  <si>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</si>
  <si>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</si>
  <si>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</si>
  <si>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</si>
  <si>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</si>
  <si>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</si>
  <si>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</si>
  <si>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</si>
  <si>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</si>
  <si>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</si>
  <si>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</si>
  <si>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</si>
  <si>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</si>
  <si>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</si>
  <si>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</si>
  <si>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</si>
  <si>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</si>
  <si>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</si>
  <si>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</si>
  <si>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</si>
  <si>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</si>
  <si>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</si>
  <si>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</si>
  <si>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</si>
  <si>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</si>
  <si>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</si>
  <si>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</si>
  <si>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</si>
  <si>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</si>
  <si>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</si>
  <si>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</si>
  <si>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</si>
  <si>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</si>
  <si>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</si>
  <si>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</si>
  <si>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</si>
  <si>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</si>
  <si>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</si>
  <si>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</si>
  <si>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</si>
  <si>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</si>
  <si>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</si>
  <si>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</si>
  <si>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</si>
  <si>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</si>
  <si>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</si>
  <si>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</si>
  <si>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</si>
  <si>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</si>
  <si>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</si>
  <si>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</si>
  <si>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</si>
  <si>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</si>
  <si>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</si>
  <si>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</si>
  <si>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</si>
  <si>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</si>
  <si>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</si>
  <si>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</si>
  <si>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</si>
  <si>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</si>
  <si>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</si>
  <si>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</si>
  <si>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</si>
  <si>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</si>
  <si>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</si>
  <si>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</si>
  <si>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</si>
  <si>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</si>
  <si>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</si>
  <si>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</si>
  <si>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</si>
  <si>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</si>
  <si>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</si>
  <si>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</si>
  <si>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</si>
  <si>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</si>
  <si>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</si>
  <si>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</si>
  <si>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</si>
  <si>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</si>
  <si>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</si>
  <si>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</si>
  <si>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</si>
  <si>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</si>
  <si>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</si>
  <si>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</si>
  <si>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</si>
  <si>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</si>
  <si>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</si>
  <si>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</si>
  <si>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</si>
  <si>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</si>
  <si>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</si>
  <si>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</si>
  <si>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</si>
  <si>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</si>
  <si>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</si>
  <si>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</si>
  <si>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</si>
  <si>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</si>
  <si>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</si>
  <si>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</si>
  <si>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</si>
  <si>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</si>
  <si>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</si>
  <si>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</si>
  <si>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</si>
  <si>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</si>
  <si>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</si>
  <si>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</si>
  <si>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</si>
  <si>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</si>
  <si>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</si>
  <si>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</si>
  <si>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</si>
  <si>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</si>
  <si>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</si>
  <si>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</si>
  <si>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</si>
  <si>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</si>
  <si>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</si>
  <si>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</si>
  <si>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</si>
  <si>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</si>
  <si>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</si>
  <si>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</si>
  <si>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</si>
  <si>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</si>
  <si>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</si>
  <si>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</si>
  <si>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</si>
  <si>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</si>
  <si>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</si>
  <si>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</si>
  <si>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</si>
  <si>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</si>
  <si>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</si>
  <si>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</si>
  <si>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</si>
  <si>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</si>
  <si>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</si>
  <si>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</si>
  <si>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</si>
  <si>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</si>
  <si>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</si>
  <si>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</si>
  <si>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</si>
  <si>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</si>
  <si>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</si>
  <si>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</si>
  <si>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</si>
  <si>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</si>
  <si>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</si>
  <si>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</si>
  <si>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</si>
  <si>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</si>
  <si>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</si>
  <si>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</si>
  <si>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</si>
  <si>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</si>
  <si>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</si>
  <si>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</si>
  <si>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</si>
  <si>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</si>
  <si>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</si>
  <si>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</si>
  <si>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</si>
  <si>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</si>
  <si>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</si>
  <si>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</si>
  <si>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</si>
  <si>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</si>
  <si>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</si>
  <si>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</si>
  <si>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</si>
  <si>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</si>
  <si>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</si>
  <si>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</si>
  <si>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</si>
  <si>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</si>
  <si>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</si>
  <si>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</si>
  <si>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</si>
  <si>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</si>
  <si>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</si>
  <si>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</si>
  <si>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</si>
  <si>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</si>
  <si>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</si>
  <si>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</si>
  <si>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</si>
  <si>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</si>
  <si>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</si>
  <si>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</si>
  <si>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</si>
  <si>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</si>
  <si>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</si>
  <si>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</si>
  <si>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</si>
  <si>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</si>
  <si>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</si>
  <si>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</si>
  <si>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</si>
  <si>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</si>
  <si>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</si>
  <si>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</si>
  <si>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</si>
  <si>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</si>
  <si>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</si>
  <si>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</si>
  <si>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</si>
  <si>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</si>
  <si>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</si>
  <si>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</si>
  <si>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</si>
  <si>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</si>
  <si>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</si>
  <si>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</si>
  <si>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</si>
  <si>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</si>
  <si>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</si>
  <si>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</si>
  <si>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</si>
  <si>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</si>
  <si>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</si>
  <si>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</si>
  <si>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</si>
  <si>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</si>
  <si>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</si>
  <si>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</si>
  <si>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</si>
  <si>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</si>
  <si>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</si>
  <si>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</si>
  <si>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</si>
  <si>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</si>
  <si>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</si>
  <si>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</si>
  <si>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</si>
  <si>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</si>
  <si>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</si>
  <si>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</si>
  <si>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</si>
  <si>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</si>
  <si>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</si>
  <si>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</si>
  <si>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</si>
  <si>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</si>
  <si>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</si>
  <si>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</si>
  <si>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</si>
  <si>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</si>
  <si>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</si>
  <si>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</si>
  <si>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</si>
  <si>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</si>
  <si>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</si>
  <si>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</si>
  <si>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</si>
  <si>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</si>
  <si>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</si>
  <si>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</si>
  <si>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</si>
  <si>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</si>
  <si>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</si>
  <si>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</si>
  <si>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</si>
  <si>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</si>
  <si>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</si>
  <si>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</si>
  <si>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</si>
  <si>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</si>
  <si>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</si>
  <si>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</si>
  <si>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</si>
  <si>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</si>
  <si>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</si>
  <si>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</si>
  <si>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</si>
  <si>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</si>
  <si>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</si>
  <si>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</si>
  <si>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</si>
  <si>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</si>
  <si>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</si>
  <si>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</si>
  <si>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</si>
  <si>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</si>
  <si>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</si>
  <si>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</si>
  <si>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</si>
  <si>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</si>
  <si>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</si>
  <si>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</si>
  <si>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</si>
  <si>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</si>
  <si>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</si>
  <si>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</si>
  <si>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</si>
  <si>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</si>
  <si>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</si>
  <si>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</si>
  <si>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</si>
  <si>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</si>
  <si>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</si>
  <si>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</si>
  <si>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</si>
  <si>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</si>
  <si>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</si>
  <si>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</si>
  <si>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</si>
  <si>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</si>
  <si>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</si>
  <si>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</si>
  <si>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</si>
  <si>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</si>
  <si>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</si>
  <si>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</si>
  <si>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</si>
  <si>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</si>
  <si>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</si>
  <si>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</si>
  <si>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</si>
  <si>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</si>
  <si>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</si>
  <si>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</si>
  <si>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</si>
  <si>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</si>
  <si>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</si>
  <si>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</si>
  <si>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</si>
  <si>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</si>
  <si>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</si>
  <si>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</si>
  <si>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</si>
  <si>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</si>
  <si>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</si>
  <si>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</si>
  <si>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</si>
  <si>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</si>
  <si>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</si>
  <si>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</si>
  <si>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</si>
  <si>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</si>
  <si>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</si>
  <si>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</si>
  <si>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</si>
  <si>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</si>
  <si>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</si>
  <si>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</si>
  <si>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</si>
  <si>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</si>
  <si>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</si>
  <si>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</si>
  <si>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</si>
  <si>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</si>
  <si>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</si>
  <si>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</si>
  <si>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</si>
  <si>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</si>
  <si>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</si>
  <si>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</si>
  <si>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</si>
  <si>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</si>
  <si>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</si>
  <si>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</si>
  <si>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</si>
  <si>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</si>
  <si>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</si>
  <si>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</si>
  <si>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</si>
  <si>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</si>
  <si>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</si>
  <si>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</si>
  <si>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</si>
  <si>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</si>
  <si>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</si>
  <si>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</si>
  <si>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</si>
  <si>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</si>
  <si>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</si>
  <si>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</si>
  <si>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</si>
  <si>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</si>
  <si>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</si>
  <si>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</si>
  <si>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</si>
  <si>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</si>
  <si>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</si>
  <si>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</si>
  <si>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</si>
  <si>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</si>
  <si>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</si>
  <si>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</si>
  <si>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</si>
  <si>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</si>
  <si>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</si>
  <si>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</si>
  <si>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</si>
  <si>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</si>
  <si>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</si>
  <si>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</si>
  <si>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</si>
  <si>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</si>
  <si>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</si>
  <si>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</si>
  <si>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</si>
  <si>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</si>
  <si>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</si>
  <si>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</si>
  <si>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</si>
  <si>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</si>
  <si>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</si>
  <si>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</si>
  <si>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</si>
  <si>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</si>
  <si>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</si>
  <si>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</si>
  <si>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</si>
  <si>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</si>
  <si>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</si>
  <si>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</si>
  <si>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</si>
  <si>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</si>
  <si>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</si>
  <si>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</si>
  <si>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</si>
  <si>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</si>
  <si>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</si>
  <si>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</si>
  <si>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</si>
  <si>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</si>
  <si>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</si>
  <si>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</si>
  <si>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</si>
  <si>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</si>
  <si>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</si>
  <si>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</si>
  <si>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</si>
  <si>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</si>
  <si>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</si>
  <si>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</si>
  <si>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</si>
  <si>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</si>
  <si>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</si>
  <si>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</si>
  <si>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</si>
  <si>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</si>
  <si>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</si>
  <si>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</si>
  <si>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</si>
  <si>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</si>
  <si>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</si>
  <si>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</si>
  <si>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</si>
  <si>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</si>
  <si>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</si>
  <si>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</si>
  <si>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</si>
  <si>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</si>
  <si>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</si>
  <si>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</si>
  <si>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</si>
  <si>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</si>
  <si>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</si>
  <si>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</si>
  <si>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</si>
  <si>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</si>
  <si>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</si>
  <si>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</si>
  <si>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</si>
  <si>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</si>
  <si>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</si>
  <si>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</si>
  <si>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</si>
  <si>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</si>
  <si>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</si>
  <si>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</si>
  <si>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</si>
  <si>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</si>
  <si>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</si>
  <si>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</si>
  <si>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</si>
  <si>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</si>
  <si>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</si>
  <si>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</si>
  <si>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</si>
  <si>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</si>
  <si>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</si>
  <si>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</si>
  <si>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</si>
  <si>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</si>
  <si>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</si>
  <si>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</si>
  <si>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</si>
  <si>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</si>
  <si>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</si>
  <si>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</si>
  <si>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</si>
  <si>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</si>
  <si>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</si>
  <si>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</si>
  <si>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</si>
  <si>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</si>
  <si>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</si>
  <si>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</si>
  <si>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</si>
  <si>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</si>
  <si>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</si>
  <si>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</si>
  <si>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</si>
  <si>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</si>
  <si>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</si>
  <si>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</si>
  <si>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</si>
  <si>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</si>
  <si>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</si>
  <si>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</si>
  <si>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</si>
  <si>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</si>
  <si>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</si>
  <si>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</si>
  <si>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</si>
  <si>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</si>
  <si>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</si>
  <si>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</si>
  <si>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</si>
  <si>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</si>
  <si>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</si>
  <si>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</si>
  <si>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</si>
  <si>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</si>
  <si>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</si>
  <si>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</si>
  <si>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</si>
  <si>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</si>
  <si>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</si>
  <si>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</si>
  <si>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</si>
  <si>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</si>
  <si>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</si>
  <si>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</si>
  <si>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</si>
  <si>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</si>
  <si>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</si>
  <si>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</si>
  <si>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</si>
  <si>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</si>
  <si>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</si>
  <si>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</si>
  <si>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</si>
  <si>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</si>
  <si>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</si>
  <si>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</si>
  <si>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</si>
  <si>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</si>
  <si>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</si>
  <si>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</si>
  <si>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</si>
  <si>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</si>
  <si>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</si>
  <si>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</si>
  <si>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</si>
  <si>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</si>
  <si>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</si>
  <si>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</si>
  <si>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</si>
  <si>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</si>
  <si>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</si>
  <si>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</si>
  <si>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</si>
  <si>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</si>
  <si>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</si>
  <si>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</si>
  <si>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</si>
  <si>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</si>
  <si>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</si>
  <si>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</si>
  <si>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</si>
  <si>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</si>
  <si>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</si>
  <si>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</si>
  <si>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</si>
  <si>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</si>
  <si>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</si>
  <si>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</si>
  <si>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</si>
  <si>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</si>
  <si>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</si>
  <si>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</si>
  <si>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</si>
  <si>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</si>
  <si>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</si>
  <si>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</si>
  <si>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</si>
  <si>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</si>
  <si>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</si>
  <si>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</si>
  <si>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</si>
  <si>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</si>
  <si>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</si>
  <si>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</si>
  <si>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</si>
  <si>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</si>
  <si>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</si>
  <si>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</si>
  <si>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</si>
  <si>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</si>
  <si>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</si>
  <si>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</si>
  <si>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</si>
  <si>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</si>
  <si>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</si>
  <si>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</si>
  <si>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</si>
  <si>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</si>
  <si>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</si>
  <si>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</si>
  <si>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</si>
  <si>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</si>
  <si>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</si>
  <si>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</si>
  <si>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</si>
  <si>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</si>
  <si>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</si>
  <si>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</si>
  <si>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</si>
  <si>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</si>
  <si>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</si>
  <si>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</si>
  <si>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</si>
  <si>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</si>
  <si>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</si>
  <si>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</si>
  <si>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</si>
  <si>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</si>
  <si>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</si>
  <si>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</si>
  <si>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</si>
  <si>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</si>
  <si>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</si>
  <si>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</si>
  <si>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</si>
  <si>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</si>
  <si>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</si>
  <si>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</si>
  <si>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</si>
  <si>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</si>
  <si>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</si>
  <si>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</si>
  <si>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</si>
  <si>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</si>
  <si>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</si>
  <si>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</si>
  <si>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</si>
  <si>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</si>
  <si>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</si>
  <si>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</si>
  <si>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</si>
  <si>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</si>
  <si>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</si>
  <si>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</si>
  <si>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</si>
  <si>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</si>
  <si>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</si>
  <si>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</si>
  <si>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</si>
  <si>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</si>
  <si>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</si>
  <si>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</si>
  <si>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</si>
  <si>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</si>
  <si>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</si>
  <si>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</si>
  <si>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</si>
  <si>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</si>
  <si>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</si>
  <si>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</si>
  <si>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</si>
  <si>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</si>
  <si>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</si>
  <si>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</si>
  <si>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</si>
  <si>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</si>
  <si>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</si>
  <si>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</si>
  <si>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</si>
  <si>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</si>
  <si>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</si>
  <si>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</si>
  <si>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</si>
  <si>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</si>
  <si>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</si>
  <si>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</si>
  <si>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</si>
  <si>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</si>
  <si>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</si>
  <si>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</si>
  <si>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</si>
  <si>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</si>
  <si>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</si>
  <si>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</si>
  <si>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</si>
  <si>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</si>
  <si>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</si>
  <si>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</si>
  <si>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</si>
  <si>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</si>
  <si>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</si>
  <si>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</si>
  <si>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</si>
  <si>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</si>
  <si>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</si>
  <si>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</si>
  <si>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</si>
  <si>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</si>
  <si>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</si>
  <si>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</si>
  <si>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</si>
  <si>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</si>
  <si>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</si>
  <si>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</si>
  <si>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</si>
  <si>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</si>
  <si>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</si>
  <si>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</si>
  <si>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</si>
  <si>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</si>
  <si>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</si>
  <si>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</si>
  <si>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</si>
  <si>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</si>
  <si>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</si>
  <si>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</si>
  <si>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</si>
  <si>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</si>
  <si>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</si>
  <si>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</si>
  <si>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</si>
  <si>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</si>
  <si>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</si>
  <si>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</si>
  <si>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</si>
  <si>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</si>
  <si>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</si>
  <si>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</si>
  <si>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</si>
  <si>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</si>
  <si>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</si>
  <si>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</si>
  <si>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</si>
  <si>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</si>
  <si>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</si>
  <si>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</si>
  <si>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</si>
  <si>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</si>
  <si>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</si>
  <si>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</si>
  <si>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</si>
  <si>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</si>
  <si>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</si>
  <si>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</si>
  <si>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</si>
  <si>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</si>
  <si>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</si>
  <si>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</si>
  <si>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</si>
  <si>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</si>
  <si>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</si>
  <si>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</si>
  <si>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</si>
  <si>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</si>
  <si>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</si>
  <si>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</si>
  <si>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</si>
  <si>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</si>
  <si>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</si>
  <si>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</si>
  <si>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</si>
  <si>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</si>
  <si>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</si>
  <si>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</si>
  <si>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</si>
  <si>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</si>
  <si>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</si>
  <si>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</si>
  <si>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</si>
  <si>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</si>
  <si>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</si>
  <si>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</si>
  <si>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</si>
  <si>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</si>
  <si>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</si>
  <si>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</si>
  <si>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</si>
  <si>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</si>
  <si>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</si>
  <si>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</si>
  <si>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</si>
  <si>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</si>
  <si>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</si>
  <si>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</si>
  <si>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</si>
  <si>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</si>
  <si>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</si>
  <si>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</si>
  <si>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</si>
  <si>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</si>
  <si>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</si>
  <si>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</si>
  <si>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</si>
  <si>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</si>
  <si>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</si>
  <si>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</si>
  <si>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</si>
  <si>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</si>
  <si>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</si>
  <si>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</si>
  <si>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</si>
  <si>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</si>
  <si>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</si>
  <si>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</si>
  <si>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</si>
  <si>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</si>
  <si>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</si>
  <si>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</si>
  <si>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</si>
  <si>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</si>
  <si>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</si>
  <si>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</si>
  <si>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</si>
  <si>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</si>
  <si>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</si>
  <si>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</si>
  <si>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</si>
  <si>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</si>
  <si>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</si>
  <si>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</si>
  <si>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</si>
  <si>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</si>
  <si>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</si>
  <si>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</si>
  <si>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</si>
  <si>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</si>
  <si>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</si>
  <si>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</si>
  <si>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</si>
  <si>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</si>
  <si>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</si>
  <si>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</si>
  <si>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</si>
  <si>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</si>
  <si>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</si>
  <si>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</si>
  <si>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</si>
  <si>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</si>
  <si>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</si>
  <si>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</si>
  <si>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</si>
  <si>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</si>
  <si>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</si>
  <si>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</si>
  <si>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</si>
  <si>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</si>
  <si>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</si>
  <si>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</si>
  <si>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</si>
  <si>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</si>
  <si>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</si>
  <si>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</si>
  <si>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</si>
  <si>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</si>
  <si>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</si>
  <si>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</si>
  <si>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</si>
  <si>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</si>
  <si>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</si>
  <si>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</si>
  <si>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</si>
  <si>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</si>
  <si>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</si>
  <si>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</si>
  <si>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</si>
  <si>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</si>
  <si>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</si>
  <si>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</si>
  <si>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</si>
  <si>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</si>
  <si>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</si>
  <si>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</si>
  <si>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</si>
  <si>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</si>
  <si>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</si>
  <si>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</si>
  <si>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</si>
  <si>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</si>
  <si>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</si>
  <si>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</si>
  <si>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</si>
  <si>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</si>
  <si>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</si>
  <si>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</si>
  <si>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</si>
  <si>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</si>
  <si>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</si>
  <si>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</si>
  <si>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</si>
  <si>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</si>
  <si>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</si>
  <si>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</si>
  <si>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</si>
  <si>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</si>
  <si>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</si>
  <si>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</si>
  <si>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</si>
  <si>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</si>
  <si>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</si>
  <si>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</si>
  <si>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</si>
  <si>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</si>
  <si>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</si>
  <si>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</si>
  <si>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</si>
  <si>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</si>
  <si>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</si>
  <si>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</si>
  <si>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</si>
  <si>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</si>
  <si>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</si>
  <si>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</si>
  <si>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</si>
  <si>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</si>
  <si>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</si>
  <si>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</si>
  <si>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</si>
  <si>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</si>
  <si>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</si>
  <si>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</si>
  <si>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</si>
  <si>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</si>
  <si>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</si>
  <si>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</si>
  <si>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</si>
  <si>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</si>
  <si>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</si>
  <si>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</si>
  <si>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</si>
  <si>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</si>
  <si>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</si>
  <si>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</si>
  <si>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</si>
  <si>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</si>
  <si>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</si>
  <si>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</si>
  <si>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</si>
  <si>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</si>
  <si>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</si>
  <si>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</si>
  <si>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</si>
  <si>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</si>
  <si>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</si>
  <si>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</si>
  <si>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</si>
  <si>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</si>
  <si>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</si>
  <si>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</si>
  <si>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</si>
  <si>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</si>
  <si>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</si>
  <si>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</si>
  <si>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</si>
  <si>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</si>
  <si>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</si>
  <si>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</si>
  <si>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</si>
  <si>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</si>
  <si>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</si>
  <si>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</si>
  <si>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</si>
  <si>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</si>
  <si>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</si>
  <si>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</si>
  <si>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</si>
  <si>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</si>
  <si>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</si>
  <si>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</si>
  <si>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</si>
  <si>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</si>
  <si>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</si>
  <si>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</si>
  <si>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</si>
  <si>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</si>
  <si>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</si>
  <si>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</si>
  <si>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</si>
  <si>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</si>
  <si>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</si>
  <si>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</si>
  <si>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</si>
  <si>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</si>
  <si>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</si>
  <si>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</si>
  <si>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</si>
  <si>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</si>
  <si>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</si>
  <si>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</si>
  <si>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</si>
  <si>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</si>
  <si>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</si>
  <si>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</si>
  <si>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</si>
  <si>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</si>
  <si>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</si>
  <si>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</si>
  <si>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</si>
  <si>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</si>
  <si>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</si>
  <si>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</si>
  <si>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</si>
  <si>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</si>
  <si>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</si>
  <si>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</si>
  <si>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</si>
  <si>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</si>
  <si>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</si>
  <si>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</si>
  <si>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</si>
  <si>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</si>
  <si>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</si>
  <si>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</si>
  <si>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</si>
  <si>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</si>
  <si>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</si>
  <si>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</si>
  <si>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</si>
  <si>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</si>
  <si>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</si>
  <si>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</si>
  <si>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</si>
  <si>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</si>
  <si>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</si>
  <si>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</si>
  <si>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</si>
  <si>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</si>
  <si>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</si>
  <si>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</si>
  <si>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</si>
  <si>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</si>
  <si>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</si>
  <si>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</si>
  <si>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</si>
  <si>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</si>
  <si>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</si>
  <si>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</si>
  <si>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</si>
  <si>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</si>
  <si>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</si>
  <si>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</si>
  <si>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</si>
  <si>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</si>
  <si>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</si>
  <si>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</si>
  <si>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</si>
  <si>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</si>
  <si>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</si>
  <si>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</si>
  <si>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</si>
  <si>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</si>
  <si>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</si>
  <si>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</si>
  <si>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</si>
  <si>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</si>
  <si>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</si>
  <si>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</si>
  <si>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</si>
  <si>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</si>
  <si>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</si>
  <si>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</si>
  <si>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</si>
  <si>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</si>
  <si>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</si>
  <si>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</si>
  <si>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</si>
  <si>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</si>
  <si>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</si>
  <si>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</si>
  <si>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</si>
  <si>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</si>
  <si>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</si>
  <si>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</si>
  <si>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</si>
  <si>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</si>
  <si>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</si>
  <si>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</si>
  <si>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</si>
  <si>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</si>
  <si>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</si>
  <si>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</si>
  <si>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</si>
  <si>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</si>
  <si>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</si>
  <si>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</si>
  <si>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</si>
  <si>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</si>
  <si>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</si>
  <si>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</si>
  <si>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</si>
  <si>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</si>
  <si>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</si>
  <si>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</si>
  <si>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</si>
  <si>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</si>
  <si>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</si>
  <si>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</si>
  <si>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</si>
  <si>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</si>
  <si>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</si>
  <si>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</si>
  <si>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</si>
  <si>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</si>
  <si>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</si>
  <si>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</si>
  <si>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</si>
  <si>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</si>
  <si>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</si>
  <si>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</si>
  <si>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</si>
  <si>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</si>
  <si>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</si>
  <si>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</si>
  <si>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</si>
  <si>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</si>
  <si>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</si>
  <si>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</si>
  <si>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</si>
  <si>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</si>
  <si>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</si>
  <si>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</si>
  <si>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</si>
  <si>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</si>
  <si>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</si>
  <si>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</si>
  <si>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</si>
  <si>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</si>
  <si>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</si>
  <si>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</si>
  <si>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</si>
  <si>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</si>
  <si>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</si>
  <si>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</si>
  <si>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</si>
  <si>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</si>
  <si>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</si>
  <si>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</si>
  <si>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</si>
  <si>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</si>
  <si>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</si>
  <si>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</si>
  <si>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</si>
  <si>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</si>
  <si>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</si>
  <si>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</si>
  <si>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</si>
  <si>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</si>
  <si>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</si>
  <si>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</si>
  <si>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</si>
  <si>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</si>
  <si>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</si>
  <si>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</si>
  <si>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</si>
  <si>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</si>
  <si>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</si>
  <si>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</si>
  <si>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</si>
  <si>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</si>
  <si>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</si>
  <si>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</si>
  <si>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</si>
  <si>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</si>
  <si>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</si>
  <si>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</si>
  <si>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</si>
  <si>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</si>
  <si>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</si>
  <si>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</si>
  <si>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</si>
  <si>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</si>
  <si>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</si>
  <si>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</si>
  <si>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</si>
  <si>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</si>
  <si>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</si>
  <si>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</si>
  <si>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</si>
  <si>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</si>
  <si>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</si>
  <si>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</si>
  <si>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</si>
  <si>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</si>
  <si>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</si>
  <si>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</si>
  <si>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</si>
  <si>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</si>
  <si>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</si>
  <si>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</si>
  <si>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</si>
  <si>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</si>
  <si>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</si>
  <si>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</si>
  <si>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</si>
  <si>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</si>
  <si>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</si>
  <si>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</si>
  <si>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</si>
  <si>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</si>
  <si>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</si>
  <si>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</si>
  <si>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</si>
  <si>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</si>
  <si>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</si>
  <si>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</si>
  <si>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</si>
  <si>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</si>
  <si>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</si>
  <si>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</si>
  <si>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</si>
  <si>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</si>
  <si>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</si>
  <si>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</si>
  <si>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</si>
  <si>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</si>
  <si>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</si>
  <si>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</si>
  <si>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</si>
  <si>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</si>
  <si>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</si>
  <si>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</si>
  <si>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</si>
  <si>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</si>
  <si>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</si>
  <si>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</si>
  <si>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</si>
  <si>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</si>
  <si>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</si>
  <si>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</si>
  <si>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</si>
  <si>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</si>
  <si>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</si>
  <si>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</si>
  <si>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</si>
  <si>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</si>
  <si>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</si>
  <si>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</si>
  <si>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</si>
  <si>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</si>
  <si>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</si>
  <si>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</si>
  <si>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</si>
  <si>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</si>
  <si>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</si>
  <si>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</si>
  <si>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</si>
  <si>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</si>
  <si>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</si>
  <si>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</si>
  <si>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</si>
  <si>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</si>
  <si>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</si>
  <si>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</si>
  <si>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</si>
  <si>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</si>
  <si>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</si>
  <si>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</si>
  <si>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</si>
  <si>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</si>
  <si>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</si>
  <si>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</si>
  <si>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</si>
  <si>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</si>
  <si>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</si>
  <si>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</si>
  <si>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</si>
  <si>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</si>
  <si>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</si>
  <si>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</si>
  <si>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</si>
  <si>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</si>
  <si>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</si>
  <si>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</si>
  <si>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</si>
  <si>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</si>
  <si>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</si>
  <si>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</si>
  <si>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</si>
  <si>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</si>
  <si>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</si>
  <si>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</si>
  <si>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</si>
  <si>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</si>
  <si>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</si>
  <si>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</si>
  <si>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</si>
  <si>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</si>
  <si>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</si>
  <si>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</si>
  <si>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</si>
  <si>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</si>
  <si>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</si>
  <si>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</si>
  <si>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</si>
  <si>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</si>
  <si>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</si>
  <si>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</si>
  <si>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</si>
  <si>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</si>
  <si>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</si>
  <si>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</si>
  <si>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</si>
  <si>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</si>
  <si>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</si>
  <si>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</si>
  <si>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</si>
  <si>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</si>
  <si>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</si>
  <si>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</si>
  <si>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</si>
  <si>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</si>
  <si>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</si>
  <si>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</si>
  <si>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</si>
  <si>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</si>
  <si>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</si>
  <si>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</si>
  <si>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</si>
  <si>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</si>
  <si>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</si>
  <si>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</si>
  <si>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</si>
  <si>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</si>
  <si>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</si>
  <si>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</si>
  <si>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</si>
  <si>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</si>
  <si>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</si>
  <si>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</si>
  <si>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</si>
  <si>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</si>
  <si>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</si>
  <si>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</si>
  <si>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</si>
  <si>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</si>
  <si>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</si>
  <si>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</si>
  <si>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</si>
  <si>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</si>
  <si>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</si>
  <si>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</si>
  <si>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</si>
  <si>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</si>
  <si>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</si>
  <si>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</si>
  <si>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</si>
  <si>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</si>
  <si>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</si>
  <si>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</si>
  <si>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</si>
  <si>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</si>
  <si>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</si>
  <si>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</si>
  <si>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</si>
  <si>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</si>
  <si>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</si>
  <si>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</si>
  <si>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</si>
  <si>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</si>
  <si>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</si>
  <si>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</si>
  <si>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</si>
  <si>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</si>
  <si>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</si>
  <si>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</si>
  <si>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</si>
  <si>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</si>
  <si>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</si>
  <si>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</si>
  <si>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</si>
  <si>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</si>
  <si>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</si>
  <si>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</si>
  <si>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</si>
  <si>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</si>
  <si>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</si>
  <si>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</si>
  <si>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</si>
  <si>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</si>
  <si>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</si>
  <si>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</si>
  <si>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</si>
  <si>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</si>
  <si>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</si>
  <si>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</si>
  <si>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</si>
  <si>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</si>
  <si>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</si>
  <si>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</si>
  <si>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</si>
  <si>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</si>
  <si>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</si>
  <si>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</si>
  <si>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</si>
  <si>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</si>
  <si>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</si>
  <si>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</si>
  <si>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</si>
  <si>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</si>
  <si>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</si>
  <si>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</si>
  <si>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</si>
  <si>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</si>
  <si>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</si>
  <si>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</si>
  <si>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</si>
  <si>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</si>
  <si>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</si>
  <si>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</si>
  <si>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</si>
  <si>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</si>
  <si>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</si>
  <si>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</si>
  <si>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</si>
  <si>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</si>
  <si>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</si>
  <si>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</si>
  <si>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</si>
  <si>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</si>
  <si>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</si>
  <si>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</si>
  <si>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</si>
  <si>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</si>
  <si>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</si>
  <si>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</si>
  <si>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</si>
  <si>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</si>
  <si>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</si>
  <si>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</si>
  <si>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</si>
  <si>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</si>
  <si>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</si>
  <si>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</si>
  <si>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</si>
  <si>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</si>
  <si>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</si>
  <si>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</si>
  <si>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</si>
  <si>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</si>
  <si>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</si>
  <si>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</si>
  <si>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</si>
  <si>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</si>
  <si>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</si>
  <si>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</si>
  <si>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</si>
  <si>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</si>
  <si>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</si>
  <si>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</si>
  <si>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</si>
  <si>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</si>
  <si>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</si>
  <si>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</si>
  <si>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</si>
  <si>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</si>
  <si>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</si>
  <si>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</si>
  <si>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</si>
  <si>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</si>
  <si>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</si>
  <si>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</si>
  <si>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</si>
  <si>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</si>
  <si>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</si>
  <si>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</si>
  <si>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</si>
  <si>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</si>
  <si>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</si>
  <si>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</si>
  <si>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</si>
  <si>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</si>
  <si>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</si>
  <si>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</si>
  <si>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</si>
  <si>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</si>
  <si>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</si>
  <si>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</si>
  <si>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</si>
  <si>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</si>
  <si>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</si>
  <si>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</si>
  <si>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</si>
  <si>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</si>
  <si>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</si>
  <si>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</si>
  <si>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</si>
  <si>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</si>
  <si>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</si>
  <si>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</si>
  <si>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</si>
  <si>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</si>
  <si>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</si>
  <si>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</si>
  <si>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</si>
  <si>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</si>
  <si>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</si>
  <si>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</si>
  <si>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</si>
  <si>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</si>
  <si>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</si>
  <si>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</si>
  <si>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</si>
  <si>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</si>
  <si>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</si>
  <si>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</si>
  <si>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</si>
  <si>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</si>
  <si>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</si>
  <si>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</si>
  <si>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</si>
  <si>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</si>
  <si>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</si>
  <si>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</si>
  <si>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</si>
  <si>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</si>
  <si>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</si>
  <si>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</si>
  <si>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</si>
  <si>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</si>
  <si>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</si>
  <si>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</si>
  <si>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</si>
  <si>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</si>
  <si>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</si>
  <si>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</si>
  <si>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</si>
  <si>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</si>
  <si>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</si>
  <si>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</si>
  <si>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</si>
  <si>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</si>
  <si>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</si>
  <si>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</si>
  <si>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</si>
  <si>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</si>
  <si>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</si>
  <si>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</si>
  <si>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</si>
  <si>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</si>
  <si>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</si>
  <si>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</si>
  <si>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</si>
  <si>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</si>
  <si>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</si>
  <si>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</si>
  <si>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</si>
  <si>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</si>
  <si>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</si>
  <si>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</si>
  <si>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</si>
  <si>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</si>
  <si>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</si>
  <si>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</si>
  <si>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</si>
  <si>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</si>
  <si>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</si>
  <si>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</si>
  <si>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</si>
  <si>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</si>
  <si>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</si>
  <si>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</si>
  <si>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</si>
  <si>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</si>
  <si>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</si>
  <si>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</si>
  <si>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</si>
  <si>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</si>
  <si>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</si>
  <si>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</si>
  <si>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</si>
  <si>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</si>
  <si>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</si>
  <si>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</si>
  <si>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</si>
  <si>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</si>
  <si>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</si>
  <si>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</si>
  <si>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</si>
  <si>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</si>
  <si>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</si>
  <si>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</si>
  <si>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</si>
  <si>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</si>
  <si>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</si>
  <si>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</si>
  <si>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</si>
  <si>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</si>
  <si>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</si>
  <si>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</si>
  <si>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</si>
  <si>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</si>
  <si>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</si>
  <si>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</si>
  <si>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</si>
  <si>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</si>
  <si>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</si>
  <si>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</si>
  <si>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</si>
  <si>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</si>
  <si>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</si>
  <si>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</si>
  <si>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</si>
  <si>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</si>
  <si>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</si>
  <si>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</si>
  <si>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</si>
  <si>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</si>
  <si>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</si>
  <si>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</si>
  <si>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</si>
  <si>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</si>
  <si>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</si>
  <si>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</si>
  <si>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</si>
  <si>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</si>
  <si>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</si>
  <si>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</si>
  <si>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</si>
  <si>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</si>
  <si>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</si>
  <si>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</si>
  <si>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</si>
  <si>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</si>
  <si>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</si>
  <si>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</si>
  <si>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</si>
  <si>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</si>
  <si>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</si>
  <si>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</si>
  <si>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</si>
  <si>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</si>
  <si>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</si>
  <si>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</si>
  <si>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</si>
  <si>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</si>
  <si>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</si>
  <si>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</si>
  <si>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</si>
  <si>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</si>
  <si>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</si>
  <si>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</si>
  <si>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</si>
  <si>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</si>
  <si>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</si>
  <si>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</si>
  <si>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</si>
  <si>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</si>
  <si>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</si>
  <si>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</si>
  <si>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</si>
  <si>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</si>
  <si>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</si>
  <si>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</si>
  <si>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</si>
  <si>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</si>
  <si>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</si>
  <si>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</si>
  <si>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</si>
  <si>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</si>
  <si>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</si>
  <si>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</si>
  <si>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</si>
  <si>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</si>
  <si>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</si>
  <si>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</si>
  <si>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</si>
  <si>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</si>
  <si>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</si>
  <si>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</si>
  <si>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</si>
  <si>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</si>
  <si>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</si>
  <si>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</si>
  <si>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</si>
  <si>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</si>
  <si>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</si>
  <si>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</si>
  <si>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</si>
  <si>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</si>
  <si>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</si>
  <si>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</si>
  <si>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</si>
  <si>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</si>
  <si>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</si>
  <si>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</si>
  <si>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</si>
  <si>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</si>
  <si>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</si>
  <si>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</si>
  <si>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</si>
  <si>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</si>
  <si>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</si>
  <si>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</si>
  <si>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</si>
  <si>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</si>
  <si>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</si>
  <si>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</si>
  <si>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</si>
  <si>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</si>
  <si>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</si>
  <si>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</si>
  <si>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</si>
  <si>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</si>
  <si>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</si>
  <si>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</si>
  <si>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</si>
  <si>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</si>
  <si>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</si>
  <si>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</si>
  <si>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</si>
  <si>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</si>
  <si>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</si>
  <si>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</si>
  <si>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</si>
  <si>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</si>
  <si>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</si>
  <si>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</si>
  <si>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</si>
  <si>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</si>
  <si>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</si>
  <si>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</si>
  <si>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</si>
  <si>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</si>
  <si>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</si>
  <si>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</si>
  <si>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</si>
  <si>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</si>
  <si>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</si>
  <si>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CUMBERLAND</t>
  </si>
  <si>
    <t>790 E 7TH STREET</t>
  </si>
  <si>
    <t>NEOGA</t>
  </si>
  <si>
    <t>bfritcher@neogacusd3.net</t>
  </si>
  <si>
    <t>BILL FRITCHER</t>
  </si>
  <si>
    <t>217-895-2201</t>
  </si>
  <si>
    <t>217-895-3476</t>
  </si>
  <si>
    <t>KYLE THOMPSON</t>
  </si>
  <si>
    <t>kthompson@roe11.org</t>
  </si>
  <si>
    <t>217-348-0151</t>
  </si>
  <si>
    <t>217-348-0171</t>
  </si>
  <si>
    <t>CORY A. BROWN</t>
  </si>
  <si>
    <t>General Obligation QZAB Bonds</t>
  </si>
  <si>
    <t>General Obligation Refunding Bonds, 2010</t>
  </si>
  <si>
    <t>ISBE Technology Loan</t>
  </si>
  <si>
    <t>Copier Lease</t>
  </si>
  <si>
    <t>Technology Loan</t>
  </si>
  <si>
    <t>Capital Lease</t>
  </si>
  <si>
    <t>Workers Comp Self Insurance Trust/IL School District Agency</t>
  </si>
  <si>
    <t>Stewardson-Strasburg CUSD</t>
  </si>
  <si>
    <t>Eastern Illinois Area Special Education</t>
  </si>
  <si>
    <t>Southeast Purch Coop and Schools of Illinois Public Coop</t>
  </si>
  <si>
    <t>Eastern Illinois Education of Employment System</t>
  </si>
  <si>
    <t>10-2100-300</t>
  </si>
  <si>
    <t>Christy Elder</t>
  </si>
  <si>
    <t>TR-Pupil Transportation Services-Purchased Services</t>
  </si>
  <si>
    <t>40-2550-300</t>
  </si>
  <si>
    <t>Midwest Transit Equipment</t>
  </si>
  <si>
    <t>Page 10, Line 74 "Other Food Service"</t>
  </si>
  <si>
    <t>Page 10, Line 78 "Admissions - Other"</t>
  </si>
  <si>
    <t>Page 10, Line 81 "Other District/School Activity Revenue"</t>
  </si>
  <si>
    <t xml:space="preserve">   P.E. Clothes $32</t>
  </si>
  <si>
    <t>Page 10, Line 92 "Other"</t>
  </si>
  <si>
    <t xml:space="preserve">   Erate Reimbursements $440</t>
  </si>
  <si>
    <t xml:space="preserve">   Reimbursements $20,493</t>
  </si>
  <si>
    <t>Operations and Maintenance Fund</t>
  </si>
  <si>
    <t xml:space="preserve">   Reimbursements $35</t>
  </si>
  <si>
    <t xml:space="preserve"> Educational Fund</t>
  </si>
  <si>
    <t>Page 12, Line 168 "Other Restricted Revenue from State Sources"</t>
  </si>
  <si>
    <t>Page 12, Line 180 "Other Restricted Grants-in-Aid Received Directly from the Federal Gov't"</t>
  </si>
  <si>
    <t>Page 15, Line 41 "Other Support Services - Pupils"</t>
  </si>
  <si>
    <t xml:space="preserve">   Play Royalty $2,232</t>
  </si>
  <si>
    <t xml:space="preserve">Supplies and Materials </t>
  </si>
  <si>
    <t xml:space="preserve">   Play Supplies $1,638</t>
  </si>
  <si>
    <t xml:space="preserve">   Graduation Supplies $940</t>
  </si>
  <si>
    <t>Page 18, Line 171 "Debt Services - Other"</t>
  </si>
  <si>
    <t xml:space="preserve">   Fiscal Agent Fee $500</t>
  </si>
  <si>
    <t>Audit Checklist #9</t>
  </si>
  <si>
    <t>Account 7900 is less than Account 8910 because the District entered into a long-term debt agreement with ISBE during the fiscal year ended</t>
  </si>
  <si>
    <t>Adequate internal controls require segregation of duties exist between access to both physical assets and the related accounting records.</t>
  </si>
  <si>
    <t>One employee has access to both physical assets and the related accounting records.  One employee is responsible for all phases of accounting transactions.</t>
  </si>
  <si>
    <t>The condition applies to cash, investments, receipts, payroll and disbursement areas.</t>
  </si>
  <si>
    <t>The current staffing configuration increases the risk that errors and irregularities could occur and not be detected.</t>
  </si>
  <si>
    <t>The District bookkeeper is an authorized signer on the District's operating account and is also the District Treasurer.</t>
  </si>
  <si>
    <t xml:space="preserve">The District has operated with the current staffing configuration due to the lack of resources to hire additional District office staff. Alternate internal controls including Board oversight and Superintendent monitoring are used to minimize the control weakness. </t>
  </si>
  <si>
    <t xml:space="preserve">A new staffing configuration should be developed and implemented.  </t>
  </si>
  <si>
    <t>State statutes require the District to operate within the legal confines of its budget.</t>
  </si>
  <si>
    <t>Expenditures exceeded budgeted amounts in the Debt Services Fund.</t>
  </si>
  <si>
    <t>The Debt Services Fund had disbursements exceeding budgeted amounts by $21,575.</t>
  </si>
  <si>
    <t>Expenditures in excess of budgeted amounts constitute unauthorized spending.</t>
  </si>
  <si>
    <t>We recommend the District monitor individual fund expenditure levels by periodically comparing them with budgeted amounts and amend the budget as necessary prior to June 30 of the current fiscal year.</t>
  </si>
  <si>
    <t>Various unanticipated expenditures occurred in the Debt Services Fund.</t>
  </si>
  <si>
    <t>Management will implement the auditor's recommendation.</t>
  </si>
  <si>
    <t xml:space="preserve">Strong internal controls over the cash reporting and reconciliation processes require reconciling items to be properly identified, addressed and corrected on a timely basis. </t>
  </si>
  <si>
    <t xml:space="preserve">The District bank reconciliation contains unexplained differences. </t>
  </si>
  <si>
    <t>Unreconciled differences existed on the District's June 30, 2019 bank reconcilation and were not timely addressed and corrected</t>
  </si>
  <si>
    <t>Unknown reconciling differences of $2,278.04 existed at June 30, 2019.</t>
  </si>
  <si>
    <t>District internal controls do not require unknown reconciling differences on the bank reconciliation to be properly identified, addressed and corrected on a timely basis. In addition, they do not require that correct book balances are being used in the reconciliation process.</t>
  </si>
  <si>
    <t>Illinois school districts are required to code financial transactions in accordance with guidelines and the chart of accounts provided in the Illinois 23 Administrative Code, Part 100.  Proper classification ensures comparability of information about education among Illinois school districts.  Strong internal controls require district receipts, disbursements, and transfers to be recorded in accordance with Illinois 23 Administrative Code, Part 100 guidelines and account structure.</t>
  </si>
  <si>
    <t>Numerous misclassifications existed in the District's unadjusted general ledger.</t>
  </si>
  <si>
    <t>Transactions are not reviewed for compliance with the Illinois 23 Administrative Code, Part 100.</t>
  </si>
  <si>
    <t>A review of audit adjustments should be made and compared to current accounting practices.  Material receipts, disbursements, and transfers should be reviewed for compliance with the Illinois 23 Administrative Code, Part 100.</t>
  </si>
  <si>
    <t>Numerous material audit adjustments were required to reclassify district receipts, disbursements, other sources, and other uses to bring the accounting records in compliance with provisions of the Illinois 23 Administrative Code, Part 100.</t>
  </si>
  <si>
    <r>
      <rPr>
        <sz val="10"/>
        <color theme="1"/>
        <rFont val="Arial"/>
        <family val="2"/>
      </rPr>
      <t>Material receipts such as CTEI grant revenue, CTE- Perkins grant revenue, Early Childhood Block grant revenue, School Facility Occupation Tax Proceeds, elementary school sale proceeds,</t>
    </r>
    <r>
      <rPr>
        <sz val="10"/>
        <color rgb="FFFF0000"/>
        <rFont val="Arial"/>
        <family val="2"/>
      </rPr>
      <t xml:space="preserve"> </t>
    </r>
    <r>
      <rPr>
        <sz val="10"/>
        <color theme="1"/>
        <rFont val="Arial"/>
        <family val="2"/>
      </rPr>
      <t>reimbursements for employee's salaries shared with other schools,</t>
    </r>
    <r>
      <rPr>
        <sz val="10"/>
        <color rgb="FFFF0000"/>
        <rFont val="Arial"/>
        <family val="2"/>
      </rPr>
      <t xml:space="preserve"> </t>
    </r>
    <r>
      <rPr>
        <sz val="10"/>
        <color theme="1"/>
        <rFont val="Arial"/>
        <family val="2"/>
      </rPr>
      <t>reimbursements of prior year, health insurance, food service provided to nonstudents and various other expenditures, donations, Medicaid matching funds fee-for-service were not coded in accordance with Illinois 23 Administrative Code, Part 100 guidelines.  Material disbursements such as</t>
    </r>
    <r>
      <rPr>
        <sz val="10"/>
        <color rgb="FFFF0000"/>
        <rFont val="Arial"/>
        <family val="2"/>
      </rPr>
      <t xml:space="preserve"> </t>
    </r>
    <r>
      <rPr>
        <sz val="10"/>
        <color theme="1"/>
        <rFont val="Arial"/>
        <family val="2"/>
      </rPr>
      <t>copier lease charges, parking lot improvement capital outlay, building improvement capital outlay, grounds improvement capital outlay, health insurance benefits, capital lease debt service payments, ISBE loan debt service payments, and property and liability insurance payments were not coded in accordance with Illinois 23 Administrative Code, Part 100 guidelines</t>
    </r>
  </si>
  <si>
    <t>Internal controls over interim financial reporting should ensure the accuracy of reports provided to management.</t>
  </si>
  <si>
    <t>Monthly treasurer's reports provided to the Board of Education were inaccurate.</t>
  </si>
  <si>
    <t>Data on the financial reports was not verified prior to submission to the Board of Education</t>
  </si>
  <si>
    <t>The monthly treasurer's reports should reconcile to the district's general ledger and supporting reconciliation reports.</t>
  </si>
  <si>
    <t>The District Bookkeeper/Treasurer will prepare accurate monthly financial reports moving forward.</t>
  </si>
  <si>
    <t>Discrepancies were noted on the monthly "Cash Flow for Fiscal Year 2019" report provided to the Board of Education during fiscal year 2019.</t>
  </si>
  <si>
    <t>Management was provided with inaccurate cash data.</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</si>
  <si>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</si>
  <si>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 xml:space="preserve">A notice of availability for public inspection and public hearing was not published thirty days prior to the hearing. </t>
  </si>
  <si>
    <t>This finding applies to the amended budget.</t>
  </si>
  <si>
    <t>The district is not in compliance with 105 ILCS 5/17-1.</t>
  </si>
  <si>
    <t>The lack of publication thirty days prior to the hearing was an oversight by district personnel.</t>
  </si>
  <si>
    <t>The budget adoption process should be reviewed to ensure that procedures are established to meet publication requirements.</t>
  </si>
  <si>
    <t>The District will comply with provisions of 105 ILCS 5/17-1 in the adoption of its FY 2020 budgets.</t>
  </si>
  <si>
    <t xml:space="preserve">We recommend that reconciling items on the bank reconciliation be properly identified, addressed and corrected on a timely basis and that the independent reviewer of the bank reconciliation ensure the correct book balances are being used in the reconciliation process. </t>
  </si>
  <si>
    <t>ED-Support Services: Pupils-Purchased Services</t>
  </si>
  <si>
    <t xml:space="preserve">   Meals provided to nonstudents $5,980</t>
  </si>
  <si>
    <t xml:space="preserve">   Damaged and Lost Books Reimbursement $158</t>
  </si>
  <si>
    <t>Page 11, Line 107 "Other Local Revenues"</t>
  </si>
  <si>
    <t xml:space="preserve">   Miscellaneous Revenue $3,327</t>
  </si>
  <si>
    <t xml:space="preserve">   Library Grant $750</t>
  </si>
  <si>
    <t xml:space="preserve">   Small, Rural School Achievement Grant $19,732</t>
  </si>
  <si>
    <t>ISBE Loans during the fiscal year ended 6/30/2019.</t>
  </si>
  <si>
    <t xml:space="preserve">6/30/2017 and the debt agreement calls for principal payments in the fiscal year ended 6/30/2019 but the District has no additional debt proceeds from </t>
  </si>
  <si>
    <t xml:space="preserve">   Musical Admission $2,546</t>
  </si>
  <si>
    <t>Neoga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</si>
</sst>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color theme="1"/>
      <name val="Arial"/>
      <family val="2"/>
    </font>
    <font>
      <sz val="10"/>
      <color rgb="FFFF000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0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5"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0" xfId="3" applyBorder="1" applyAlignment="1" applyProtection="1">
      <alignment horizontal="left" vertical="top" wrapText="1"/>
      <protection locked="0"/>
    </xf>
    <xf numFmtId="8" fontId="11" fillId="0" borderId="0" xfId="3" applyNumberFormat="1" applyFill="1" applyAlignment="1" applyProtection="1">
      <alignment horizontal="left" vertical="top" wrapText="1"/>
      <protection locked="0"/>
    </xf>
    <xf numFmtId="0" fontId="11" fillId="0" borderId="0" xfId="3" applyFill="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57150</xdr:rowOff>
        </xdr:from>
        <xdr:to>
          <xdr:col>1</xdr:col>
          <xdr:colOff>923925</xdr:colOff>
          <xdr:row>4</xdr:row>
          <xdr:rowOff>95250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14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47625</xdr:rowOff>
        </xdr:from>
        <xdr:to>
          <xdr:col>1</xdr:col>
          <xdr:colOff>1952625</xdr:colOff>
          <xdr:row>4</xdr:row>
          <xdr:rowOff>85725</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1400-000002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47625</xdr:rowOff>
        </xdr:from>
        <xdr:to>
          <xdr:col>1</xdr:col>
          <xdr:colOff>2981325</xdr:colOff>
          <xdr:row>4</xdr:row>
          <xdr:rowOff>85725</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1400-000003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3028950</xdr:colOff>
          <xdr:row>0</xdr:row>
          <xdr:rowOff>47625</xdr:rowOff>
        </xdr:from>
        <xdr:to>
          <xdr:col>1</xdr:col>
          <xdr:colOff>3943350</xdr:colOff>
          <xdr:row>4</xdr:row>
          <xdr:rowOff>85725</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1400-000004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19050</xdr:rowOff>
        </xdr:from>
        <xdr:to>
          <xdr:col>1</xdr:col>
          <xdr:colOff>904875</xdr:colOff>
          <xdr:row>9</xdr:row>
          <xdr:rowOff>57150</xdr:rowOff>
        </xdr:to>
        <xdr:sp macro="" textlink="">
          <xdr:nvSpPr>
            <xdr:cNvPr id="40965" name="Object 5" hidden="1">
              <a:extLst>
                <a:ext uri="{63B3BB69-23CF-44E3-9099-C40C66FF867C}">
                  <a14:compatExt spid="_x0000_s40965"/>
                </a:ext>
                <a:ext uri="{FF2B5EF4-FFF2-40B4-BE49-F238E27FC236}">
                  <a16:creationId xmlns:a16="http://schemas.microsoft.com/office/drawing/2014/main" id="{00000000-0008-0000-1400-000005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5</xdr:row>
          <xdr:rowOff>28575</xdr:rowOff>
        </xdr:from>
        <xdr:to>
          <xdr:col>1</xdr:col>
          <xdr:colOff>3000375</xdr:colOff>
          <xdr:row>9</xdr:row>
          <xdr:rowOff>66675</xdr:rowOff>
        </xdr:to>
        <xdr:sp macro="" textlink="">
          <xdr:nvSpPr>
            <xdr:cNvPr id="40967" name="Object 7" hidden="1">
              <a:extLst>
                <a:ext uri="{63B3BB69-23CF-44E3-9099-C40C66FF867C}">
                  <a14:compatExt spid="_x0000_s40967"/>
                </a:ext>
                <a:ext uri="{FF2B5EF4-FFF2-40B4-BE49-F238E27FC236}">
                  <a16:creationId xmlns:a16="http://schemas.microsoft.com/office/drawing/2014/main" id="{00000000-0008-0000-1400-000007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38100</xdr:rowOff>
        </xdr:from>
        <xdr:to>
          <xdr:col>1</xdr:col>
          <xdr:colOff>1952625</xdr:colOff>
          <xdr:row>9</xdr:row>
          <xdr:rowOff>76200</xdr:rowOff>
        </xdr:to>
        <xdr:sp macro="" textlink="">
          <xdr:nvSpPr>
            <xdr:cNvPr id="40969" name="Object 9" hidden="1">
              <a:extLst>
                <a:ext uri="{63B3BB69-23CF-44E3-9099-C40C66FF867C}">
                  <a14:compatExt spid="_x0000_s40969"/>
                </a:ext>
                <a:ext uri="{FF2B5EF4-FFF2-40B4-BE49-F238E27FC236}">
                  <a16:creationId xmlns:a16="http://schemas.microsoft.com/office/drawing/2014/main" id="{00000000-0008-0000-1400-000009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4" t="s">
        <v>405</v>
      </c>
      <c r="J1" s="2015"/>
      <c r="K1" s="2015"/>
      <c r="L1" s="2015"/>
      <c r="M1" s="2015"/>
      <c r="N1" s="2015"/>
      <c r="O1" s="2015"/>
      <c r="P1" s="2015"/>
      <c r="Q1" s="2015"/>
      <c r="R1" s="2015"/>
      <c r="S1" s="2015"/>
    </row>
    <row r="2" spans="1:28" ht="12" customHeight="1" x14ac:dyDescent="0.2">
      <c r="A2" s="47" t="s">
        <v>1991</v>
      </c>
      <c r="D2" s="48"/>
      <c r="I2" s="2016" t="s">
        <v>979</v>
      </c>
      <c r="J2" s="2015"/>
      <c r="K2" s="2015"/>
      <c r="L2" s="2015"/>
      <c r="M2" s="2015"/>
      <c r="N2" s="2015"/>
      <c r="O2" s="2015"/>
      <c r="P2" s="2015"/>
      <c r="Q2" s="2015"/>
      <c r="R2" s="2015"/>
      <c r="S2" s="2015"/>
    </row>
    <row r="3" spans="1:28" ht="12" customHeight="1" x14ac:dyDescent="0.2">
      <c r="A3" s="155" t="s">
        <v>1943</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2065</v>
      </c>
      <c r="C5" s="26" t="s">
        <v>910</v>
      </c>
      <c r="D5" s="84"/>
      <c r="E5" s="84"/>
      <c r="H5" s="38"/>
      <c r="I5" s="2023" t="s">
        <v>680</v>
      </c>
      <c r="J5" s="1972"/>
      <c r="K5" s="1972"/>
      <c r="L5" s="1972"/>
      <c r="M5" s="1972"/>
      <c r="N5" s="1972"/>
      <c r="O5" s="1972"/>
      <c r="P5" s="1972"/>
      <c r="Q5" s="1972"/>
      <c r="R5" s="1972"/>
      <c r="S5" s="1972"/>
    </row>
    <row r="6" spans="1:28" ht="14.1" customHeight="1" x14ac:dyDescent="0.2">
      <c r="B6" s="104"/>
      <c r="C6" s="26" t="s">
        <v>911</v>
      </c>
      <c r="D6" s="84"/>
      <c r="E6" s="84"/>
      <c r="I6" s="2022" t="s">
        <v>883</v>
      </c>
      <c r="J6" s="1972"/>
      <c r="K6" s="1972"/>
      <c r="L6" s="1972"/>
      <c r="M6" s="1972"/>
      <c r="N6" s="1972"/>
      <c r="O6" s="1972"/>
      <c r="P6" s="1972"/>
      <c r="Q6" s="1972"/>
      <c r="R6" s="1972"/>
      <c r="S6" s="1972"/>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2065</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11018003026</v>
      </c>
      <c r="B13" s="1989"/>
      <c r="C13" s="1989"/>
      <c r="D13" s="1989"/>
      <c r="E13" s="1989"/>
      <c r="F13" s="1989"/>
      <c r="G13" s="1989"/>
      <c r="H13" s="1990"/>
      <c r="I13" s="31"/>
      <c r="J13" s="30"/>
      <c r="K13" s="28"/>
      <c r="L13" s="30"/>
      <c r="M13" s="30"/>
      <c r="N13" s="30"/>
      <c r="O13" s="30"/>
      <c r="P13" s="30"/>
      <c r="Q13" s="30"/>
      <c r="R13" s="30"/>
      <c r="S13" s="30"/>
      <c r="T13" s="1991" t="s">
        <v>2066</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2076</v>
      </c>
      <c r="B15" s="1963"/>
      <c r="C15" s="1963"/>
      <c r="D15" s="1963"/>
      <c r="E15" s="1963"/>
      <c r="F15" s="1963"/>
      <c r="G15" s="1963"/>
      <c r="H15" s="1964"/>
      <c r="T15" s="1954" t="s">
        <v>2087</v>
      </c>
      <c r="U15" s="1955"/>
      <c r="V15" s="1955"/>
      <c r="W15" s="1955"/>
      <c r="X15" s="1955"/>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2175</v>
      </c>
      <c r="B17" s="2012"/>
      <c r="C17" s="2012"/>
      <c r="D17" s="2012"/>
      <c r="E17" s="2012"/>
      <c r="F17" s="2012"/>
      <c r="G17" s="2012"/>
      <c r="H17" s="2013"/>
      <c r="T17" s="1999" t="s">
        <v>2067</v>
      </c>
      <c r="U17" s="2000"/>
      <c r="V17" s="2000"/>
      <c r="W17" s="2000"/>
      <c r="X17" s="2000"/>
      <c r="Y17" s="2000"/>
      <c r="Z17" s="2000"/>
      <c r="AA17" s="2001"/>
    </row>
    <row r="18" spans="1:27" ht="13.5" customHeight="1" x14ac:dyDescent="0.2">
      <c r="A18" s="85" t="s">
        <v>530</v>
      </c>
      <c r="B18" s="76"/>
      <c r="C18" s="72"/>
      <c r="D18" s="76"/>
      <c r="E18" s="76"/>
      <c r="F18" s="76"/>
      <c r="G18" s="76"/>
      <c r="H18" s="56"/>
      <c r="I18" s="2009" t="s">
        <v>676</v>
      </c>
      <c r="J18" s="2010"/>
      <c r="K18" s="2010"/>
      <c r="L18" s="2010"/>
      <c r="M18" s="2010"/>
      <c r="N18" s="2010"/>
      <c r="O18" s="2010"/>
      <c r="P18" s="2010"/>
      <c r="Q18" s="2010"/>
      <c r="R18" s="2010"/>
      <c r="S18" s="2011"/>
      <c r="T18" s="85" t="s">
        <v>711</v>
      </c>
      <c r="U18" s="51"/>
      <c r="V18" s="72"/>
      <c r="W18" s="50"/>
      <c r="X18" s="85" t="s">
        <v>266</v>
      </c>
      <c r="Y18" s="81"/>
      <c r="Z18" s="159" t="s">
        <v>677</v>
      </c>
      <c r="AA18" s="46"/>
    </row>
    <row r="19" spans="1:27" ht="13.5" customHeight="1" x14ac:dyDescent="0.2">
      <c r="A19" s="1986" t="s">
        <v>2077</v>
      </c>
      <c r="B19" s="1987"/>
      <c r="C19" s="1987"/>
      <c r="D19" s="1987"/>
      <c r="E19" s="1987"/>
      <c r="F19" s="1987"/>
      <c r="G19" s="1987"/>
      <c r="H19" s="1985"/>
      <c r="I19" s="30"/>
      <c r="J19" s="99"/>
      <c r="K19" s="40"/>
      <c r="L19" s="38"/>
      <c r="M19" s="112" t="s">
        <v>315</v>
      </c>
      <c r="P19" s="27"/>
      <c r="Q19" s="27"/>
      <c r="R19" s="27"/>
      <c r="S19" s="31"/>
      <c r="T19" s="1986" t="s">
        <v>2068</v>
      </c>
      <c r="U19" s="1984"/>
      <c r="V19" s="1984"/>
      <c r="W19" s="1985"/>
      <c r="X19" s="1998" t="s">
        <v>2069</v>
      </c>
      <c r="Y19" s="1984"/>
      <c r="Z19" s="1997">
        <v>62565</v>
      </c>
      <c r="AA19" s="198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2078</v>
      </c>
      <c r="B21" s="1984"/>
      <c r="C21" s="1984"/>
      <c r="D21" s="1984"/>
      <c r="E21" s="1984"/>
      <c r="F21" s="1984"/>
      <c r="G21" s="1984"/>
      <c r="H21" s="1985"/>
      <c r="I21" s="2005" t="s">
        <v>678</v>
      </c>
      <c r="J21" s="1972"/>
      <c r="K21" s="1972"/>
      <c r="L21" s="1972"/>
      <c r="M21" s="1972"/>
      <c r="N21" s="1972"/>
      <c r="O21" s="1972"/>
      <c r="P21" s="1972"/>
      <c r="Q21" s="1972"/>
      <c r="R21" s="1972"/>
      <c r="S21" s="1973"/>
      <c r="T21" s="1951" t="s">
        <v>2070</v>
      </c>
      <c r="U21" s="1952"/>
      <c r="V21" s="1952"/>
      <c r="W21" s="1952"/>
      <c r="X21" s="1965" t="s">
        <v>2071</v>
      </c>
      <c r="Y21" s="1966"/>
      <c r="Z21" s="1966"/>
      <c r="AA21" s="1967"/>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2" t="s">
        <v>2079</v>
      </c>
      <c r="B23" s="2003"/>
      <c r="C23" s="2003"/>
      <c r="D23" s="2003"/>
      <c r="E23" s="2003"/>
      <c r="F23" s="2003"/>
      <c r="G23" s="2003"/>
      <c r="H23" s="2004"/>
      <c r="T23" s="1946" t="s">
        <v>2072</v>
      </c>
      <c r="U23" s="1947"/>
      <c r="V23" s="1947"/>
      <c r="W23" s="1947"/>
      <c r="X23" s="1962">
        <v>44530</v>
      </c>
      <c r="Y23" s="1963"/>
      <c r="Z23" s="1963"/>
      <c r="AA23" s="1964"/>
    </row>
    <row r="24" spans="1:27" ht="14.1" customHeight="1" x14ac:dyDescent="0.2">
      <c r="A24" s="88" t="s">
        <v>677</v>
      </c>
      <c r="B24" s="49"/>
      <c r="C24" s="49"/>
      <c r="D24" s="49"/>
      <c r="E24" s="49"/>
      <c r="F24" s="49"/>
      <c r="G24" s="49"/>
      <c r="H24" s="61"/>
      <c r="J24" s="2055">
        <f>IF(B5="x",IF(AUDITCHECK!D29="AFR form Incomplete.","",IF(AUDITCHECK!D29="Deficit reduction plan is required.","School District must complete a deficit reduction plan in the 2019-2020 Budget",)),"")</f>
        <v>0</v>
      </c>
      <c r="K24" s="2055"/>
      <c r="L24" s="2055"/>
      <c r="M24" s="2055"/>
      <c r="N24" s="2055"/>
      <c r="O24" s="2055"/>
      <c r="P24" s="2055"/>
      <c r="Q24" s="2055"/>
      <c r="R24" s="2055"/>
      <c r="S24" s="2056"/>
      <c r="T24" s="105" t="s">
        <v>531</v>
      </c>
      <c r="U24" s="106"/>
      <c r="V24" s="106"/>
      <c r="W24" s="106"/>
      <c r="X24" s="107"/>
      <c r="Y24" s="107"/>
      <c r="Z24" s="107"/>
      <c r="AA24" s="108"/>
    </row>
    <row r="25" spans="1:27" ht="14.1" customHeight="1" x14ac:dyDescent="0.2">
      <c r="A25" s="1983">
        <v>62447</v>
      </c>
      <c r="B25" s="1984"/>
      <c r="C25" s="1984"/>
      <c r="D25" s="1984"/>
      <c r="E25" s="1984"/>
      <c r="F25" s="1984"/>
      <c r="G25" s="1984"/>
      <c r="H25" s="1985"/>
      <c r="I25" s="113"/>
      <c r="J25" s="2057"/>
      <c r="K25" s="2057"/>
      <c r="L25" s="2057"/>
      <c r="M25" s="2057"/>
      <c r="N25" s="2057"/>
      <c r="O25" s="2057"/>
      <c r="P25" s="2057"/>
      <c r="Q25" s="2057"/>
      <c r="R25" s="2057"/>
      <c r="S25" s="2058"/>
      <c r="T25" s="1943" t="s">
        <v>2073</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6" t="s">
        <v>1511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3"/>
      <c r="Q35" s="2054"/>
      <c r="R35" s="20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t="s">
        <v>2080</v>
      </c>
      <c r="B38" s="2012"/>
      <c r="C38" s="2012"/>
      <c r="D38" s="2012"/>
      <c r="E38" s="2012"/>
      <c r="F38" s="1984"/>
      <c r="G38" s="1984"/>
      <c r="H38" s="1985"/>
      <c r="I38" s="2030"/>
      <c r="J38" s="2031"/>
      <c r="K38" s="2031"/>
      <c r="L38" s="2031"/>
      <c r="M38" s="2031"/>
      <c r="N38" s="2031"/>
      <c r="O38" s="2031"/>
      <c r="P38" s="2032"/>
      <c r="Q38" s="2032"/>
      <c r="R38" s="2032"/>
      <c r="S38" s="2033"/>
      <c r="T38" s="1954" t="s">
        <v>2083</v>
      </c>
      <c r="U38" s="1955"/>
      <c r="V38" s="1955"/>
      <c r="W38" s="1955"/>
      <c r="X38" s="1956"/>
      <c r="Y38" s="1956"/>
      <c r="Z38" s="1956"/>
      <c r="AA38" s="1957"/>
    </row>
    <row r="39" spans="1:27" ht="12" customHeight="1" x14ac:dyDescent="0.2">
      <c r="A39" s="2044" t="s">
        <v>531</v>
      </c>
      <c r="B39" s="2045"/>
      <c r="C39" s="72"/>
      <c r="D39" s="69"/>
      <c r="E39" s="69"/>
      <c r="F39" s="79"/>
      <c r="G39" s="69"/>
      <c r="H39" s="56"/>
      <c r="I39" s="2044" t="s">
        <v>531</v>
      </c>
      <c r="J39" s="2045"/>
      <c r="K39" s="2045"/>
      <c r="L39" s="2045"/>
      <c r="M39" s="2045"/>
      <c r="N39" s="67"/>
      <c r="O39" s="72"/>
      <c r="P39" s="72"/>
      <c r="Q39" s="78"/>
      <c r="R39" s="72"/>
      <c r="S39" s="56"/>
      <c r="T39" s="72" t="s">
        <v>531</v>
      </c>
      <c r="U39" s="51"/>
      <c r="V39" s="72"/>
      <c r="W39" s="50"/>
      <c r="X39" s="78"/>
      <c r="Y39" s="45"/>
      <c r="Z39" s="45"/>
      <c r="AA39" s="46"/>
    </row>
    <row r="40" spans="1:27" ht="13.5" customHeight="1" x14ac:dyDescent="0.2">
      <c r="A40" s="2047" t="s">
        <v>2079</v>
      </c>
      <c r="B40" s="2048"/>
      <c r="C40" s="2049"/>
      <c r="D40" s="2049"/>
      <c r="E40" s="2049"/>
      <c r="F40" s="2050"/>
      <c r="G40" s="2050"/>
      <c r="H40" s="2051"/>
      <c r="I40" s="2040"/>
      <c r="J40" s="2041"/>
      <c r="K40" s="2041"/>
      <c r="L40" s="2041"/>
      <c r="M40" s="2041"/>
      <c r="N40" s="2041"/>
      <c r="O40" s="2041"/>
      <c r="P40" s="2041"/>
      <c r="Q40" s="2041"/>
      <c r="R40" s="2041"/>
      <c r="S40" s="2042"/>
      <c r="T40" s="1958" t="s">
        <v>2084</v>
      </c>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5" t="s">
        <v>2081</v>
      </c>
      <c r="B42" s="2028"/>
      <c r="C42" s="2029"/>
      <c r="D42" s="2052" t="s">
        <v>2082</v>
      </c>
      <c r="E42" s="2028"/>
      <c r="F42" s="2028"/>
      <c r="G42" s="2028"/>
      <c r="H42" s="2029"/>
      <c r="I42" s="2043"/>
      <c r="J42" s="2038"/>
      <c r="K42" s="2038"/>
      <c r="L42" s="2038"/>
      <c r="M42" s="2038"/>
      <c r="N42" s="2038"/>
      <c r="O42" s="2039"/>
      <c r="P42" s="2037"/>
      <c r="Q42" s="2038"/>
      <c r="R42" s="2038"/>
      <c r="S42" s="2039"/>
      <c r="T42" s="1953" t="s">
        <v>2085</v>
      </c>
      <c r="U42" s="1949"/>
      <c r="V42" s="1949"/>
      <c r="W42" s="1950"/>
      <c r="X42" s="1948" t="s">
        <v>2086</v>
      </c>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32" sqref="J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J32" sqref="J3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2065</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37257</v>
      </c>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t="s">
        <v>2074</v>
      </c>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2066</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73282154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2.3642799999999999E-2</v>
      </c>
      <c r="E10" s="356" t="s">
        <v>1005</v>
      </c>
      <c r="F10" s="355">
        <v>4.6065000000000004E-3</v>
      </c>
      <c r="G10" s="356" t="s">
        <v>1005</v>
      </c>
      <c r="H10" s="355">
        <v>1.1838E-3</v>
      </c>
      <c r="I10" s="356" t="s">
        <v>1006</v>
      </c>
      <c r="J10" s="1726">
        <f>ROUND(D10+F10+H10,5)</f>
        <v>2.9430000000000001E-2</v>
      </c>
      <c r="K10" s="222"/>
      <c r="L10" s="355">
        <v>4.99E-5</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5540871</v>
      </c>
      <c r="E16" s="356"/>
      <c r="F16" s="1727">
        <f>SUM('Acct Summary 7-8'!C17,'Acct Summary 7-8'!D17,'Acct Summary 7-8'!F17)</f>
        <v>4984685</v>
      </c>
      <c r="G16" s="356"/>
      <c r="H16" s="1727">
        <f>SUM(D16-F16)</f>
        <v>556186</v>
      </c>
      <c r="I16" s="222"/>
      <c r="J16" s="1727">
        <f>SUM('Acct Summary 7-8'!C81,'Acct Summary 7-8'!D81,'Acct Summary 7-8'!F81,'Acct Summary 7-8'!I81)</f>
        <v>2697070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10112937.252</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1620065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32" sqref="J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Neoga CUSD 3</v>
      </c>
      <c r="E7" s="391"/>
      <c r="G7" s="252"/>
      <c r="H7" s="387"/>
      <c r="I7" s="387"/>
      <c r="J7" s="387"/>
      <c r="K7" s="387"/>
      <c r="L7" s="329"/>
      <c r="M7" s="329"/>
      <c r="N7" s="329"/>
      <c r="O7" s="329"/>
      <c r="P7" s="329"/>
    </row>
    <row r="8" spans="1:18" ht="12.75" x14ac:dyDescent="0.2">
      <c r="A8" s="329"/>
      <c r="B8" s="329"/>
      <c r="C8" s="389" t="s">
        <v>1125</v>
      </c>
      <c r="D8" s="392">
        <f>COVER!A13</f>
        <v>11018003026</v>
      </c>
      <c r="E8" s="393"/>
      <c r="G8" s="329"/>
      <c r="H8" s="329"/>
      <c r="I8" s="329"/>
      <c r="J8" s="329"/>
      <c r="K8" s="329"/>
      <c r="L8" s="329"/>
      <c r="M8" s="329"/>
      <c r="N8" s="329"/>
      <c r="O8" s="329"/>
      <c r="P8" s="329"/>
    </row>
    <row r="9" spans="1:18" ht="12.75" x14ac:dyDescent="0.2">
      <c r="A9" s="329"/>
      <c r="B9" s="329"/>
      <c r="C9" s="389" t="s">
        <v>713</v>
      </c>
      <c r="D9" s="394" t="str">
        <f>COVER!A15</f>
        <v>CUMBERLAND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2697070</v>
      </c>
      <c r="I12" s="404"/>
      <c r="J12" s="404"/>
      <c r="K12" s="405">
        <f>TRUNC((H12/H13*100000),5)/100000</f>
        <v>0.48866992819999999</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5519206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-21665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4984685</v>
      </c>
      <c r="I17" s="404"/>
      <c r="J17" s="416"/>
      <c r="K17" s="405">
        <f>TRUNC((H17/H18*100000),5)/100000</f>
        <v>0.9031525548999999</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5519206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-21665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2698838</v>
      </c>
      <c r="I24" s="422"/>
      <c r="J24" s="422"/>
      <c r="K24" s="423">
        <f>TRUNC(((H24/H25*100000)/100000),2)</f>
        <v>194.91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13846.34722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1833189.7233899999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1620065</v>
      </c>
      <c r="I32" s="420"/>
      <c r="J32" s="420"/>
      <c r="K32" s="423">
        <f>TRUNC(100-((((H32/H33*100))*100)/100),2)</f>
        <v>83.98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10112937.252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9" activePane="bottomLeft" state="frozen"/>
      <selection activeCell="J32" sqref="J32"/>
      <selection pane="bottomLeft" activeCell="J32" sqref="J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7"/>
      <c r="D3" s="1558"/>
      <c r="E3" s="1558"/>
      <c r="F3" s="1558"/>
      <c r="G3" s="1558"/>
      <c r="H3" s="1558"/>
      <c r="I3" s="1558"/>
      <c r="J3" s="1558"/>
      <c r="K3" s="1558"/>
      <c r="L3" s="1558"/>
      <c r="M3" s="1559"/>
      <c r="N3" s="1560"/>
    </row>
    <row r="4" spans="1:14" ht="13.5" customHeight="1" x14ac:dyDescent="0.2">
      <c r="A4" s="463" t="s">
        <v>1651</v>
      </c>
      <c r="B4" s="464"/>
      <c r="C4" s="465">
        <v>2203488</v>
      </c>
      <c r="D4" s="466">
        <v>210038</v>
      </c>
      <c r="E4" s="466">
        <v>56826</v>
      </c>
      <c r="F4" s="466">
        <v>275233</v>
      </c>
      <c r="G4" s="466">
        <v>33497</v>
      </c>
      <c r="H4" s="466">
        <v>324814</v>
      </c>
      <c r="I4" s="466">
        <v>10079</v>
      </c>
      <c r="J4" s="467">
        <v>200504</v>
      </c>
      <c r="K4" s="466">
        <v>79600</v>
      </c>
      <c r="L4" s="466">
        <v>144528</v>
      </c>
      <c r="M4" s="468"/>
      <c r="N4" s="469"/>
    </row>
    <row r="5" spans="1:14" x14ac:dyDescent="0.2">
      <c r="A5" s="463" t="s">
        <v>992</v>
      </c>
      <c r="B5" s="470">
        <v>120</v>
      </c>
      <c r="C5" s="465">
        <v>0</v>
      </c>
      <c r="D5" s="466">
        <v>0</v>
      </c>
      <c r="E5" s="466">
        <v>0</v>
      </c>
      <c r="F5" s="466">
        <v>0</v>
      </c>
      <c r="G5" s="466">
        <v>0</v>
      </c>
      <c r="H5" s="466">
        <v>0</v>
      </c>
      <c r="I5" s="466">
        <v>0</v>
      </c>
      <c r="J5" s="467">
        <v>0</v>
      </c>
      <c r="K5" s="471">
        <v>0</v>
      </c>
      <c r="L5" s="472">
        <v>40144</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2203488</v>
      </c>
      <c r="D13" s="1731">
        <f t="shared" ref="D13:L13" si="0">SUM(D4:D12)</f>
        <v>210038</v>
      </c>
      <c r="E13" s="1731">
        <f t="shared" si="0"/>
        <v>56826</v>
      </c>
      <c r="F13" s="1731">
        <f t="shared" si="0"/>
        <v>275233</v>
      </c>
      <c r="G13" s="1731">
        <f t="shared" si="0"/>
        <v>33497</v>
      </c>
      <c r="H13" s="1731">
        <f t="shared" si="0"/>
        <v>324814</v>
      </c>
      <c r="I13" s="1731">
        <f t="shared" si="0"/>
        <v>10079</v>
      </c>
      <c r="J13" s="1731">
        <f t="shared" si="0"/>
        <v>200504</v>
      </c>
      <c r="K13" s="1731">
        <f t="shared" si="0"/>
        <v>79600</v>
      </c>
      <c r="L13" s="1731">
        <f t="shared" si="0"/>
        <v>184672</v>
      </c>
      <c r="M13" s="468"/>
      <c r="N13" s="469"/>
    </row>
    <row r="14" spans="1:14" ht="18" customHeight="1" thickTop="1" x14ac:dyDescent="0.2">
      <c r="A14" s="2119" t="s">
        <v>147</v>
      </c>
      <c r="B14" s="2120"/>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v>11896</v>
      </c>
      <c r="N15" s="484"/>
    </row>
    <row r="16" spans="1:14" s="485" customFormat="1" ht="12.75" customHeight="1" x14ac:dyDescent="0.2">
      <c r="A16" s="482" t="s">
        <v>1402</v>
      </c>
      <c r="B16" s="483">
        <v>220</v>
      </c>
      <c r="C16" s="477"/>
      <c r="D16" s="477"/>
      <c r="E16" s="477"/>
      <c r="F16" s="477"/>
      <c r="G16" s="477"/>
      <c r="H16" s="477"/>
      <c r="I16" s="477"/>
      <c r="J16" s="477"/>
      <c r="K16" s="477"/>
      <c r="L16" s="477"/>
      <c r="M16" s="467">
        <v>262327</v>
      </c>
      <c r="N16" s="484"/>
    </row>
    <row r="17" spans="1:14" s="485" customFormat="1" ht="12.75" customHeight="1" x14ac:dyDescent="0.2">
      <c r="A17" s="482" t="s">
        <v>1403</v>
      </c>
      <c r="B17" s="483">
        <v>230</v>
      </c>
      <c r="C17" s="477"/>
      <c r="D17" s="477"/>
      <c r="E17" s="477"/>
      <c r="F17" s="477"/>
      <c r="G17" s="477"/>
      <c r="H17" s="477"/>
      <c r="I17" s="477"/>
      <c r="J17" s="477"/>
      <c r="K17" s="477"/>
      <c r="L17" s="477"/>
      <c r="M17" s="467">
        <v>14893410</v>
      </c>
      <c r="N17" s="484"/>
    </row>
    <row r="18" spans="1:14" s="485" customFormat="1" ht="12.75" customHeight="1" x14ac:dyDescent="0.2">
      <c r="A18" s="482" t="s">
        <v>1404</v>
      </c>
      <c r="B18" s="483">
        <v>240</v>
      </c>
      <c r="C18" s="477"/>
      <c r="D18" s="477"/>
      <c r="E18" s="477"/>
      <c r="F18" s="477"/>
      <c r="G18" s="477"/>
      <c r="H18" s="477"/>
      <c r="I18" s="477"/>
      <c r="J18" s="477"/>
      <c r="K18" s="477"/>
      <c r="L18" s="477"/>
      <c r="M18" s="467">
        <v>874827</v>
      </c>
      <c r="N18" s="484"/>
    </row>
    <row r="19" spans="1:14" s="485" customFormat="1" ht="12.75" customHeight="1" x14ac:dyDescent="0.2">
      <c r="A19" s="482" t="s">
        <v>1405</v>
      </c>
      <c r="B19" s="483">
        <v>250</v>
      </c>
      <c r="C19" s="477"/>
      <c r="D19" s="477"/>
      <c r="E19" s="477"/>
      <c r="F19" s="477"/>
      <c r="G19" s="477"/>
      <c r="H19" s="477"/>
      <c r="I19" s="477"/>
      <c r="J19" s="477"/>
      <c r="K19" s="477"/>
      <c r="L19" s="477"/>
      <c r="M19" s="467">
        <v>1295749</v>
      </c>
      <c r="N19" s="484"/>
    </row>
    <row r="20" spans="1:14" s="485" customFormat="1" ht="12.75" customHeight="1" x14ac:dyDescent="0.2">
      <c r="A20" s="482" t="s">
        <v>1406</v>
      </c>
      <c r="B20" s="483">
        <v>260</v>
      </c>
      <c r="C20" s="477"/>
      <c r="D20" s="477"/>
      <c r="E20" s="477"/>
      <c r="F20" s="477"/>
      <c r="G20" s="477"/>
      <c r="H20" s="477"/>
      <c r="I20" s="477"/>
      <c r="J20" s="477"/>
      <c r="K20" s="477"/>
      <c r="L20" s="477"/>
      <c r="M20" s="467">
        <v>5281</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56826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1563239</v>
      </c>
    </row>
    <row r="23" spans="1:14" ht="13.5" customHeight="1" thickBot="1" x14ac:dyDescent="0.25">
      <c r="A23" s="1730" t="s">
        <v>643</v>
      </c>
      <c r="B23" s="1735"/>
      <c r="C23" s="468"/>
      <c r="D23" s="468"/>
      <c r="E23" s="468"/>
      <c r="F23" s="468"/>
      <c r="G23" s="468"/>
      <c r="H23" s="468"/>
      <c r="I23" s="468"/>
      <c r="J23" s="468"/>
      <c r="K23" s="468"/>
      <c r="L23" s="468"/>
      <c r="M23" s="1682">
        <f>SUM(M15:M22)</f>
        <v>17343490</v>
      </c>
      <c r="N23" s="1682">
        <f>SUM(N21:N22)</f>
        <v>1620065</v>
      </c>
    </row>
    <row r="24" spans="1:14" ht="18" customHeight="1" thickTop="1" x14ac:dyDescent="0.2">
      <c r="A24" s="2121" t="s">
        <v>598</v>
      </c>
      <c r="B24" s="2122"/>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800</v>
      </c>
      <c r="D31" s="467">
        <v>0</v>
      </c>
      <c r="E31" s="467">
        <v>0</v>
      </c>
      <c r="F31" s="466">
        <v>968</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184672</v>
      </c>
      <c r="M33" s="468"/>
      <c r="N33" s="469"/>
    </row>
    <row r="34" spans="1:14" ht="13.5" customHeight="1" thickBot="1" x14ac:dyDescent="0.25">
      <c r="A34" s="1732" t="s">
        <v>654</v>
      </c>
      <c r="B34" s="1733"/>
      <c r="C34" s="1734">
        <f>SUM(C25:C33)</f>
        <v>800</v>
      </c>
      <c r="D34" s="1734">
        <f t="shared" ref="D34:K34" si="1">SUM(D25:D33)</f>
        <v>0</v>
      </c>
      <c r="E34" s="1734">
        <f t="shared" si="1"/>
        <v>0</v>
      </c>
      <c r="F34" s="1734">
        <f t="shared" si="1"/>
        <v>968</v>
      </c>
      <c r="G34" s="1734">
        <f t="shared" si="1"/>
        <v>0</v>
      </c>
      <c r="H34" s="1734">
        <f t="shared" si="1"/>
        <v>0</v>
      </c>
      <c r="I34" s="1734">
        <f t="shared" si="1"/>
        <v>0</v>
      </c>
      <c r="J34" s="1734">
        <f t="shared" si="1"/>
        <v>0</v>
      </c>
      <c r="K34" s="1734">
        <f t="shared" si="1"/>
        <v>0</v>
      </c>
      <c r="L34" s="1715">
        <f>SUM(L33)</f>
        <v>184672</v>
      </c>
      <c r="M34" s="468"/>
      <c r="N34" s="480"/>
    </row>
    <row r="35" spans="1:14" ht="18" customHeight="1" thickTop="1" x14ac:dyDescent="0.2">
      <c r="A35" s="2123" t="s">
        <v>529</v>
      </c>
      <c r="B35" s="2124"/>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1620065</v>
      </c>
    </row>
    <row r="37" spans="1:14" ht="13.5" thickBot="1" x14ac:dyDescent="0.25">
      <c r="A37" s="1730" t="s">
        <v>653</v>
      </c>
      <c r="B37" s="1735"/>
      <c r="C37" s="477"/>
      <c r="D37" s="477"/>
      <c r="E37" s="477"/>
      <c r="F37" s="477"/>
      <c r="G37" s="477"/>
      <c r="H37" s="477"/>
      <c r="I37" s="477"/>
      <c r="J37" s="477"/>
      <c r="K37" s="477"/>
      <c r="L37" s="480"/>
      <c r="M37" s="468"/>
      <c r="N37" s="1682">
        <f>SUM(N36:N36)</f>
        <v>1620065</v>
      </c>
    </row>
    <row r="38" spans="1:14" s="329" customFormat="1" ht="13.5" customHeight="1" thickTop="1" x14ac:dyDescent="0.2">
      <c r="A38" s="496" t="s">
        <v>420</v>
      </c>
      <c r="B38" s="483">
        <v>714</v>
      </c>
      <c r="C38" s="466"/>
      <c r="D38" s="466"/>
      <c r="E38" s="466"/>
      <c r="F38" s="466"/>
      <c r="G38" s="466">
        <v>3491</v>
      </c>
      <c r="H38" s="466">
        <v>224442</v>
      </c>
      <c r="I38" s="466"/>
      <c r="J38" s="467"/>
      <c r="K38" s="466"/>
      <c r="L38" s="568"/>
      <c r="M38" s="497"/>
      <c r="N38" s="497"/>
    </row>
    <row r="39" spans="1:14" s="329" customFormat="1" ht="13.5" customHeight="1" x14ac:dyDescent="0.2">
      <c r="A39" s="496" t="s">
        <v>342</v>
      </c>
      <c r="B39" s="483">
        <v>730</v>
      </c>
      <c r="C39" s="466">
        <v>2202688</v>
      </c>
      <c r="D39" s="466">
        <v>210038</v>
      </c>
      <c r="E39" s="466">
        <v>56826</v>
      </c>
      <c r="F39" s="466">
        <v>274265</v>
      </c>
      <c r="G39" s="466">
        <v>30006</v>
      </c>
      <c r="H39" s="466">
        <v>100372</v>
      </c>
      <c r="I39" s="466">
        <v>10079</v>
      </c>
      <c r="J39" s="467">
        <v>200504</v>
      </c>
      <c r="K39" s="466">
        <v>79600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17343490</v>
      </c>
      <c r="N40" s="497"/>
    </row>
    <row r="41" spans="1:14" ht="13.5" customHeight="1" thickBot="1" x14ac:dyDescent="0.25">
      <c r="A41" s="1730" t="s">
        <v>655</v>
      </c>
      <c r="B41" s="1700"/>
      <c r="C41" s="1682">
        <f>(SUM(C34,C37,C38,C39))</f>
        <v>2203488</v>
      </c>
      <c r="D41" s="1682">
        <f t="shared" ref="D41:L41" si="2">SUM(D34,D37,D38:D39)</f>
        <v>210038</v>
      </c>
      <c r="E41" s="1682">
        <f t="shared" si="2"/>
        <v>56826</v>
      </c>
      <c r="F41" s="1682">
        <f t="shared" si="2"/>
        <v>275233</v>
      </c>
      <c r="G41" s="1682">
        <f t="shared" si="2"/>
        <v>33497</v>
      </c>
      <c r="H41" s="1682">
        <f t="shared" si="2"/>
        <v>324814</v>
      </c>
      <c r="I41" s="1682">
        <f t="shared" si="2"/>
        <v>10079</v>
      </c>
      <c r="J41" s="1682">
        <f t="shared" si="2"/>
        <v>200504</v>
      </c>
      <c r="K41" s="1682">
        <f t="shared" si="2"/>
        <v>79600</v>
      </c>
      <c r="L41" s="1682">
        <f t="shared" si="2"/>
        <v>184672</v>
      </c>
      <c r="M41" s="1682">
        <f>SUM(M40)</f>
        <v>17343490</v>
      </c>
      <c r="N41" s="1682">
        <f>SUM(N37)</f>
        <v>1620065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6" activePane="bottomLeft" state="frozen"/>
      <selection activeCell="J32" sqref="J32"/>
      <selection pane="bottomLeft" activeCell="J32" sqref="J3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1"/>
      <c r="D3" s="1572"/>
      <c r="E3" s="1572"/>
      <c r="F3" s="1572"/>
      <c r="G3" s="1572"/>
      <c r="H3" s="1572"/>
      <c r="I3" s="1572"/>
      <c r="J3" s="1572"/>
      <c r="K3" s="1573"/>
      <c r="L3" s="506"/>
    </row>
    <row r="4" spans="1:13" ht="15.75" customHeight="1" x14ac:dyDescent="0.2">
      <c r="A4" s="1921" t="s">
        <v>1499</v>
      </c>
      <c r="B4" s="1922">
        <v>1000</v>
      </c>
      <c r="C4" s="1736">
        <f>'Revenues 9-14'!C109</f>
        <v>2085752</v>
      </c>
      <c r="D4" s="1736">
        <f>'Revenues 9-14'!D109</f>
        <v>312304</v>
      </c>
      <c r="E4" s="1736">
        <f>'Revenues 9-14'!E109</f>
        <v>403117</v>
      </c>
      <c r="F4" s="1736">
        <f>'Revenues 9-14'!F109</f>
        <v>101259</v>
      </c>
      <c r="G4" s="1736">
        <f>'Revenues 9-14'!G109</f>
        <v>178399</v>
      </c>
      <c r="H4" s="1736">
        <f>'Revenues 9-14'!H109</f>
        <v>180691</v>
      </c>
      <c r="I4" s="1736">
        <f>'Revenues 9-14'!I109</f>
        <v>3478</v>
      </c>
      <c r="J4" s="1736">
        <f>'Revenues 9-14'!J109</f>
        <v>104895</v>
      </c>
      <c r="K4" s="1736">
        <f>'Revenues 9-14'!K109</f>
        <v>7153</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1925291</v>
      </c>
      <c r="D6" s="1737">
        <f>'Revenues 9-14'!D170</f>
        <v>366830</v>
      </c>
      <c r="E6" s="1737">
        <f>'Revenues 9-14'!E170</f>
        <v>0</v>
      </c>
      <c r="F6" s="1737">
        <f>'Revenues 9-14'!F170</f>
        <v>291431</v>
      </c>
      <c r="G6" s="1737">
        <f>'Revenues 9-14'!G170</f>
        <v>35664</v>
      </c>
      <c r="H6" s="1737">
        <f>'Revenues 9-14'!H170</f>
        <v>0</v>
      </c>
      <c r="I6" s="1737">
        <f>'Revenues 9-14'!I170</f>
        <v>0</v>
      </c>
      <c r="J6" s="1737">
        <f>'Revenues 9-14'!J170</f>
        <v>48911</v>
      </c>
      <c r="K6" s="1737">
        <f>'Revenues 9-14'!K170</f>
        <v>0</v>
      </c>
      <c r="L6" s="347"/>
      <c r="M6" s="513"/>
    </row>
    <row r="7" spans="1:13" ht="15.75" customHeight="1" x14ac:dyDescent="0.2">
      <c r="A7" s="1574" t="s">
        <v>1502</v>
      </c>
      <c r="B7" s="1576">
        <v>4000</v>
      </c>
      <c r="C7" s="1737">
        <f>'Revenues 9-14'!C267</f>
        <v>454526</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4465569</v>
      </c>
      <c r="D8" s="1682">
        <f t="shared" ref="D8:K8" si="0">SUM(D4:D7)</f>
        <v>679134</v>
      </c>
      <c r="E8" s="1682">
        <f t="shared" si="0"/>
        <v>403117</v>
      </c>
      <c r="F8" s="1682">
        <f t="shared" si="0"/>
        <v>392690</v>
      </c>
      <c r="G8" s="1682">
        <f t="shared" si="0"/>
        <v>214063</v>
      </c>
      <c r="H8" s="1682">
        <f t="shared" si="0"/>
        <v>180691</v>
      </c>
      <c r="I8" s="1682">
        <f t="shared" si="0"/>
        <v>3478</v>
      </c>
      <c r="J8" s="1682">
        <f t="shared" si="0"/>
        <v>153806</v>
      </c>
      <c r="K8" s="1682">
        <f t="shared" si="0"/>
        <v>7153</v>
      </c>
      <c r="L8" s="347"/>
    </row>
    <row r="9" spans="1:13" ht="15.75" thickTop="1" x14ac:dyDescent="0.2">
      <c r="A9" s="514" t="s">
        <v>1653</v>
      </c>
      <c r="B9" s="515">
        <v>3998</v>
      </c>
      <c r="C9" s="568">
        <v>1867451</v>
      </c>
      <c r="D9" s="516"/>
      <c r="E9" s="481"/>
      <c r="F9" s="481"/>
      <c r="G9" s="517"/>
      <c r="H9" s="481"/>
      <c r="I9" s="509" t="s">
        <v>1169</v>
      </c>
      <c r="J9" s="478"/>
      <c r="K9" s="481"/>
      <c r="L9" s="347"/>
    </row>
    <row r="10" spans="1:13" s="519" customFormat="1" ht="13.5" thickBot="1" x14ac:dyDescent="0.25">
      <c r="A10" s="1730" t="s">
        <v>1173</v>
      </c>
      <c r="B10" s="1703"/>
      <c r="C10" s="1682">
        <f>SUM(C8:C9)</f>
        <v>6333020</v>
      </c>
      <c r="D10" s="1682">
        <f t="shared" ref="D10:K10" si="1">SUM(D8:D9)</f>
        <v>679134</v>
      </c>
      <c r="E10" s="1682">
        <f t="shared" si="1"/>
        <v>403117</v>
      </c>
      <c r="F10" s="1682">
        <f t="shared" si="1"/>
        <v>392690</v>
      </c>
      <c r="G10" s="1682">
        <f t="shared" si="1"/>
        <v>214063</v>
      </c>
      <c r="H10" s="1682">
        <f t="shared" si="1"/>
        <v>180691</v>
      </c>
      <c r="I10" s="1682">
        <f t="shared" si="1"/>
        <v>3478</v>
      </c>
      <c r="J10" s="1682">
        <f t="shared" si="1"/>
        <v>153806</v>
      </c>
      <c r="K10" s="1682">
        <f t="shared" si="1"/>
        <v>7153</v>
      </c>
      <c r="L10" s="518"/>
    </row>
    <row r="11" spans="1:13" s="519" customFormat="1" ht="16.7" customHeight="1" thickTop="1" x14ac:dyDescent="0.2">
      <c r="A11" s="2119" t="s">
        <v>1176</v>
      </c>
      <c r="B11" s="2120"/>
      <c r="C11" s="1568"/>
      <c r="D11" s="1569"/>
      <c r="E11" s="1569"/>
      <c r="F11" s="1569"/>
      <c r="G11" s="1569"/>
      <c r="H11" s="1569"/>
      <c r="I11" s="1569"/>
      <c r="J11" s="1569"/>
      <c r="K11" s="1570"/>
      <c r="L11" s="518"/>
    </row>
    <row r="12" spans="1:13" ht="15.75" customHeight="1" x14ac:dyDescent="0.2">
      <c r="A12" s="1574" t="s">
        <v>456</v>
      </c>
      <c r="B12" s="1576">
        <v>1000</v>
      </c>
      <c r="C12" s="1736">
        <f>'Expenditures 15-22'!K33</f>
        <v>2742480</v>
      </c>
      <c r="D12" s="520" t="s">
        <v>1169</v>
      </c>
      <c r="E12" s="468" t="s">
        <v>1169</v>
      </c>
      <c r="F12" s="468" t="s">
        <v>1169</v>
      </c>
      <c r="G12" s="1736">
        <f>'Expenditures 15-22'!K229</f>
        <v>75805</v>
      </c>
      <c r="H12" s="521"/>
      <c r="I12" s="468" t="s">
        <v>1169</v>
      </c>
      <c r="J12" s="468" t="s">
        <v>1169</v>
      </c>
      <c r="K12" s="521" t="s">
        <v>1169</v>
      </c>
      <c r="L12" s="347"/>
    </row>
    <row r="13" spans="1:13" ht="15.75" customHeight="1" x14ac:dyDescent="0.2">
      <c r="A13" s="1574" t="s">
        <v>457</v>
      </c>
      <c r="B13" s="1576">
        <v>2000</v>
      </c>
      <c r="C13" s="1737">
        <f>'Expenditures 15-22'!K74</f>
        <v>1306133</v>
      </c>
      <c r="D13" s="1737">
        <f>'Expenditures 15-22'!K129</f>
        <v>611508</v>
      </c>
      <c r="E13" s="469" t="s">
        <v>1169</v>
      </c>
      <c r="F13" s="1737">
        <f>'Expenditures 15-22'!K184</f>
        <v>297451</v>
      </c>
      <c r="G13" s="1737">
        <f>'Expenditures 15-22'!K279</f>
        <v>123250</v>
      </c>
      <c r="H13" s="1737">
        <f>'Expenditures 15-22'!K303</f>
        <v>198978</v>
      </c>
      <c r="I13" s="468" t="s">
        <v>1169</v>
      </c>
      <c r="J13" s="1737">
        <f>'Expenditures 15-22'!K330</f>
        <v>115438</v>
      </c>
      <c r="K13" s="1741">
        <f>'Expenditures 15-22'!K352</f>
        <v>13649</v>
      </c>
      <c r="L13" s="347"/>
    </row>
    <row r="14" spans="1:13" ht="15.75" customHeight="1" x14ac:dyDescent="0.2">
      <c r="A14" s="1574" t="s">
        <v>449</v>
      </c>
      <c r="B14" s="1576">
        <v>3000</v>
      </c>
      <c r="C14" s="1737">
        <f>'Expenditures 15-22'!K75</f>
        <v>18513</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8600</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424275</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4075726</v>
      </c>
      <c r="D17" s="1682">
        <f t="shared" si="2"/>
        <v>611508</v>
      </c>
      <c r="E17" s="1682">
        <f t="shared" si="2"/>
        <v>424275</v>
      </c>
      <c r="F17" s="1682">
        <f t="shared" si="2"/>
        <v>297451</v>
      </c>
      <c r="G17" s="1682">
        <f t="shared" si="2"/>
        <v>199055</v>
      </c>
      <c r="H17" s="1682">
        <f t="shared" si="2"/>
        <v>198978</v>
      </c>
      <c r="I17" s="468"/>
      <c r="J17" s="1682">
        <f>SUM(J12:J16)</f>
        <v>115438</v>
      </c>
      <c r="K17" s="1682">
        <f>SUM(K12:K16)</f>
        <v>13649</v>
      </c>
      <c r="L17" s="347"/>
    </row>
    <row r="18" spans="1:12" ht="15" customHeight="1" thickTop="1" x14ac:dyDescent="0.2">
      <c r="A18" s="1738" t="s">
        <v>1654</v>
      </c>
      <c r="B18" s="1739">
        <v>4180</v>
      </c>
      <c r="C18" s="1736">
        <f t="shared" ref="C18:H18" si="3">C9</f>
        <v>1867451</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5943177</v>
      </c>
      <c r="D19" s="1682">
        <f t="shared" si="4"/>
        <v>611508</v>
      </c>
      <c r="E19" s="1682">
        <f t="shared" si="4"/>
        <v>424275</v>
      </c>
      <c r="F19" s="1682">
        <f t="shared" si="4"/>
        <v>297451</v>
      </c>
      <c r="G19" s="1682">
        <f t="shared" si="4"/>
        <v>199055</v>
      </c>
      <c r="H19" s="1682">
        <f t="shared" si="4"/>
        <v>198978</v>
      </c>
      <c r="I19" s="468"/>
      <c r="J19" s="1682">
        <f>SUM(J17:J18)</f>
        <v>115438</v>
      </c>
      <c r="K19" s="1682">
        <f>SUM(K17:K18)</f>
        <v>13649</v>
      </c>
      <c r="L19" s="347"/>
    </row>
    <row r="20" spans="1:12" ht="16.5" thickTop="1" thickBot="1" x14ac:dyDescent="0.25">
      <c r="A20" s="2135" t="s">
        <v>1655</v>
      </c>
      <c r="B20" s="2136"/>
      <c r="C20" s="1740">
        <f>C8-C17</f>
        <v>389843</v>
      </c>
      <c r="D20" s="1740">
        <f t="shared" ref="D20:K20" si="5">D8-D17</f>
        <v>67626</v>
      </c>
      <c r="E20" s="1740">
        <f t="shared" si="5"/>
        <v>-21158</v>
      </c>
      <c r="F20" s="1740">
        <f t="shared" si="5"/>
        <v>95239</v>
      </c>
      <c r="G20" s="1740">
        <f t="shared" si="5"/>
        <v>15008</v>
      </c>
      <c r="H20" s="1740">
        <f t="shared" si="5"/>
        <v>-18287</v>
      </c>
      <c r="I20" s="1740">
        <f t="shared" si="5"/>
        <v>3478</v>
      </c>
      <c r="J20" s="1740">
        <f t="shared" si="5"/>
        <v>38368</v>
      </c>
      <c r="K20" s="1740">
        <f t="shared" si="5"/>
        <v>-6496</v>
      </c>
      <c r="L20" s="347"/>
    </row>
    <row r="21" spans="1:12" ht="16.7" customHeight="1" thickTop="1" x14ac:dyDescent="0.2">
      <c r="A21" s="2147" t="s">
        <v>595</v>
      </c>
      <c r="B21" s="2148"/>
      <c r="C21" s="1568"/>
      <c r="D21" s="1569"/>
      <c r="E21" s="1569"/>
      <c r="F21" s="1569"/>
      <c r="G21" s="1569"/>
      <c r="H21" s="1569"/>
      <c r="I21" s="1569"/>
      <c r="J21" s="1569"/>
      <c r="K21" s="1570"/>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650</v>
      </c>
      <c r="E36" s="467">
        <v>0</v>
      </c>
      <c r="F36" s="467">
        <v>0</v>
      </c>
      <c r="G36" s="467">
        <v>0</v>
      </c>
      <c r="H36" s="467">
        <v>100100</v>
      </c>
      <c r="I36" s="475"/>
      <c r="J36" s="467">
        <v>0</v>
      </c>
      <c r="K36" s="467">
        <v>0</v>
      </c>
      <c r="L36" s="524"/>
    </row>
    <row r="37" spans="1:12" s="485" customFormat="1" x14ac:dyDescent="0.2">
      <c r="A37" s="1487" t="s">
        <v>441</v>
      </c>
      <c r="B37" s="525">
        <v>7400</v>
      </c>
      <c r="C37" s="475"/>
      <c r="D37" s="475"/>
      <c r="E37" s="1737">
        <f>SUM(C54:D57,H54:H57)</f>
        <v>12040</v>
      </c>
      <c r="F37" s="475"/>
      <c r="G37" s="475"/>
      <c r="H37" s="475"/>
      <c r="I37" s="477"/>
      <c r="J37" s="475"/>
      <c r="K37" s="475"/>
      <c r="L37" s="524"/>
    </row>
    <row r="38" spans="1:12" s="485" customFormat="1" x14ac:dyDescent="0.2">
      <c r="A38" s="1487" t="s">
        <v>442</v>
      </c>
      <c r="B38" s="525">
        <v>7500</v>
      </c>
      <c r="C38" s="477"/>
      <c r="D38" s="477"/>
      <c r="E38" s="1737">
        <f>SUM(C58:D61,H58:H61)</f>
        <v>2510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19025</v>
      </c>
      <c r="F43" s="467">
        <v>0</v>
      </c>
      <c r="G43" s="467">
        <v>0</v>
      </c>
      <c r="H43" s="467">
        <v>0</v>
      </c>
      <c r="I43" s="467">
        <v>0</v>
      </c>
      <c r="J43" s="467">
        <v>0</v>
      </c>
      <c r="K43" s="467">
        <v>0</v>
      </c>
      <c r="L43" s="524"/>
    </row>
    <row r="44" spans="1:12" s="485" customFormat="1" ht="13.5" customHeight="1" thickBot="1" x14ac:dyDescent="0.25">
      <c r="A44" s="2149" t="s">
        <v>374</v>
      </c>
      <c r="B44" s="2150"/>
      <c r="C44" s="1697">
        <f>SUM(C24:C43)</f>
        <v>0</v>
      </c>
      <c r="D44" s="1697">
        <f t="shared" ref="D44:K44" si="6">SUM(D24:D43)</f>
        <v>650</v>
      </c>
      <c r="E44" s="1697">
        <f t="shared" si="6"/>
        <v>33575</v>
      </c>
      <c r="F44" s="1697">
        <f t="shared" si="6"/>
        <v>0</v>
      </c>
      <c r="G44" s="1697">
        <f t="shared" si="6"/>
        <v>0</v>
      </c>
      <c r="H44" s="1697">
        <f t="shared" si="6"/>
        <v>100100</v>
      </c>
      <c r="I44" s="1697">
        <f t="shared" si="6"/>
        <v>0</v>
      </c>
      <c r="J44" s="1697">
        <f t="shared" si="6"/>
        <v>0</v>
      </c>
      <c r="K44" s="1697">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3107</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8933</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2510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18558</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467</v>
      </c>
      <c r="D75" s="531">
        <v>0</v>
      </c>
      <c r="E75" s="530">
        <v>0</v>
      </c>
      <c r="F75" s="532">
        <v>0</v>
      </c>
      <c r="G75" s="532">
        <v>0</v>
      </c>
      <c r="H75" s="532">
        <v>0</v>
      </c>
      <c r="I75" s="530">
        <v>0</v>
      </c>
      <c r="J75" s="530">
        <v>0</v>
      </c>
      <c r="K75" s="532">
        <v>0</v>
      </c>
      <c r="L75" s="524"/>
    </row>
    <row r="76" spans="1:12" s="485" customFormat="1" ht="14.25" thickTop="1" thickBot="1" x14ac:dyDescent="0.25">
      <c r="A76" s="2125" t="s">
        <v>440</v>
      </c>
      <c r="B76" s="2126"/>
      <c r="C76" s="1697">
        <f t="shared" ref="C76:K76" si="7">SUM(C47:C75)</f>
        <v>33575</v>
      </c>
      <c r="D76" s="1697">
        <f t="shared" si="7"/>
        <v>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7" t="s">
        <v>1177</v>
      </c>
      <c r="B77" s="2128"/>
      <c r="C77" s="1697">
        <f t="shared" ref="C77:K77" si="8">C44-C76</f>
        <v>-33575</v>
      </c>
      <c r="D77" s="1697">
        <f t="shared" si="8"/>
        <v>650</v>
      </c>
      <c r="E77" s="1697">
        <f t="shared" si="8"/>
        <v>33575</v>
      </c>
      <c r="F77" s="1697">
        <f t="shared" si="8"/>
        <v>0</v>
      </c>
      <c r="G77" s="1697">
        <f t="shared" si="8"/>
        <v>0</v>
      </c>
      <c r="H77" s="1697">
        <f t="shared" si="8"/>
        <v>100100</v>
      </c>
      <c r="I77" s="1697">
        <f t="shared" si="8"/>
        <v>0</v>
      </c>
      <c r="J77" s="1697">
        <f t="shared" si="8"/>
        <v>0</v>
      </c>
      <c r="K77" s="1697">
        <f t="shared" si="8"/>
        <v>0</v>
      </c>
      <c r="L77" s="347"/>
    </row>
    <row r="78" spans="1:12" ht="21.75" customHeight="1" thickTop="1" thickBot="1" x14ac:dyDescent="0.25">
      <c r="A78" s="2131" t="s">
        <v>597</v>
      </c>
      <c r="B78" s="2132"/>
      <c r="C78" s="1696">
        <f t="shared" ref="C78:K78" si="9">C20+C77</f>
        <v>356268</v>
      </c>
      <c r="D78" s="1696">
        <f t="shared" si="9"/>
        <v>68276</v>
      </c>
      <c r="E78" s="1696">
        <f t="shared" si="9"/>
        <v>12417</v>
      </c>
      <c r="F78" s="1696">
        <f t="shared" si="9"/>
        <v>95239</v>
      </c>
      <c r="G78" s="1696">
        <f t="shared" si="9"/>
        <v>15008</v>
      </c>
      <c r="H78" s="1696">
        <f t="shared" si="9"/>
        <v>81813</v>
      </c>
      <c r="I78" s="1696">
        <f t="shared" si="9"/>
        <v>3478</v>
      </c>
      <c r="J78" s="1696">
        <f t="shared" si="9"/>
        <v>38368</v>
      </c>
      <c r="K78" s="1696">
        <f t="shared" si="9"/>
        <v>-6496</v>
      </c>
      <c r="L78" s="533"/>
    </row>
    <row r="79" spans="1:12" ht="13.5" thickTop="1" x14ac:dyDescent="0.2">
      <c r="A79" s="1492" t="s">
        <v>1947</v>
      </c>
      <c r="B79" s="534"/>
      <c r="C79" s="639">
        <v>1846420</v>
      </c>
      <c r="D79" s="535">
        <v>141762</v>
      </c>
      <c r="E79" s="535">
        <v>44409</v>
      </c>
      <c r="F79" s="535">
        <v>179026</v>
      </c>
      <c r="G79" s="535">
        <v>18489</v>
      </c>
      <c r="H79" s="535">
        <v>243001</v>
      </c>
      <c r="I79" s="535">
        <v>6601</v>
      </c>
      <c r="J79" s="535">
        <v>162136</v>
      </c>
      <c r="K79" s="535">
        <v>86096</v>
      </c>
      <c r="L79" s="347"/>
    </row>
    <row r="80" spans="1:12" x14ac:dyDescent="0.2">
      <c r="A80" s="2137" t="s">
        <v>1795</v>
      </c>
      <c r="B80" s="2138"/>
      <c r="C80" s="467"/>
      <c r="D80" s="467"/>
      <c r="E80" s="467"/>
      <c r="F80" s="467"/>
      <c r="G80" s="467"/>
      <c r="H80" s="467"/>
      <c r="I80" s="467"/>
      <c r="J80" s="467"/>
      <c r="K80" s="467"/>
      <c r="L80" s="347"/>
    </row>
    <row r="81" spans="1:12" ht="13.5" thickBot="1" x14ac:dyDescent="0.25">
      <c r="A81" s="2129" t="s">
        <v>1948</v>
      </c>
      <c r="B81" s="2130"/>
      <c r="C81" s="1682">
        <f>(SUM(C78:C80))</f>
        <v>2202688</v>
      </c>
      <c r="D81" s="1682">
        <f>SUM(D78:D80)</f>
        <v>210038</v>
      </c>
      <c r="E81" s="1682">
        <f t="shared" ref="E81:K81" si="10">SUM(E78:E80)</f>
        <v>56826</v>
      </c>
      <c r="F81" s="1682">
        <f t="shared" si="10"/>
        <v>274265</v>
      </c>
      <c r="G81" s="1682">
        <f t="shared" si="10"/>
        <v>33497</v>
      </c>
      <c r="H81" s="1682">
        <f t="shared" si="10"/>
        <v>324814</v>
      </c>
      <c r="I81" s="1682">
        <f t="shared" si="10"/>
        <v>10079</v>
      </c>
      <c r="J81" s="1682">
        <f t="shared" si="10"/>
        <v>200504</v>
      </c>
      <c r="K81" s="1682">
        <f t="shared" si="10"/>
        <v>79600</v>
      </c>
      <c r="L81" s="347"/>
    </row>
    <row r="82" spans="1:12" ht="0.75" customHeight="1" thickTop="1" thickBot="1" x14ac:dyDescent="0.25">
      <c r="A82" s="536" t="s">
        <v>343</v>
      </c>
      <c r="B82" s="537"/>
      <c r="C82" s="538">
        <f>(C81-C79)</f>
        <v>356268</v>
      </c>
      <c r="D82" s="538">
        <f t="shared" ref="D82:K82" si="11">(D81-D79)</f>
        <v>68276</v>
      </c>
      <c r="E82" s="538">
        <f t="shared" si="11"/>
        <v>12417</v>
      </c>
      <c r="F82" s="538">
        <f t="shared" si="11"/>
        <v>95239</v>
      </c>
      <c r="G82" s="538">
        <f t="shared" si="11"/>
        <v>15008</v>
      </c>
      <c r="H82" s="538">
        <f t="shared" si="11"/>
        <v>81813</v>
      </c>
      <c r="I82" s="538">
        <f t="shared" si="11"/>
        <v>3478</v>
      </c>
      <c r="J82" s="538">
        <f t="shared" si="11"/>
        <v>38368</v>
      </c>
      <c r="K82" s="538">
        <f t="shared" si="11"/>
        <v>-6496</v>
      </c>
    </row>
    <row r="83" spans="1:12" ht="14.25" hidden="1" thickTop="1" thickBot="1" x14ac:dyDescent="0.25">
      <c r="A83" s="539" t="s">
        <v>344</v>
      </c>
      <c r="B83" s="464"/>
      <c r="C83" s="540">
        <f>C82/C81</f>
        <v>0.16174238021907777</v>
      </c>
      <c r="D83" s="540">
        <f t="shared" ref="D83:K83" si="12">D82/D81</f>
        <v>0.32506498824022317</v>
      </c>
      <c r="E83" s="540">
        <f t="shared" si="12"/>
        <v>0.21850913314327949</v>
      </c>
      <c r="F83" s="540">
        <f t="shared" si="12"/>
        <v>0.34725174557453559</v>
      </c>
      <c r="G83" s="540">
        <f t="shared" si="12"/>
        <v>0.4480401229960892</v>
      </c>
      <c r="H83" s="540">
        <f t="shared" si="12"/>
        <v>0.25187645852703394</v>
      </c>
      <c r="I83" s="540">
        <f t="shared" si="12"/>
        <v>0.3450739160631015</v>
      </c>
      <c r="J83" s="540">
        <f t="shared" si="12"/>
        <v>0.19135777839843593</v>
      </c>
      <c r="K83" s="540">
        <f t="shared" si="12"/>
        <v>-8.1608040201005025E-2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60" activePane="bottomLeft" state="frozen"/>
      <selection activeCell="J32" sqref="J32"/>
      <selection pane="bottomLeft" activeCell="C78" sqref="C78"/>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3" t="s">
        <v>1802</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1600292</v>
      </c>
      <c r="D5" s="568">
        <v>305775</v>
      </c>
      <c r="E5" s="466">
        <v>394108</v>
      </c>
      <c r="F5" s="548">
        <v>78583</v>
      </c>
      <c r="G5" s="466">
        <v>87139</v>
      </c>
      <c r="H5" s="466">
        <v>0</v>
      </c>
      <c r="I5" s="466">
        <v>3333</v>
      </c>
      <c r="J5" s="467">
        <v>102045</v>
      </c>
      <c r="K5" s="466">
        <v>6075</v>
      </c>
    </row>
    <row r="6" spans="1:12" ht="15" x14ac:dyDescent="0.2">
      <c r="A6" s="463" t="s">
        <v>1662</v>
      </c>
      <c r="B6" s="470">
        <v>1130</v>
      </c>
      <c r="C6" s="466">
        <v>3107</v>
      </c>
      <c r="D6" s="466">
        <v>0</v>
      </c>
      <c r="E6" s="475"/>
      <c r="F6" s="475"/>
      <c r="G6" s="468"/>
      <c r="H6" s="468"/>
      <c r="I6" s="468"/>
      <c r="J6" s="468"/>
      <c r="K6" s="468"/>
    </row>
    <row r="7" spans="1:12" x14ac:dyDescent="0.2">
      <c r="A7" s="463" t="s">
        <v>110</v>
      </c>
      <c r="B7" s="549">
        <v>1140</v>
      </c>
      <c r="C7" s="466">
        <v>21858</v>
      </c>
      <c r="D7" s="466">
        <v>0</v>
      </c>
      <c r="E7" s="468"/>
      <c r="F7" s="467">
        <v>0</v>
      </c>
      <c r="G7" s="467">
        <v>0</v>
      </c>
      <c r="H7" s="467">
        <v>0</v>
      </c>
      <c r="I7" s="468"/>
      <c r="J7" s="468"/>
      <c r="K7" s="468"/>
    </row>
    <row r="8" spans="1:12" x14ac:dyDescent="0.2">
      <c r="A8" s="463" t="s">
        <v>413</v>
      </c>
      <c r="B8" s="470">
        <v>1150</v>
      </c>
      <c r="C8" s="475"/>
      <c r="D8" s="475"/>
      <c r="E8" s="477"/>
      <c r="F8" s="477"/>
      <c r="G8" s="568">
        <v>85322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1625257</v>
      </c>
      <c r="D12" s="1701">
        <f t="shared" si="0"/>
        <v>305775</v>
      </c>
      <c r="E12" s="1701">
        <f t="shared" si="0"/>
        <v>394108</v>
      </c>
      <c r="F12" s="1701">
        <f t="shared" si="0"/>
        <v>78583</v>
      </c>
      <c r="G12" s="1701">
        <f t="shared" si="0"/>
        <v>172461</v>
      </c>
      <c r="H12" s="1701">
        <f t="shared" si="0"/>
        <v>0</v>
      </c>
      <c r="I12" s="1701">
        <f t="shared" si="0"/>
        <v>3333</v>
      </c>
      <c r="J12" s="1701">
        <f t="shared" si="0"/>
        <v>102045</v>
      </c>
      <c r="K12" s="1682">
        <f t="shared" si="0"/>
        <v>6075</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3860</v>
      </c>
      <c r="D14" s="466">
        <v>726</v>
      </c>
      <c r="E14" s="466">
        <v>935</v>
      </c>
      <c r="F14" s="466">
        <v>187</v>
      </c>
      <c r="G14" s="466">
        <v>409</v>
      </c>
      <c r="H14" s="466">
        <v>0</v>
      </c>
      <c r="I14" s="466">
        <v>8</v>
      </c>
      <c r="J14" s="467">
        <v>243</v>
      </c>
      <c r="K14" s="466">
        <v>14</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153625</v>
      </c>
      <c r="D16" s="466">
        <v>0</v>
      </c>
      <c r="E16" s="466">
        <v>7081</v>
      </c>
      <c r="F16" s="466">
        <v>0</v>
      </c>
      <c r="G16" s="466">
        <v>4478</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157485</v>
      </c>
      <c r="D18" s="1704">
        <f t="shared" ref="D18:K18" si="1">SUM(D14:D17)</f>
        <v>726</v>
      </c>
      <c r="E18" s="1704">
        <f t="shared" si="1"/>
        <v>8016</v>
      </c>
      <c r="F18" s="1704">
        <f t="shared" si="1"/>
        <v>187</v>
      </c>
      <c r="G18" s="1704">
        <f t="shared" si="1"/>
        <v>4887</v>
      </c>
      <c r="H18" s="1704">
        <f t="shared" si="1"/>
        <v>0</v>
      </c>
      <c r="I18" s="1704">
        <f t="shared" si="1"/>
        <v>8</v>
      </c>
      <c r="J18" s="1704">
        <f t="shared" si="1"/>
        <v>243</v>
      </c>
      <c r="K18" s="1705">
        <f t="shared" si="1"/>
        <v>14</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34011</v>
      </c>
      <c r="D65" s="466">
        <v>5738</v>
      </c>
      <c r="E65" s="466">
        <v>993</v>
      </c>
      <c r="F65" s="467">
        <v>2689</v>
      </c>
      <c r="G65" s="466">
        <v>1051</v>
      </c>
      <c r="H65" s="466">
        <v>3346</v>
      </c>
      <c r="I65" s="466">
        <v>137</v>
      </c>
      <c r="J65" s="467">
        <v>2607</v>
      </c>
      <c r="K65" s="466">
        <v>1064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34011</v>
      </c>
      <c r="D67" s="1682">
        <f t="shared" ref="D67:K67" si="2">SUM(D65:D66)</f>
        <v>5738</v>
      </c>
      <c r="E67" s="1682">
        <f t="shared" si="2"/>
        <v>993</v>
      </c>
      <c r="F67" s="1682">
        <f t="shared" si="2"/>
        <v>2689</v>
      </c>
      <c r="G67" s="1682">
        <f t="shared" si="2"/>
        <v>1051</v>
      </c>
      <c r="H67" s="1682">
        <f t="shared" si="2"/>
        <v>3346</v>
      </c>
      <c r="I67" s="1682">
        <f t="shared" si="2"/>
        <v>137</v>
      </c>
      <c r="J67" s="1682">
        <f t="shared" si="2"/>
        <v>2607</v>
      </c>
      <c r="K67" s="1682">
        <f t="shared" si="2"/>
        <v>1064</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53627</v>
      </c>
      <c r="D69" s="468"/>
      <c r="E69" s="468"/>
      <c r="F69" s="468"/>
      <c r="G69" s="468"/>
      <c r="H69" s="468"/>
      <c r="I69" s="468"/>
      <c r="J69" s="468"/>
      <c r="K69" s="468"/>
    </row>
    <row r="70" spans="1:11" ht="12.75" customHeight="1" x14ac:dyDescent="0.2">
      <c r="A70" s="463" t="s">
        <v>997</v>
      </c>
      <c r="B70" s="470">
        <v>1612</v>
      </c>
      <c r="C70" s="551">
        <v>6130</v>
      </c>
      <c r="D70" s="468"/>
      <c r="E70" s="468"/>
      <c r="F70" s="468"/>
      <c r="G70" s="468"/>
      <c r="H70" s="468"/>
      <c r="I70" s="468"/>
      <c r="J70" s="468"/>
      <c r="K70" s="468"/>
    </row>
    <row r="71" spans="1:11" ht="12.75" customHeight="1" x14ac:dyDescent="0.2">
      <c r="A71" s="463" t="s">
        <v>273</v>
      </c>
      <c r="B71" s="470">
        <v>1613</v>
      </c>
      <c r="C71" s="551">
        <v>16575</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5098</v>
      </c>
      <c r="D73" s="468"/>
      <c r="E73" s="468"/>
      <c r="F73" s="468"/>
      <c r="G73" s="468"/>
      <c r="H73" s="468"/>
      <c r="I73" s="468"/>
      <c r="J73" s="468"/>
      <c r="K73" s="468"/>
    </row>
    <row r="74" spans="1:11" ht="12.75" customHeight="1" x14ac:dyDescent="0.2">
      <c r="A74" s="463" t="s">
        <v>25</v>
      </c>
      <c r="B74" s="470">
        <v>1690</v>
      </c>
      <c r="C74" s="551">
        <v>5980</v>
      </c>
      <c r="D74" s="468"/>
      <c r="E74" s="468"/>
      <c r="F74" s="468"/>
      <c r="G74" s="468"/>
      <c r="H74" s="468"/>
      <c r="I74" s="468"/>
      <c r="J74" s="468"/>
      <c r="K74" s="468"/>
    </row>
    <row r="75" spans="1:11" ht="12.75" customHeight="1" thickBot="1" x14ac:dyDescent="0.25">
      <c r="A75" s="1702" t="s">
        <v>548</v>
      </c>
      <c r="B75" s="1703"/>
      <c r="C75" s="1682">
        <f>SUM(C69:C74)</f>
        <v>87410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27088</v>
      </c>
      <c r="D77" s="466">
        <v>0</v>
      </c>
      <c r="E77" s="468"/>
      <c r="F77" s="468"/>
      <c r="G77" s="468"/>
      <c r="H77" s="468"/>
      <c r="I77" s="468"/>
      <c r="J77" s="468"/>
      <c r="K77" s="468"/>
    </row>
    <row r="78" spans="1:11" ht="12.75" customHeight="1" x14ac:dyDescent="0.2">
      <c r="A78" s="463" t="s">
        <v>76</v>
      </c>
      <c r="B78" s="470">
        <v>1719</v>
      </c>
      <c r="C78" s="551">
        <v>2546</v>
      </c>
      <c r="D78" s="466">
        <v>0</v>
      </c>
      <c r="E78" s="468"/>
      <c r="F78" s="468"/>
      <c r="G78" s="468"/>
      <c r="H78" s="468"/>
      <c r="I78" s="468"/>
      <c r="J78" s="468"/>
      <c r="K78" s="468"/>
    </row>
    <row r="79" spans="1:11" ht="12.75" customHeight="1" x14ac:dyDescent="0.2">
      <c r="A79" s="463" t="s">
        <v>550</v>
      </c>
      <c r="B79" s="470">
        <v>1720</v>
      </c>
      <c r="C79" s="551">
        <v>38085</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32</v>
      </c>
      <c r="D81" s="466">
        <v>0</v>
      </c>
      <c r="E81" s="468"/>
      <c r="F81" s="468"/>
      <c r="G81" s="468"/>
      <c r="H81" s="468"/>
      <c r="I81" s="468"/>
      <c r="J81" s="468"/>
      <c r="K81" s="468"/>
    </row>
    <row r="82" spans="1:11" ht="12.75" customHeight="1" thickBot="1" x14ac:dyDescent="0.25">
      <c r="A82" s="1702" t="s">
        <v>241</v>
      </c>
      <c r="B82" s="1703"/>
      <c r="C82" s="1701">
        <f>SUM(C77:C81)</f>
        <v>67751</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21467</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158</v>
      </c>
      <c r="D92" s="468"/>
      <c r="E92" s="468"/>
      <c r="F92" s="468"/>
      <c r="G92" s="468"/>
      <c r="H92" s="468"/>
      <c r="I92" s="468"/>
      <c r="J92" s="468"/>
      <c r="K92" s="468"/>
    </row>
    <row r="93" spans="1:11" ht="12.75" customHeight="1" thickBot="1" x14ac:dyDescent="0.25">
      <c r="A93" s="1702" t="s">
        <v>243</v>
      </c>
      <c r="B93" s="1703"/>
      <c r="C93" s="1682">
        <f>SUM(C84:C92)</f>
        <v>21625</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30</v>
      </c>
      <c r="E95" s="521"/>
      <c r="F95" s="521"/>
      <c r="G95" s="521"/>
      <c r="H95" s="521"/>
      <c r="I95" s="521"/>
      <c r="J95" s="521"/>
      <c r="K95" s="521"/>
    </row>
    <row r="96" spans="1:11" ht="12.75" customHeight="1" x14ac:dyDescent="0.2">
      <c r="A96" s="463" t="s">
        <v>391</v>
      </c>
      <c r="B96" s="470">
        <v>1920</v>
      </c>
      <c r="C96" s="551">
        <v>37142</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20426</v>
      </c>
      <c r="D99" s="466">
        <v>0</v>
      </c>
      <c r="E99" s="466">
        <v>0</v>
      </c>
      <c r="F99" s="466">
        <v>19800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6075</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177345</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4310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24260</v>
      </c>
      <c r="D107" s="466">
        <v>35</v>
      </c>
      <c r="E107" s="466">
        <v>0</v>
      </c>
      <c r="F107" s="466">
        <v>0</v>
      </c>
      <c r="G107" s="466">
        <v>0</v>
      </c>
      <c r="H107" s="466">
        <v>0</v>
      </c>
      <c r="I107" s="466">
        <v>0</v>
      </c>
      <c r="J107" s="467">
        <v>0</v>
      </c>
      <c r="K107" s="466">
        <v>0</v>
      </c>
    </row>
    <row r="108" spans="1:12" ht="12.75" customHeight="1" thickBot="1" x14ac:dyDescent="0.25">
      <c r="A108" s="1702" t="s">
        <v>487</v>
      </c>
      <c r="B108" s="1706"/>
      <c r="C108" s="1701">
        <f>SUM(C95:C107)</f>
        <v>92213</v>
      </c>
      <c r="D108" s="1701">
        <f t="shared" ref="D108:K108" si="3">SUM(D95:D107)</f>
        <v>65</v>
      </c>
      <c r="E108" s="1701">
        <f t="shared" si="3"/>
        <v>0</v>
      </c>
      <c r="F108" s="1701">
        <f t="shared" si="3"/>
        <v>19800</v>
      </c>
      <c r="G108" s="1701">
        <f t="shared" si="3"/>
        <v>0</v>
      </c>
      <c r="H108" s="1701">
        <f t="shared" si="3"/>
        <v>177345</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2085752</v>
      </c>
      <c r="D109" s="1709">
        <f t="shared" si="4"/>
        <v>312304</v>
      </c>
      <c r="E109" s="1709">
        <f t="shared" si="4"/>
        <v>403117</v>
      </c>
      <c r="F109" s="1709">
        <f t="shared" si="4"/>
        <v>101259</v>
      </c>
      <c r="G109" s="1709">
        <f t="shared" si="4"/>
        <v>178399</v>
      </c>
      <c r="H109" s="1709">
        <f t="shared" si="4"/>
        <v>180691</v>
      </c>
      <c r="I109" s="1709">
        <f t="shared" si="4"/>
        <v>3478</v>
      </c>
      <c r="J109" s="1709">
        <f t="shared" si="4"/>
        <v>104895</v>
      </c>
      <c r="K109" s="1696">
        <f t="shared" si="4"/>
        <v>7153</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1862684</v>
      </c>
      <c r="D117" s="568">
        <v>366830</v>
      </c>
      <c r="E117" s="466">
        <v>0</v>
      </c>
      <c r="F117" s="568">
        <v>122277</v>
      </c>
      <c r="G117" s="568">
        <v>35664</v>
      </c>
      <c r="H117" s="466">
        <v>0</v>
      </c>
      <c r="I117" s="468"/>
      <c r="J117" s="467">
        <v>48911</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1862684</v>
      </c>
      <c r="D122" s="1701">
        <f t="shared" si="5"/>
        <v>366830</v>
      </c>
      <c r="E122" s="1701">
        <f t="shared" si="5"/>
        <v>0</v>
      </c>
      <c r="F122" s="1701">
        <f t="shared" si="5"/>
        <v>122277</v>
      </c>
      <c r="G122" s="1701">
        <f t="shared" si="5"/>
        <v>35664</v>
      </c>
      <c r="H122" s="1701">
        <f t="shared" si="5"/>
        <v>0</v>
      </c>
      <c r="I122" s="468"/>
      <c r="J122" s="1701">
        <f>SUM(J117:J121)</f>
        <v>48911</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7942</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7942</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32758</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10436</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43194</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2616</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8105</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87523</v>
      </c>
      <c r="G152" s="467">
        <v>0</v>
      </c>
      <c r="H152" s="468"/>
      <c r="I152" s="468"/>
      <c r="J152" s="468"/>
      <c r="K152" s="468"/>
    </row>
    <row r="153" spans="1:11" ht="12.75" customHeight="1" x14ac:dyDescent="0.2">
      <c r="A153" s="463" t="s">
        <v>1057</v>
      </c>
      <c r="B153" s="561">
        <v>3510</v>
      </c>
      <c r="C153" s="551">
        <v>0</v>
      </c>
      <c r="D153" s="466">
        <v>0</v>
      </c>
      <c r="E153" s="560"/>
      <c r="F153" s="466">
        <v>58816</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146339</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22815</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750</v>
      </c>
      <c r="D168" s="579">
        <v>0</v>
      </c>
      <c r="E168" s="579">
        <v>0</v>
      </c>
      <c r="F168" s="579">
        <v>0</v>
      </c>
      <c r="G168" s="580">
        <v>0</v>
      </c>
      <c r="H168" s="581">
        <v>0</v>
      </c>
      <c r="I168" s="580">
        <v>0</v>
      </c>
      <c r="J168" s="580">
        <v>0</v>
      </c>
      <c r="K168" s="581">
        <v>0</v>
      </c>
    </row>
    <row r="169" spans="1:11" ht="12.75" customHeight="1" thickTop="1" thickBot="1" x14ac:dyDescent="0.25">
      <c r="A169" s="2153" t="s">
        <v>398</v>
      </c>
      <c r="B169" s="2154"/>
      <c r="C169" s="1716">
        <f t="shared" ref="C169:K169" si="6">SUM(C132,C141,C145,C146:C150,C155,C156:C167,C168)</f>
        <v>62607</v>
      </c>
      <c r="D169" s="1716">
        <f t="shared" si="6"/>
        <v>0</v>
      </c>
      <c r="E169" s="1716">
        <f t="shared" si="6"/>
        <v>0</v>
      </c>
      <c r="F169" s="1716">
        <f t="shared" si="6"/>
        <v>169154</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1925291</v>
      </c>
      <c r="D170" s="1709">
        <f t="shared" si="7"/>
        <v>366830</v>
      </c>
      <c r="E170" s="1709">
        <f t="shared" si="7"/>
        <v>0</v>
      </c>
      <c r="F170" s="1709">
        <f t="shared" si="7"/>
        <v>291431</v>
      </c>
      <c r="G170" s="1709">
        <f t="shared" si="7"/>
        <v>35664</v>
      </c>
      <c r="H170" s="1709">
        <f t="shared" si="7"/>
        <v>0</v>
      </c>
      <c r="I170" s="1709">
        <f t="shared" si="7"/>
        <v>0</v>
      </c>
      <c r="J170" s="1709">
        <f t="shared" si="7"/>
        <v>48911</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9" t="s">
        <v>1665</v>
      </c>
      <c r="B175" s="2160"/>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3" t="s">
        <v>1664</v>
      </c>
      <c r="B176" s="2164"/>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19732</v>
      </c>
      <c r="D180" s="466">
        <v>0</v>
      </c>
      <c r="E180" s="468"/>
      <c r="F180" s="466">
        <v>0</v>
      </c>
      <c r="G180" s="466">
        <v>0</v>
      </c>
      <c r="H180" s="466">
        <v>0</v>
      </c>
      <c r="I180" s="468"/>
      <c r="J180" s="468"/>
      <c r="K180" s="466">
        <v>0</v>
      </c>
    </row>
    <row r="181" spans="1:11" ht="13.5" thickBot="1" x14ac:dyDescent="0.25">
      <c r="A181" s="2161" t="s">
        <v>785</v>
      </c>
      <c r="B181" s="2162"/>
      <c r="C181" s="1701">
        <f>SUM(C177:C180)</f>
        <v>19732</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7" t="s">
        <v>1803</v>
      </c>
      <c r="B182" s="2158"/>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126158</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34889</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161047</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212363</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212363</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4146</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4146</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0</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8229</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8229</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15326</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12203</v>
      </c>
      <c r="D263" s="575">
        <v>0</v>
      </c>
      <c r="E263" s="468"/>
      <c r="F263" s="575">
        <v>0</v>
      </c>
      <c r="G263" s="575">
        <v>0</v>
      </c>
      <c r="H263" s="468"/>
      <c r="I263" s="468"/>
      <c r="J263" s="468"/>
      <c r="K263" s="468"/>
    </row>
    <row r="264" spans="1:11" ht="12.75" customHeight="1" thickTop="1" thickBot="1" x14ac:dyDescent="0.25">
      <c r="A264" s="463" t="s">
        <v>377</v>
      </c>
      <c r="B264" s="470">
        <v>4992</v>
      </c>
      <c r="C264" s="574">
        <v>21480</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t="s">
        <v>1169</v>
      </c>
      <c r="I265" s="468"/>
      <c r="J265" s="468"/>
      <c r="K265" s="530">
        <v>0</v>
      </c>
    </row>
    <row r="266" spans="1:11" ht="14.25" thickTop="1" thickBot="1" x14ac:dyDescent="0.25">
      <c r="A266" s="1702" t="s">
        <v>1666</v>
      </c>
      <c r="B266" s="1721"/>
      <c r="C266" s="1709">
        <f t="shared" ref="C266:H266" si="10">SUM(C188,C198,C204,C209,C217,C221,C222,C252:C265)</f>
        <v>434794</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454526</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4465569</v>
      </c>
      <c r="D268" s="1709">
        <f t="shared" si="12"/>
        <v>679134</v>
      </c>
      <c r="E268" s="1709">
        <f t="shared" si="12"/>
        <v>403117</v>
      </c>
      <c r="F268" s="1709">
        <f t="shared" si="12"/>
        <v>392690</v>
      </c>
      <c r="G268" s="1709">
        <f t="shared" si="12"/>
        <v>214063</v>
      </c>
      <c r="H268" s="1709">
        <f t="shared" si="12"/>
        <v>180691</v>
      </c>
      <c r="I268" s="1709">
        <f t="shared" si="12"/>
        <v>3478</v>
      </c>
      <c r="J268" s="1709">
        <f t="shared" si="12"/>
        <v>153806</v>
      </c>
      <c r="K268" s="1696">
        <f t="shared" si="12"/>
        <v>7153</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10" activePane="bottomLeft" state="frozen"/>
      <selection activeCell="J32" sqref="J32"/>
      <selection pane="bottomLeft" activeCell="J32" sqref="J32"/>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3"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5"/>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1" t="s">
        <v>297</v>
      </c>
      <c r="B3" s="2172"/>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1789744</v>
      </c>
      <c r="D5" s="466">
        <v>99594</v>
      </c>
      <c r="E5" s="466">
        <v>12149</v>
      </c>
      <c r="F5" s="466">
        <v>18472</v>
      </c>
      <c r="G5" s="466">
        <v>13000</v>
      </c>
      <c r="H5" s="466">
        <v>500</v>
      </c>
      <c r="I5" s="466">
        <v>0</v>
      </c>
      <c r="J5" s="466">
        <v>0</v>
      </c>
      <c r="K5" s="1665">
        <f>SUM(C5:J5)</f>
        <v>1933459</v>
      </c>
      <c r="L5" s="466">
        <v>1981870</v>
      </c>
    </row>
    <row r="6" spans="1:14" x14ac:dyDescent="0.2">
      <c r="A6" s="1502" t="s">
        <v>1433</v>
      </c>
      <c r="B6" s="613" t="s">
        <v>1431</v>
      </c>
      <c r="C6" s="477"/>
      <c r="D6" s="477"/>
      <c r="E6" s="466" t="s">
        <v>1169</v>
      </c>
      <c r="F6" s="477"/>
      <c r="G6" s="477"/>
      <c r="H6" s="477"/>
      <c r="I6" s="477"/>
      <c r="J6" s="477"/>
      <c r="K6" s="1665">
        <f>SUM(C6,E6)</f>
        <v>0</v>
      </c>
      <c r="L6" s="466">
        <v>0</v>
      </c>
    </row>
    <row r="7" spans="1:14" x14ac:dyDescent="0.2">
      <c r="A7" s="1502" t="s">
        <v>163</v>
      </c>
      <c r="B7" s="613" t="s">
        <v>967</v>
      </c>
      <c r="C7" s="466">
        <v>0</v>
      </c>
      <c r="D7" s="466">
        <v>0</v>
      </c>
      <c r="E7" s="466">
        <v>0</v>
      </c>
      <c r="F7" s="466">
        <v>0</v>
      </c>
      <c r="G7" s="466">
        <v>0</v>
      </c>
      <c r="H7" s="466">
        <v>0</v>
      </c>
      <c r="I7" s="466">
        <v>0</v>
      </c>
      <c r="J7" s="466">
        <v>0</v>
      </c>
      <c r="K7" s="1665">
        <f t="shared" ref="K7:K32" si="0">SUM(C7:J7)</f>
        <v>0</v>
      </c>
      <c r="L7" s="466">
        <v>0</v>
      </c>
    </row>
    <row r="8" spans="1:14" x14ac:dyDescent="0.2">
      <c r="A8" s="1502" t="s">
        <v>164</v>
      </c>
      <c r="B8" s="613">
        <v>1200</v>
      </c>
      <c r="C8" s="466">
        <v>409380</v>
      </c>
      <c r="D8" s="466">
        <v>28098</v>
      </c>
      <c r="E8" s="466">
        <v>1250</v>
      </c>
      <c r="F8" s="466">
        <v>690</v>
      </c>
      <c r="G8" s="466">
        <v>0</v>
      </c>
      <c r="H8" s="466">
        <v>0</v>
      </c>
      <c r="I8" s="466">
        <v>0</v>
      </c>
      <c r="J8" s="466">
        <v>0</v>
      </c>
      <c r="K8" s="1665">
        <f t="shared" si="0"/>
        <v>439418</v>
      </c>
      <c r="L8" s="466">
        <v>414310</v>
      </c>
    </row>
    <row r="9" spans="1:14" x14ac:dyDescent="0.2">
      <c r="A9" s="1502" t="s">
        <v>721</v>
      </c>
      <c r="B9" s="613" t="s">
        <v>968</v>
      </c>
      <c r="C9" s="466">
        <v>0</v>
      </c>
      <c r="D9" s="466">
        <v>0</v>
      </c>
      <c r="E9" s="466">
        <v>0</v>
      </c>
      <c r="F9" s="466">
        <v>0</v>
      </c>
      <c r="G9" s="466">
        <v>0</v>
      </c>
      <c r="H9" s="466">
        <v>0</v>
      </c>
      <c r="I9" s="466">
        <v>0</v>
      </c>
      <c r="J9" s="466">
        <v>0</v>
      </c>
      <c r="K9" s="1665">
        <f t="shared" si="0"/>
        <v>0</v>
      </c>
      <c r="L9" s="466">
        <v>0</v>
      </c>
    </row>
    <row r="10" spans="1:14" x14ac:dyDescent="0.2">
      <c r="A10" s="1502" t="s">
        <v>722</v>
      </c>
      <c r="B10" s="613">
        <v>1250</v>
      </c>
      <c r="C10" s="466">
        <v>56783</v>
      </c>
      <c r="D10" s="466">
        <v>3854</v>
      </c>
      <c r="E10" s="466">
        <v>4739</v>
      </c>
      <c r="F10" s="466">
        <v>92187</v>
      </c>
      <c r="G10" s="466">
        <v>21353</v>
      </c>
      <c r="H10" s="466">
        <v>0</v>
      </c>
      <c r="I10" s="466">
        <v>0</v>
      </c>
      <c r="J10" s="466">
        <v>0</v>
      </c>
      <c r="K10" s="1665">
        <f t="shared" si="0"/>
        <v>178916</v>
      </c>
      <c r="L10" s="466">
        <v>163465</v>
      </c>
    </row>
    <row r="11" spans="1:14" x14ac:dyDescent="0.2">
      <c r="A11" s="1502" t="s">
        <v>1130</v>
      </c>
      <c r="B11" s="613" t="s">
        <v>161</v>
      </c>
      <c r="C11" s="466">
        <v>0</v>
      </c>
      <c r="D11" s="466">
        <v>0</v>
      </c>
      <c r="E11" s="466">
        <v>0</v>
      </c>
      <c r="F11" s="466">
        <v>0</v>
      </c>
      <c r="G11" s="466">
        <v>0</v>
      </c>
      <c r="H11" s="466">
        <v>0</v>
      </c>
      <c r="I11" s="466">
        <v>0</v>
      </c>
      <c r="J11" s="466">
        <v>0</v>
      </c>
      <c r="K11" s="1665">
        <f t="shared" si="0"/>
        <v>0</v>
      </c>
      <c r="L11" s="466">
        <v>0</v>
      </c>
    </row>
    <row r="12" spans="1:14" x14ac:dyDescent="0.2">
      <c r="A12" s="1502" t="s">
        <v>962</v>
      </c>
      <c r="B12" s="613">
        <v>1300</v>
      </c>
      <c r="C12" s="466">
        <v>0</v>
      </c>
      <c r="D12" s="466">
        <v>0</v>
      </c>
      <c r="E12" s="466">
        <v>0</v>
      </c>
      <c r="F12" s="466">
        <v>0</v>
      </c>
      <c r="G12" s="466">
        <v>0</v>
      </c>
      <c r="H12" s="466">
        <v>0</v>
      </c>
      <c r="I12" s="466">
        <v>0</v>
      </c>
      <c r="J12" s="466">
        <v>0</v>
      </c>
      <c r="K12" s="1665">
        <f t="shared" si="0"/>
        <v>0</v>
      </c>
      <c r="L12" s="466">
        <v>0</v>
      </c>
    </row>
    <row r="13" spans="1:14" x14ac:dyDescent="0.2">
      <c r="A13" s="1502" t="s">
        <v>723</v>
      </c>
      <c r="B13" s="613">
        <v>1400</v>
      </c>
      <c r="C13" s="466">
        <v>5685</v>
      </c>
      <c r="D13" s="466">
        <v>101</v>
      </c>
      <c r="E13" s="466">
        <v>270</v>
      </c>
      <c r="F13" s="466">
        <v>6299</v>
      </c>
      <c r="G13" s="466">
        <v>19833</v>
      </c>
      <c r="H13" s="466">
        <v>0</v>
      </c>
      <c r="I13" s="466">
        <v>0</v>
      </c>
      <c r="J13" s="466">
        <v>0</v>
      </c>
      <c r="K13" s="1665">
        <f t="shared" si="0"/>
        <v>32188</v>
      </c>
      <c r="L13" s="466">
        <v>34805</v>
      </c>
    </row>
    <row r="14" spans="1:14" x14ac:dyDescent="0.2">
      <c r="A14" s="1502" t="s">
        <v>963</v>
      </c>
      <c r="B14" s="613">
        <v>1500</v>
      </c>
      <c r="C14" s="466">
        <v>75250</v>
      </c>
      <c r="D14" s="466">
        <v>2001</v>
      </c>
      <c r="E14" s="466">
        <v>27733</v>
      </c>
      <c r="F14" s="466">
        <v>16625</v>
      </c>
      <c r="G14" s="466">
        <v>7437</v>
      </c>
      <c r="H14" s="466">
        <v>0</v>
      </c>
      <c r="I14" s="466">
        <v>0</v>
      </c>
      <c r="J14" s="466">
        <v>0</v>
      </c>
      <c r="K14" s="1665">
        <f t="shared" si="0"/>
        <v>129046</v>
      </c>
      <c r="L14" s="466">
        <v>114500</v>
      </c>
    </row>
    <row r="15" spans="1:14" x14ac:dyDescent="0.2">
      <c r="A15" s="1502" t="s">
        <v>964</v>
      </c>
      <c r="B15" s="613">
        <v>1600</v>
      </c>
      <c r="C15" s="466">
        <v>931</v>
      </c>
      <c r="D15" s="466">
        <v>144</v>
      </c>
      <c r="E15" s="466">
        <v>0</v>
      </c>
      <c r="F15" s="466">
        <v>0</v>
      </c>
      <c r="G15" s="466">
        <v>0</v>
      </c>
      <c r="H15" s="466">
        <v>0</v>
      </c>
      <c r="I15" s="466">
        <v>0</v>
      </c>
      <c r="J15" s="466">
        <v>0</v>
      </c>
      <c r="K15" s="1665">
        <f t="shared" si="0"/>
        <v>1075</v>
      </c>
      <c r="L15" s="466">
        <v>0</v>
      </c>
    </row>
    <row r="16" spans="1:14" x14ac:dyDescent="0.2">
      <c r="A16" s="1502" t="s">
        <v>987</v>
      </c>
      <c r="B16" s="613" t="s">
        <v>424</v>
      </c>
      <c r="C16" s="466">
        <v>0</v>
      </c>
      <c r="D16" s="466">
        <v>0</v>
      </c>
      <c r="E16" s="466">
        <v>0</v>
      </c>
      <c r="F16" s="466">
        <v>0</v>
      </c>
      <c r="G16" s="466">
        <v>0</v>
      </c>
      <c r="H16" s="466">
        <v>0</v>
      </c>
      <c r="I16" s="466">
        <v>0</v>
      </c>
      <c r="J16" s="466">
        <v>0</v>
      </c>
      <c r="K16" s="1665">
        <f t="shared" si="0"/>
        <v>0</v>
      </c>
      <c r="L16" s="466">
        <v>0</v>
      </c>
    </row>
    <row r="17" spans="1:12" x14ac:dyDescent="0.2">
      <c r="A17" s="1502" t="s">
        <v>724</v>
      </c>
      <c r="B17" s="613" t="s">
        <v>162</v>
      </c>
      <c r="C17" s="466">
        <v>21904</v>
      </c>
      <c r="D17" s="466">
        <v>2770</v>
      </c>
      <c r="E17" s="466">
        <v>2925</v>
      </c>
      <c r="F17" s="466">
        <v>179</v>
      </c>
      <c r="G17" s="466">
        <v>0</v>
      </c>
      <c r="H17" s="466">
        <v>0</v>
      </c>
      <c r="I17" s="466">
        <v>0</v>
      </c>
      <c r="J17" s="466">
        <v>0</v>
      </c>
      <c r="K17" s="1665">
        <f t="shared" si="0"/>
        <v>27778</v>
      </c>
      <c r="L17" s="466">
        <v>29860</v>
      </c>
    </row>
    <row r="18" spans="1:12" x14ac:dyDescent="0.2">
      <c r="A18" s="1502" t="s">
        <v>1087</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738</v>
      </c>
      <c r="B20" s="601" t="s">
        <v>725</v>
      </c>
      <c r="C20" s="477"/>
      <c r="D20" s="477"/>
      <c r="E20" s="477"/>
      <c r="F20" s="477"/>
      <c r="G20" s="477"/>
      <c r="H20" s="466">
        <v>0</v>
      </c>
      <c r="I20" s="615"/>
      <c r="J20" s="475"/>
      <c r="K20" s="1665">
        <f t="shared" si="0"/>
        <v>0</v>
      </c>
      <c r="L20" s="471">
        <v>0</v>
      </c>
    </row>
    <row r="21" spans="1:12" x14ac:dyDescent="0.2">
      <c r="A21" s="1503" t="s">
        <v>739</v>
      </c>
      <c r="B21" s="601" t="s">
        <v>726</v>
      </c>
      <c r="C21" s="477"/>
      <c r="D21" s="477"/>
      <c r="E21" s="477"/>
      <c r="F21" s="477"/>
      <c r="G21" s="477"/>
      <c r="H21" s="466">
        <v>600</v>
      </c>
      <c r="I21" s="615"/>
      <c r="J21" s="477"/>
      <c r="K21" s="1665">
        <f t="shared" si="0"/>
        <v>600</v>
      </c>
      <c r="L21" s="471">
        <v>4000</v>
      </c>
    </row>
    <row r="22" spans="1:12" x14ac:dyDescent="0.2">
      <c r="A22" s="1503" t="s">
        <v>740</v>
      </c>
      <c r="B22" s="601" t="s">
        <v>727</v>
      </c>
      <c r="C22" s="477"/>
      <c r="D22" s="477"/>
      <c r="E22" s="477"/>
      <c r="F22" s="477"/>
      <c r="G22" s="477"/>
      <c r="H22" s="466">
        <v>0</v>
      </c>
      <c r="I22" s="615"/>
      <c r="J22" s="477"/>
      <c r="K22" s="1665">
        <f t="shared" si="0"/>
        <v>0</v>
      </c>
      <c r="L22" s="471">
        <v>0</v>
      </c>
    </row>
    <row r="23" spans="1:12" x14ac:dyDescent="0.2">
      <c r="A23" s="1503" t="s">
        <v>741</v>
      </c>
      <c r="B23" s="601" t="s">
        <v>728</v>
      </c>
      <c r="C23" s="477"/>
      <c r="D23" s="477"/>
      <c r="E23" s="477"/>
      <c r="F23" s="477"/>
      <c r="G23" s="477"/>
      <c r="H23" s="466">
        <v>0</v>
      </c>
      <c r="I23" s="615"/>
      <c r="J23" s="477"/>
      <c r="K23" s="1665">
        <f t="shared" si="0"/>
        <v>0</v>
      </c>
      <c r="L23" s="471">
        <v>0</v>
      </c>
    </row>
    <row r="24" spans="1:12" ht="12.75" customHeight="1" x14ac:dyDescent="0.2">
      <c r="A24" s="1503" t="s">
        <v>742</v>
      </c>
      <c r="B24" s="601" t="s">
        <v>729</v>
      </c>
      <c r="C24" s="477"/>
      <c r="D24" s="477"/>
      <c r="E24" s="477"/>
      <c r="F24" s="477"/>
      <c r="G24" s="477"/>
      <c r="H24" s="466">
        <v>0</v>
      </c>
      <c r="I24" s="615"/>
      <c r="J24" s="477"/>
      <c r="K24" s="1665">
        <f t="shared" si="0"/>
        <v>0</v>
      </c>
      <c r="L24" s="471">
        <v>0</v>
      </c>
    </row>
    <row r="25" spans="1:12" ht="12.75" customHeight="1" x14ac:dyDescent="0.2">
      <c r="A25" s="1503" t="s">
        <v>802</v>
      </c>
      <c r="B25" s="601" t="s">
        <v>730</v>
      </c>
      <c r="C25" s="477"/>
      <c r="D25" s="477"/>
      <c r="E25" s="477"/>
      <c r="F25" s="477"/>
      <c r="G25" s="477"/>
      <c r="H25" s="466">
        <v>0</v>
      </c>
      <c r="I25" s="615"/>
      <c r="J25" s="477"/>
      <c r="K25" s="1665">
        <f t="shared" si="0"/>
        <v>0</v>
      </c>
      <c r="L25" s="471">
        <v>0</v>
      </c>
    </row>
    <row r="26" spans="1:12" x14ac:dyDescent="0.2">
      <c r="A26" s="1503" t="s">
        <v>622</v>
      </c>
      <c r="B26" s="601" t="s">
        <v>731</v>
      </c>
      <c r="C26" s="477"/>
      <c r="D26" s="477"/>
      <c r="E26" s="477"/>
      <c r="F26" s="477"/>
      <c r="G26" s="477"/>
      <c r="H26" s="466">
        <v>0</v>
      </c>
      <c r="I26" s="615"/>
      <c r="J26" s="477"/>
      <c r="K26" s="1665">
        <f t="shared" si="0"/>
        <v>0</v>
      </c>
      <c r="L26" s="471">
        <v>0</v>
      </c>
    </row>
    <row r="27" spans="1:12" x14ac:dyDescent="0.2">
      <c r="A27" s="1503" t="s">
        <v>623</v>
      </c>
      <c r="B27" s="601" t="s">
        <v>732</v>
      </c>
      <c r="C27" s="477"/>
      <c r="D27" s="477"/>
      <c r="E27" s="477"/>
      <c r="F27" s="477"/>
      <c r="G27" s="477"/>
      <c r="H27" s="466">
        <v>0</v>
      </c>
      <c r="I27" s="615"/>
      <c r="J27" s="477"/>
      <c r="K27" s="1665">
        <f t="shared" si="0"/>
        <v>0</v>
      </c>
      <c r="L27" s="471">
        <v>0</v>
      </c>
    </row>
    <row r="28" spans="1:12" x14ac:dyDescent="0.2">
      <c r="A28" s="1503" t="s">
        <v>150</v>
      </c>
      <c r="B28" s="601" t="s">
        <v>733</v>
      </c>
      <c r="C28" s="477"/>
      <c r="D28" s="477"/>
      <c r="E28" s="477"/>
      <c r="F28" s="477"/>
      <c r="G28" s="477"/>
      <c r="H28" s="466">
        <v>0</v>
      </c>
      <c r="I28" s="615"/>
      <c r="J28" s="477"/>
      <c r="K28" s="1665">
        <f t="shared" si="0"/>
        <v>0</v>
      </c>
      <c r="L28" s="471">
        <v>0</v>
      </c>
    </row>
    <row r="29" spans="1:12" x14ac:dyDescent="0.2">
      <c r="A29" s="1503" t="s">
        <v>151</v>
      </c>
      <c r="B29" s="601" t="s">
        <v>734</v>
      </c>
      <c r="C29" s="477"/>
      <c r="D29" s="477"/>
      <c r="E29" s="477"/>
      <c r="F29" s="477"/>
      <c r="G29" s="477"/>
      <c r="H29" s="466" t="s">
        <v>1169</v>
      </c>
      <c r="I29" s="615"/>
      <c r="J29" s="477"/>
      <c r="K29" s="1665">
        <f t="shared" si="0"/>
        <v>0</v>
      </c>
      <c r="L29" s="471">
        <v>0</v>
      </c>
    </row>
    <row r="30" spans="1:12" x14ac:dyDescent="0.2">
      <c r="A30" s="1503" t="s">
        <v>152</v>
      </c>
      <c r="B30" s="601" t="s">
        <v>735</v>
      </c>
      <c r="C30" s="477"/>
      <c r="D30" s="477"/>
      <c r="E30" s="477"/>
      <c r="F30" s="477"/>
      <c r="G30" s="477"/>
      <c r="H30" s="466">
        <v>0</v>
      </c>
      <c r="I30" s="615"/>
      <c r="J30" s="477"/>
      <c r="K30" s="1665">
        <f t="shared" si="0"/>
        <v>0</v>
      </c>
      <c r="L30" s="471">
        <v>0</v>
      </c>
    </row>
    <row r="31" spans="1:12" x14ac:dyDescent="0.2">
      <c r="A31" s="1503" t="s">
        <v>153</v>
      </c>
      <c r="B31" s="601" t="s">
        <v>736</v>
      </c>
      <c r="C31" s="477"/>
      <c r="D31" s="477"/>
      <c r="E31" s="477"/>
      <c r="F31" s="477"/>
      <c r="G31" s="477"/>
      <c r="H31" s="466">
        <v>0</v>
      </c>
      <c r="I31" s="615"/>
      <c r="J31" s="477"/>
      <c r="K31" s="1665">
        <f t="shared" si="0"/>
        <v>0</v>
      </c>
      <c r="L31" s="471">
        <v>0</v>
      </c>
    </row>
    <row r="32" spans="1:12" x14ac:dyDescent="0.2">
      <c r="A32" s="1504" t="s">
        <v>1129</v>
      </c>
      <c r="B32" s="613" t="s">
        <v>737</v>
      </c>
      <c r="C32" s="477"/>
      <c r="D32" s="477"/>
      <c r="E32" s="477"/>
      <c r="F32" s="477"/>
      <c r="G32" s="477"/>
      <c r="H32" s="466">
        <v>0</v>
      </c>
      <c r="I32" s="615"/>
      <c r="J32" s="480"/>
      <c r="K32" s="1665">
        <f t="shared" si="0"/>
        <v>0</v>
      </c>
      <c r="L32" s="471">
        <v>0</v>
      </c>
    </row>
    <row r="33" spans="1:14" ht="12.75" customHeight="1" thickBot="1" x14ac:dyDescent="0.25">
      <c r="A33" s="1662" t="s">
        <v>1668</v>
      </c>
      <c r="B33" s="1663" t="s">
        <v>570</v>
      </c>
      <c r="C33" s="1664">
        <f>SUM(C5:C32)</f>
        <v>2359677</v>
      </c>
      <c r="D33" s="1664">
        <f t="shared" ref="D33:L33" si="1">SUM(D5:D32)</f>
        <v>136562</v>
      </c>
      <c r="E33" s="1664">
        <f t="shared" si="1"/>
        <v>49066</v>
      </c>
      <c r="F33" s="1664">
        <f t="shared" si="1"/>
        <v>134452</v>
      </c>
      <c r="G33" s="1664">
        <f t="shared" si="1"/>
        <v>61623</v>
      </c>
      <c r="H33" s="1664">
        <f t="shared" si="1"/>
        <v>1100</v>
      </c>
      <c r="I33" s="1664">
        <f t="shared" si="1"/>
        <v>0</v>
      </c>
      <c r="J33" s="1664">
        <f t="shared" si="1"/>
        <v>0</v>
      </c>
      <c r="K33" s="1664">
        <f t="shared" si="1"/>
        <v>2742480</v>
      </c>
      <c r="L33" s="1664">
        <f t="shared" si="1"/>
        <v>2742810</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35357</v>
      </c>
      <c r="D36" s="466">
        <v>9009</v>
      </c>
      <c r="E36" s="466">
        <v>0</v>
      </c>
      <c r="F36" s="466">
        <v>136</v>
      </c>
      <c r="G36" s="466">
        <v>0</v>
      </c>
      <c r="H36" s="466">
        <v>0</v>
      </c>
      <c r="I36" s="466">
        <v>0</v>
      </c>
      <c r="J36" s="466">
        <v>0</v>
      </c>
      <c r="K36" s="1665">
        <f t="shared" ref="K36:K41" si="2">SUM(C36:J36)</f>
        <v>44502</v>
      </c>
      <c r="L36" s="466">
        <v>64080</v>
      </c>
    </row>
    <row r="37" spans="1:14" x14ac:dyDescent="0.2">
      <c r="A37" s="1502" t="s">
        <v>1090</v>
      </c>
      <c r="B37" s="613">
        <v>2120</v>
      </c>
      <c r="C37" s="466">
        <v>72278</v>
      </c>
      <c r="D37" s="466">
        <v>6006</v>
      </c>
      <c r="E37" s="466">
        <v>1639</v>
      </c>
      <c r="F37" s="466">
        <v>0</v>
      </c>
      <c r="G37" s="466">
        <v>0</v>
      </c>
      <c r="H37" s="466">
        <v>0</v>
      </c>
      <c r="I37" s="466">
        <v>0</v>
      </c>
      <c r="J37" s="466">
        <v>0</v>
      </c>
      <c r="K37" s="1665">
        <f t="shared" si="2"/>
        <v>79923</v>
      </c>
      <c r="L37" s="466">
        <v>80680</v>
      </c>
    </row>
    <row r="38" spans="1:14" x14ac:dyDescent="0.2">
      <c r="A38" s="1502" t="s">
        <v>198</v>
      </c>
      <c r="B38" s="613">
        <v>2130</v>
      </c>
      <c r="C38" s="466">
        <v>26661</v>
      </c>
      <c r="D38" s="466">
        <v>0</v>
      </c>
      <c r="E38" s="466">
        <v>474</v>
      </c>
      <c r="F38" s="466">
        <v>521</v>
      </c>
      <c r="G38" s="466">
        <v>0</v>
      </c>
      <c r="H38" s="466">
        <v>0</v>
      </c>
      <c r="I38" s="466">
        <v>0</v>
      </c>
      <c r="J38" s="466">
        <v>0</v>
      </c>
      <c r="K38" s="1665">
        <f t="shared" si="2"/>
        <v>27656</v>
      </c>
      <c r="L38" s="466">
        <v>37100</v>
      </c>
    </row>
    <row r="39" spans="1:14" x14ac:dyDescent="0.2">
      <c r="A39" s="1502" t="s">
        <v>199</v>
      </c>
      <c r="B39" s="613">
        <v>2140</v>
      </c>
      <c r="C39" s="466">
        <v>0</v>
      </c>
      <c r="D39" s="466">
        <v>0</v>
      </c>
      <c r="E39" s="466">
        <v>37234</v>
      </c>
      <c r="F39" s="466">
        <v>0</v>
      </c>
      <c r="G39" s="466">
        <v>0</v>
      </c>
      <c r="H39" s="466">
        <v>0</v>
      </c>
      <c r="I39" s="466">
        <v>0</v>
      </c>
      <c r="J39" s="466">
        <v>0</v>
      </c>
      <c r="K39" s="1665">
        <f t="shared" si="2"/>
        <v>37234</v>
      </c>
      <c r="L39" s="466">
        <v>42000</v>
      </c>
    </row>
    <row r="40" spans="1:14" x14ac:dyDescent="0.2">
      <c r="A40" s="1502" t="s">
        <v>200</v>
      </c>
      <c r="B40" s="613">
        <v>2150</v>
      </c>
      <c r="C40" s="466">
        <v>72436</v>
      </c>
      <c r="D40" s="466">
        <v>6242</v>
      </c>
      <c r="E40" s="466">
        <v>0</v>
      </c>
      <c r="F40" s="466">
        <v>633</v>
      </c>
      <c r="G40" s="466">
        <v>0</v>
      </c>
      <c r="H40" s="466">
        <v>0</v>
      </c>
      <c r="I40" s="466">
        <v>0</v>
      </c>
      <c r="J40" s="466">
        <v>0</v>
      </c>
      <c r="K40" s="1665">
        <f t="shared" si="2"/>
        <v>79311</v>
      </c>
      <c r="L40" s="466">
        <v>91180</v>
      </c>
    </row>
    <row r="41" spans="1:14" x14ac:dyDescent="0.2">
      <c r="A41" s="1502" t="s">
        <v>1669</v>
      </c>
      <c r="B41" s="613">
        <v>2190</v>
      </c>
      <c r="C41" s="466">
        <v>0</v>
      </c>
      <c r="D41" s="466">
        <v>0</v>
      </c>
      <c r="E41" s="466">
        <v>2232</v>
      </c>
      <c r="F41" s="466">
        <v>2578</v>
      </c>
      <c r="G41" s="466">
        <v>0</v>
      </c>
      <c r="H41" s="466">
        <v>0</v>
      </c>
      <c r="I41" s="466">
        <v>0</v>
      </c>
      <c r="J41" s="466">
        <v>0</v>
      </c>
      <c r="K41" s="1665">
        <f t="shared" si="2"/>
        <v>4810</v>
      </c>
      <c r="L41" s="466">
        <v>10050</v>
      </c>
    </row>
    <row r="42" spans="1:14" ht="12.75" customHeight="1" thickBot="1" x14ac:dyDescent="0.25">
      <c r="A42" s="1662" t="s">
        <v>560</v>
      </c>
      <c r="B42" s="1663" t="s">
        <v>716</v>
      </c>
      <c r="C42" s="1664">
        <f>SUM(C36:C41)</f>
        <v>206732</v>
      </c>
      <c r="D42" s="1664">
        <f t="shared" ref="D42:L42" si="3">SUM(D36:D41)</f>
        <v>21257</v>
      </c>
      <c r="E42" s="1664">
        <f t="shared" si="3"/>
        <v>41579</v>
      </c>
      <c r="F42" s="1664">
        <f t="shared" si="3"/>
        <v>3868</v>
      </c>
      <c r="G42" s="1664">
        <f t="shared" si="3"/>
        <v>0</v>
      </c>
      <c r="H42" s="1664">
        <f t="shared" si="3"/>
        <v>0</v>
      </c>
      <c r="I42" s="1664">
        <f t="shared" si="3"/>
        <v>0</v>
      </c>
      <c r="J42" s="1664">
        <f t="shared" si="3"/>
        <v>0</v>
      </c>
      <c r="K42" s="1664">
        <f t="shared" si="3"/>
        <v>273436</v>
      </c>
      <c r="L42" s="1664">
        <f t="shared" si="3"/>
        <v>325090</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1275</v>
      </c>
      <c r="D44" s="466">
        <v>40</v>
      </c>
      <c r="E44" s="466">
        <v>15227</v>
      </c>
      <c r="F44" s="466">
        <v>5410</v>
      </c>
      <c r="G44" s="466">
        <v>0</v>
      </c>
      <c r="H44" s="466">
        <v>500</v>
      </c>
      <c r="I44" s="466">
        <v>0</v>
      </c>
      <c r="J44" s="466">
        <v>0</v>
      </c>
      <c r="K44" s="1666">
        <f>SUM(C44:J44)</f>
        <v>22452</v>
      </c>
      <c r="L44" s="568">
        <v>68690</v>
      </c>
    </row>
    <row r="45" spans="1:14" x14ac:dyDescent="0.2">
      <c r="A45" s="1502" t="s">
        <v>815</v>
      </c>
      <c r="B45" s="613">
        <v>2220</v>
      </c>
      <c r="C45" s="466">
        <v>77347</v>
      </c>
      <c r="D45" s="466">
        <v>5897</v>
      </c>
      <c r="E45" s="466">
        <v>34315</v>
      </c>
      <c r="F45" s="466">
        <v>11833</v>
      </c>
      <c r="G45" s="466">
        <v>13148</v>
      </c>
      <c r="H45" s="466">
        <v>0</v>
      </c>
      <c r="I45" s="466">
        <v>0</v>
      </c>
      <c r="J45" s="466">
        <v>0</v>
      </c>
      <c r="K45" s="1666">
        <f>SUM(C45:J45)</f>
        <v>142540</v>
      </c>
      <c r="L45" s="466">
        <v>194517</v>
      </c>
    </row>
    <row r="46" spans="1:14" x14ac:dyDescent="0.2">
      <c r="A46" s="1502" t="s">
        <v>816</v>
      </c>
      <c r="B46" s="613">
        <v>2230</v>
      </c>
      <c r="C46" s="466">
        <v>0</v>
      </c>
      <c r="D46" s="466">
        <v>0</v>
      </c>
      <c r="E46" s="466">
        <v>14788</v>
      </c>
      <c r="F46" s="466">
        <v>0</v>
      </c>
      <c r="G46" s="466">
        <v>0</v>
      </c>
      <c r="H46" s="466">
        <v>0</v>
      </c>
      <c r="I46" s="466">
        <v>0</v>
      </c>
      <c r="J46" s="466">
        <v>0</v>
      </c>
      <c r="K46" s="1666">
        <f>SUM(C46:J46)</f>
        <v>14788</v>
      </c>
      <c r="L46" s="466">
        <v>15000</v>
      </c>
    </row>
    <row r="47" spans="1:14" ht="12.75" customHeight="1" thickBot="1" x14ac:dyDescent="0.25">
      <c r="A47" s="1662" t="s">
        <v>561</v>
      </c>
      <c r="B47" s="1663" t="s">
        <v>32</v>
      </c>
      <c r="C47" s="1664">
        <f>SUM(C44:C46)</f>
        <v>78622</v>
      </c>
      <c r="D47" s="1664">
        <f t="shared" ref="D47:K47" si="4">SUM(D44:D46)</f>
        <v>5937</v>
      </c>
      <c r="E47" s="1664">
        <f t="shared" si="4"/>
        <v>64330</v>
      </c>
      <c r="F47" s="1664">
        <f t="shared" si="4"/>
        <v>17243</v>
      </c>
      <c r="G47" s="1664">
        <f t="shared" si="4"/>
        <v>13148</v>
      </c>
      <c r="H47" s="1664">
        <f t="shared" si="4"/>
        <v>500</v>
      </c>
      <c r="I47" s="1664">
        <f t="shared" si="4"/>
        <v>0</v>
      </c>
      <c r="J47" s="1664">
        <f t="shared" si="4"/>
        <v>0</v>
      </c>
      <c r="K47" s="1664">
        <f t="shared" si="4"/>
        <v>179780</v>
      </c>
      <c r="L47" s="1664">
        <f>SUM(L44:L46)</f>
        <v>278207</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34151</v>
      </c>
      <c r="F49" s="466">
        <v>3597</v>
      </c>
      <c r="G49" s="466">
        <v>13384</v>
      </c>
      <c r="H49" s="466">
        <v>20832</v>
      </c>
      <c r="I49" s="466">
        <v>0</v>
      </c>
      <c r="J49" s="466">
        <v>0</v>
      </c>
      <c r="K49" s="1666">
        <f>SUM(C49:J49)</f>
        <v>71964</v>
      </c>
      <c r="L49" s="568">
        <v>152000</v>
      </c>
    </row>
    <row r="50" spans="1:14" x14ac:dyDescent="0.2">
      <c r="A50" s="1502" t="s">
        <v>818</v>
      </c>
      <c r="B50" s="613">
        <v>2320</v>
      </c>
      <c r="C50" s="466">
        <v>167986</v>
      </c>
      <c r="D50" s="466">
        <v>1975</v>
      </c>
      <c r="E50" s="466">
        <v>8667</v>
      </c>
      <c r="F50" s="466">
        <v>5416</v>
      </c>
      <c r="G50" s="466">
        <v>0</v>
      </c>
      <c r="H50" s="466">
        <v>0</v>
      </c>
      <c r="I50" s="466">
        <v>0</v>
      </c>
      <c r="J50" s="466">
        <v>0</v>
      </c>
      <c r="K50" s="1666">
        <f>SUM(C50:J50)</f>
        <v>184044</v>
      </c>
      <c r="L50" s="466">
        <v>171380</v>
      </c>
    </row>
    <row r="51" spans="1:14" x14ac:dyDescent="0.2">
      <c r="A51" s="1502" t="s">
        <v>42</v>
      </c>
      <c r="B51" s="613">
        <v>2330</v>
      </c>
      <c r="C51" s="466">
        <v>0</v>
      </c>
      <c r="D51" s="466">
        <v>0</v>
      </c>
      <c r="E51" s="466">
        <v>0</v>
      </c>
      <c r="F51" s="466">
        <v>0</v>
      </c>
      <c r="G51" s="466">
        <v>0</v>
      </c>
      <c r="H51" s="466">
        <v>0</v>
      </c>
      <c r="I51" s="466" t="s">
        <v>1169</v>
      </c>
      <c r="J51" s="466">
        <v>0</v>
      </c>
      <c r="K51" s="1666">
        <f>SUM(C51:J51)</f>
        <v>0</v>
      </c>
      <c r="L51" s="466">
        <v>0</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717</v>
      </c>
      <c r="B53" s="1663" t="s">
        <v>33</v>
      </c>
      <c r="C53" s="1664">
        <f>SUM(C49:C52)</f>
        <v>167986</v>
      </c>
      <c r="D53" s="1664">
        <f t="shared" ref="D53:L53" si="5">SUM(D49:D52)</f>
        <v>1975</v>
      </c>
      <c r="E53" s="1664">
        <f t="shared" si="5"/>
        <v>42818</v>
      </c>
      <c r="F53" s="1664">
        <f t="shared" si="5"/>
        <v>9013</v>
      </c>
      <c r="G53" s="1664">
        <f t="shared" si="5"/>
        <v>13384</v>
      </c>
      <c r="H53" s="1664">
        <f t="shared" si="5"/>
        <v>20832</v>
      </c>
      <c r="I53" s="1664">
        <f t="shared" si="5"/>
        <v>0</v>
      </c>
      <c r="J53" s="1664">
        <f t="shared" si="5"/>
        <v>0</v>
      </c>
      <c r="K53" s="1664">
        <f t="shared" si="5"/>
        <v>256008</v>
      </c>
      <c r="L53" s="1664">
        <f t="shared" si="5"/>
        <v>323380</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317428</v>
      </c>
      <c r="D55" s="466">
        <v>21587</v>
      </c>
      <c r="E55" s="466">
        <v>275</v>
      </c>
      <c r="F55" s="466">
        <v>833</v>
      </c>
      <c r="G55" s="466">
        <v>0</v>
      </c>
      <c r="H55" s="466">
        <v>0</v>
      </c>
      <c r="I55" s="466">
        <v>0</v>
      </c>
      <c r="J55" s="466">
        <v>0</v>
      </c>
      <c r="K55" s="1666">
        <f>SUM(C55:J55)</f>
        <v>340123</v>
      </c>
      <c r="L55" s="568">
        <v>389770</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317428</v>
      </c>
      <c r="D57" s="1668">
        <f t="shared" ref="D57:K57" si="6">SUM(D55:D56)</f>
        <v>21587</v>
      </c>
      <c r="E57" s="1668">
        <f t="shared" si="6"/>
        <v>275</v>
      </c>
      <c r="F57" s="1668">
        <f t="shared" si="6"/>
        <v>833</v>
      </c>
      <c r="G57" s="1668">
        <f t="shared" si="6"/>
        <v>0</v>
      </c>
      <c r="H57" s="1668">
        <f t="shared" si="6"/>
        <v>0</v>
      </c>
      <c r="I57" s="1668">
        <f t="shared" si="6"/>
        <v>0</v>
      </c>
      <c r="J57" s="1668">
        <f t="shared" si="6"/>
        <v>0</v>
      </c>
      <c r="K57" s="1668">
        <f t="shared" si="6"/>
        <v>340123</v>
      </c>
      <c r="L57" s="1664">
        <f>SUM(L55:L56)</f>
        <v>389770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v>0</v>
      </c>
      <c r="M59" s="608"/>
      <c r="N59" s="608"/>
    </row>
    <row r="60" spans="1:14" s="343" customFormat="1" x14ac:dyDescent="0.2">
      <c r="A60" s="1502" t="s">
        <v>463</v>
      </c>
      <c r="B60" s="613">
        <v>2520</v>
      </c>
      <c r="C60" s="466">
        <v>46960</v>
      </c>
      <c r="D60" s="466">
        <v>411</v>
      </c>
      <c r="E60" s="466">
        <v>20</v>
      </c>
      <c r="F60" s="466">
        <v>1190</v>
      </c>
      <c r="G60" s="466">
        <v>0</v>
      </c>
      <c r="H60" s="466">
        <v>1061</v>
      </c>
      <c r="I60" s="466">
        <v>0</v>
      </c>
      <c r="J60" s="466">
        <v>0</v>
      </c>
      <c r="K60" s="1666">
        <f t="shared" si="7"/>
        <v>49642</v>
      </c>
      <c r="L60" s="466">
        <v>74685</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v>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v>0</v>
      </c>
      <c r="M62" s="608"/>
      <c r="N62" s="608"/>
    </row>
    <row r="63" spans="1:14" s="608" customFormat="1" x14ac:dyDescent="0.2">
      <c r="A63" s="1502" t="s">
        <v>100</v>
      </c>
      <c r="B63" s="613">
        <v>2560</v>
      </c>
      <c r="C63" s="466">
        <v>86417</v>
      </c>
      <c r="D63" s="466">
        <v>2122</v>
      </c>
      <c r="E63" s="466">
        <v>4706</v>
      </c>
      <c r="F63" s="466">
        <v>113742</v>
      </c>
      <c r="G63" s="466">
        <v>0</v>
      </c>
      <c r="H63" s="466">
        <v>157</v>
      </c>
      <c r="I63" s="466">
        <v>0</v>
      </c>
      <c r="J63" s="466">
        <v>0</v>
      </c>
      <c r="K63" s="1666">
        <f t="shared" si="7"/>
        <v>207144</v>
      </c>
      <c r="L63" s="466">
        <v>240410</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v>0</v>
      </c>
    </row>
    <row r="65" spans="1:14" s="343" customFormat="1" ht="12.75" customHeight="1" thickBot="1" x14ac:dyDescent="0.25">
      <c r="A65" s="1662" t="s">
        <v>719</v>
      </c>
      <c r="B65" s="1663" t="s">
        <v>35</v>
      </c>
      <c r="C65" s="1664">
        <f>SUM(C59:C64)</f>
        <v>133377</v>
      </c>
      <c r="D65" s="1664">
        <f t="shared" ref="D65:L65" si="8">SUM(D59:D64)</f>
        <v>2533</v>
      </c>
      <c r="E65" s="1664">
        <f t="shared" si="8"/>
        <v>4726</v>
      </c>
      <c r="F65" s="1664">
        <f t="shared" si="8"/>
        <v>114932</v>
      </c>
      <c r="G65" s="1664">
        <f t="shared" si="8"/>
        <v>0</v>
      </c>
      <c r="H65" s="1664">
        <f t="shared" si="8"/>
        <v>1218</v>
      </c>
      <c r="I65" s="1664">
        <f t="shared" si="8"/>
        <v>0</v>
      </c>
      <c r="J65" s="1664">
        <f t="shared" si="8"/>
        <v>0</v>
      </c>
      <c r="K65" s="1664">
        <f t="shared" si="8"/>
        <v>256786</v>
      </c>
      <c r="L65" s="1664">
        <f t="shared" si="8"/>
        <v>315095</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v>8000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v>0</v>
      </c>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8000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v>0</v>
      </c>
      <c r="M73" s="608"/>
      <c r="N73" s="608"/>
    </row>
    <row r="74" spans="1:14" ht="12.75" customHeight="1" thickTop="1" thickBot="1" x14ac:dyDescent="0.25">
      <c r="A74" s="1662" t="s">
        <v>811</v>
      </c>
      <c r="B74" s="1670">
        <v>2000</v>
      </c>
      <c r="C74" s="1671">
        <f>SUM(C42,C47,C53,C57,C65,C72,C73)</f>
        <v>904145</v>
      </c>
      <c r="D74" s="1671">
        <f t="shared" ref="D74:K74" si="10">SUM(D42,D47,D53,D57,D65,D72,D73)</f>
        <v>53289</v>
      </c>
      <c r="E74" s="1671">
        <f t="shared" si="10"/>
        <v>153728</v>
      </c>
      <c r="F74" s="1671">
        <f t="shared" si="10"/>
        <v>145889</v>
      </c>
      <c r="G74" s="1671">
        <f t="shared" si="10"/>
        <v>26532</v>
      </c>
      <c r="H74" s="1671">
        <f t="shared" si="10"/>
        <v>22550</v>
      </c>
      <c r="I74" s="1671">
        <f t="shared" si="10"/>
        <v>0</v>
      </c>
      <c r="J74" s="1671">
        <f t="shared" si="10"/>
        <v>0</v>
      </c>
      <c r="K74" s="1671">
        <f t="shared" si="10"/>
        <v>1306133</v>
      </c>
      <c r="L74" s="1671">
        <f>SUM(L42,L47,L53,L57,L65,L72,L73)</f>
        <v>1639542</v>
      </c>
    </row>
    <row r="75" spans="1:14" s="259" customFormat="1" ht="15.75" customHeight="1" thickTop="1" thickBot="1" x14ac:dyDescent="0.25">
      <c r="A75" s="1608" t="s">
        <v>47</v>
      </c>
      <c r="B75" s="1609" t="s">
        <v>575</v>
      </c>
      <c r="C75" s="466">
        <v>0</v>
      </c>
      <c r="D75" s="466">
        <v>0</v>
      </c>
      <c r="E75" s="466">
        <v>18415</v>
      </c>
      <c r="F75" s="466">
        <v>98</v>
      </c>
      <c r="G75" s="466">
        <v>0</v>
      </c>
      <c r="H75" s="466">
        <v>0</v>
      </c>
      <c r="I75" s="466">
        <v>0</v>
      </c>
      <c r="J75" s="466">
        <v>0</v>
      </c>
      <c r="K75" s="1664">
        <f>SUM(C75:J75)</f>
        <v>18513</v>
      </c>
      <c r="L75" s="575">
        <v>18940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v>0</v>
      </c>
    </row>
    <row r="79" spans="1:14" x14ac:dyDescent="0.2">
      <c r="A79" s="1502" t="s">
        <v>304</v>
      </c>
      <c r="B79" s="613">
        <v>4120</v>
      </c>
      <c r="C79" s="615"/>
      <c r="D79" s="615"/>
      <c r="E79" s="466">
        <v>0</v>
      </c>
      <c r="F79" s="615"/>
      <c r="G79" s="615"/>
      <c r="H79" s="466">
        <v>2948</v>
      </c>
      <c r="I79" s="477"/>
      <c r="J79" s="477"/>
      <c r="K79" s="1665">
        <f t="shared" si="11"/>
        <v>2948</v>
      </c>
      <c r="L79" s="466">
        <v>0</v>
      </c>
    </row>
    <row r="80" spans="1:14" x14ac:dyDescent="0.2">
      <c r="A80" s="1502" t="s">
        <v>305</v>
      </c>
      <c r="B80" s="613">
        <v>4130</v>
      </c>
      <c r="C80" s="615"/>
      <c r="D80" s="615"/>
      <c r="E80" s="466">
        <v>0</v>
      </c>
      <c r="F80" s="615"/>
      <c r="G80" s="615"/>
      <c r="H80" s="466">
        <v>0</v>
      </c>
      <c r="I80" s="477"/>
      <c r="J80" s="477"/>
      <c r="K80" s="1665">
        <f t="shared" si="11"/>
        <v>0</v>
      </c>
      <c r="L80" s="466">
        <v>0</v>
      </c>
    </row>
    <row r="81" spans="1:12" x14ac:dyDescent="0.2">
      <c r="A81" s="1502" t="s">
        <v>697</v>
      </c>
      <c r="B81" s="613">
        <v>4140</v>
      </c>
      <c r="C81" s="615"/>
      <c r="D81" s="615"/>
      <c r="E81" s="466">
        <v>0</v>
      </c>
      <c r="F81" s="615"/>
      <c r="G81" s="615"/>
      <c r="H81" s="466">
        <v>0</v>
      </c>
      <c r="I81" s="477"/>
      <c r="J81" s="477"/>
      <c r="K81" s="1665">
        <f t="shared" si="11"/>
        <v>0</v>
      </c>
      <c r="L81" s="466">
        <v>0</v>
      </c>
    </row>
    <row r="82" spans="1:12" x14ac:dyDescent="0.2">
      <c r="A82" s="1502" t="s">
        <v>86</v>
      </c>
      <c r="B82" s="613">
        <v>4170</v>
      </c>
      <c r="C82" s="615"/>
      <c r="D82" s="615"/>
      <c r="E82" s="466">
        <v>0</v>
      </c>
      <c r="F82" s="615"/>
      <c r="G82" s="615"/>
      <c r="H82" s="466">
        <v>0</v>
      </c>
      <c r="I82" s="477"/>
      <c r="J82" s="477"/>
      <c r="K82" s="1665">
        <f t="shared" si="11"/>
        <v>0</v>
      </c>
      <c r="L82" s="466">
        <v>0</v>
      </c>
    </row>
    <row r="83" spans="1:12" x14ac:dyDescent="0.2">
      <c r="A83" s="1506" t="s">
        <v>698</v>
      </c>
      <c r="B83" s="627">
        <v>4190</v>
      </c>
      <c r="C83" s="615"/>
      <c r="D83" s="615"/>
      <c r="E83" s="466">
        <v>0</v>
      </c>
      <c r="F83" s="615"/>
      <c r="G83" s="615"/>
      <c r="H83" s="466">
        <v>0</v>
      </c>
      <c r="I83" s="477"/>
      <c r="J83" s="477"/>
      <c r="K83" s="1665">
        <f t="shared" si="11"/>
        <v>0</v>
      </c>
      <c r="L83" s="466">
        <v>0</v>
      </c>
    </row>
    <row r="84" spans="1:12" ht="13.5" thickBot="1" x14ac:dyDescent="0.25">
      <c r="A84" s="1662" t="s">
        <v>1485</v>
      </c>
      <c r="B84" s="1672">
        <v>4100</v>
      </c>
      <c r="C84" s="615"/>
      <c r="D84" s="615"/>
      <c r="E84" s="1664">
        <f>SUM(E78:E83)</f>
        <v>0</v>
      </c>
      <c r="F84" s="615"/>
      <c r="G84" s="615"/>
      <c r="H84" s="1664">
        <f>SUM(H78:H83)</f>
        <v>2948</v>
      </c>
      <c r="I84" s="477"/>
      <c r="J84" s="477"/>
      <c r="K84" s="1664">
        <f>SUM(K78:K83)</f>
        <v>2948</v>
      </c>
      <c r="L84" s="1664">
        <f>SUM(L78:L83)</f>
        <v>0</v>
      </c>
    </row>
    <row r="85" spans="1:12" ht="12.75" customHeight="1" thickTop="1" thickBot="1" x14ac:dyDescent="0.25">
      <c r="A85" s="1509" t="s">
        <v>255</v>
      </c>
      <c r="B85" s="633">
        <v>4210</v>
      </c>
      <c r="C85" s="615"/>
      <c r="D85" s="615"/>
      <c r="E85" s="634"/>
      <c r="F85" s="615"/>
      <c r="G85" s="615"/>
      <c r="H85" s="466">
        <v>0</v>
      </c>
      <c r="I85" s="477"/>
      <c r="J85" s="477"/>
      <c r="K85" s="1671">
        <f>H85</f>
        <v>0</v>
      </c>
      <c r="L85" s="530">
        <v>0</v>
      </c>
    </row>
    <row r="86" spans="1:12" ht="12.75" customHeight="1" thickTop="1" thickBot="1" x14ac:dyDescent="0.25">
      <c r="A86" s="1510" t="s">
        <v>699</v>
      </c>
      <c r="B86" s="635">
        <v>4220</v>
      </c>
      <c r="C86" s="615"/>
      <c r="D86" s="615"/>
      <c r="E86" s="636"/>
      <c r="F86" s="615"/>
      <c r="G86" s="615"/>
      <c r="H86" s="466">
        <v>150</v>
      </c>
      <c r="I86" s="477"/>
      <c r="J86" s="477"/>
      <c r="K86" s="1671">
        <f t="shared" ref="K86:K98" si="12">H86</f>
        <v>150</v>
      </c>
      <c r="L86" s="530">
        <v>156800</v>
      </c>
    </row>
    <row r="87" spans="1:12" ht="14.25" thickTop="1" thickBot="1" x14ac:dyDescent="0.25">
      <c r="A87" s="1511" t="s">
        <v>700</v>
      </c>
      <c r="B87" s="637">
        <v>4230</v>
      </c>
      <c r="C87" s="615"/>
      <c r="D87" s="615"/>
      <c r="E87" s="636"/>
      <c r="F87" s="615"/>
      <c r="G87" s="615"/>
      <c r="H87" s="466">
        <v>0</v>
      </c>
      <c r="I87" s="477"/>
      <c r="J87" s="477"/>
      <c r="K87" s="1671">
        <f t="shared" si="12"/>
        <v>0</v>
      </c>
      <c r="L87" s="530">
        <v>0</v>
      </c>
    </row>
    <row r="88" spans="1:12" ht="12.75" customHeight="1" thickTop="1" thickBot="1" x14ac:dyDescent="0.25">
      <c r="A88" s="1511" t="s">
        <v>765</v>
      </c>
      <c r="B88" s="637">
        <v>4240</v>
      </c>
      <c r="C88" s="615"/>
      <c r="D88" s="615"/>
      <c r="E88" s="636"/>
      <c r="F88" s="615"/>
      <c r="G88" s="615"/>
      <c r="H88" s="466">
        <v>3236</v>
      </c>
      <c r="I88" s="477"/>
      <c r="J88" s="477"/>
      <c r="K88" s="1671">
        <f t="shared" si="12"/>
        <v>3236</v>
      </c>
      <c r="L88" s="530">
        <v>0</v>
      </c>
    </row>
    <row r="89" spans="1:12" ht="12.75" customHeight="1" thickTop="1" thickBot="1" x14ac:dyDescent="0.25">
      <c r="A89" s="1511" t="s">
        <v>701</v>
      </c>
      <c r="B89" s="637">
        <v>4270</v>
      </c>
      <c r="C89" s="615"/>
      <c r="D89" s="615"/>
      <c r="E89" s="636"/>
      <c r="F89" s="615"/>
      <c r="G89" s="615"/>
      <c r="H89" s="466">
        <v>2266</v>
      </c>
      <c r="I89" s="477"/>
      <c r="J89" s="477"/>
      <c r="K89" s="1671">
        <f t="shared" si="12"/>
        <v>2266</v>
      </c>
      <c r="L89" s="530">
        <v>0</v>
      </c>
    </row>
    <row r="90" spans="1:12" ht="12.75" customHeight="1" thickTop="1" thickBot="1" x14ac:dyDescent="0.25">
      <c r="A90" s="1511" t="s">
        <v>686</v>
      </c>
      <c r="B90" s="637">
        <v>4280</v>
      </c>
      <c r="C90" s="615"/>
      <c r="D90" s="615"/>
      <c r="E90" s="636"/>
      <c r="F90" s="615"/>
      <c r="G90" s="615"/>
      <c r="H90" s="466">
        <v>0</v>
      </c>
      <c r="I90" s="477"/>
      <c r="J90" s="477"/>
      <c r="K90" s="1671">
        <f t="shared" si="12"/>
        <v>0</v>
      </c>
      <c r="L90" s="530">
        <v>0</v>
      </c>
    </row>
    <row r="91" spans="1:12" ht="12.75" customHeight="1" thickTop="1" thickBot="1" x14ac:dyDescent="0.25">
      <c r="A91" s="1511" t="s">
        <v>687</v>
      </c>
      <c r="B91" s="637">
        <v>4290</v>
      </c>
      <c r="C91" s="615"/>
      <c r="D91" s="615"/>
      <c r="E91" s="636"/>
      <c r="F91" s="615"/>
      <c r="G91" s="615"/>
      <c r="H91" s="466">
        <v>0</v>
      </c>
      <c r="I91" s="477"/>
      <c r="J91" s="477"/>
      <c r="K91" s="1671">
        <f t="shared" si="12"/>
        <v>0</v>
      </c>
      <c r="L91" s="530">
        <v>0</v>
      </c>
    </row>
    <row r="92" spans="1:12" ht="14.25" thickTop="1" thickBot="1" x14ac:dyDescent="0.25">
      <c r="A92" s="1674" t="s">
        <v>1560</v>
      </c>
      <c r="B92" s="1672">
        <v>4200</v>
      </c>
      <c r="C92" s="615"/>
      <c r="D92" s="615"/>
      <c r="E92" s="636"/>
      <c r="F92" s="615"/>
      <c r="G92" s="615"/>
      <c r="H92" s="1664">
        <f>SUM(H85:H91)</f>
        <v>5652</v>
      </c>
      <c r="I92" s="477"/>
      <c r="J92" s="477"/>
      <c r="K92" s="1671">
        <f t="shared" si="12"/>
        <v>5652</v>
      </c>
      <c r="L92" s="1664">
        <f>SUM(L85:L91)</f>
        <v>156800</v>
      </c>
    </row>
    <row r="93" spans="1:12" ht="14.25" thickTop="1" thickBot="1" x14ac:dyDescent="0.25">
      <c r="A93" s="1510" t="s">
        <v>688</v>
      </c>
      <c r="B93" s="638">
        <v>4310</v>
      </c>
      <c r="C93" s="615"/>
      <c r="D93" s="615"/>
      <c r="E93" s="636"/>
      <c r="F93" s="615"/>
      <c r="G93" s="615"/>
      <c r="H93" s="466">
        <v>0</v>
      </c>
      <c r="I93" s="477"/>
      <c r="J93" s="477"/>
      <c r="K93" s="1671">
        <f t="shared" si="12"/>
        <v>0</v>
      </c>
      <c r="L93" s="532">
        <v>0</v>
      </c>
    </row>
    <row r="94" spans="1:12" ht="12.75" customHeight="1" thickTop="1" thickBot="1" x14ac:dyDescent="0.25">
      <c r="A94" s="1511" t="s">
        <v>689</v>
      </c>
      <c r="B94" s="637">
        <v>4320</v>
      </c>
      <c r="C94" s="615"/>
      <c r="D94" s="615"/>
      <c r="E94" s="636"/>
      <c r="F94" s="615"/>
      <c r="G94" s="615"/>
      <c r="H94" s="466">
        <v>0</v>
      </c>
      <c r="I94" s="477"/>
      <c r="J94" s="477"/>
      <c r="K94" s="1671">
        <f t="shared" si="12"/>
        <v>0</v>
      </c>
      <c r="L94" s="530">
        <v>0</v>
      </c>
    </row>
    <row r="95" spans="1:12" ht="15" customHeight="1" thickTop="1" thickBot="1" x14ac:dyDescent="0.25">
      <c r="A95" s="1511" t="s">
        <v>1488</v>
      </c>
      <c r="B95" s="637">
        <v>4330</v>
      </c>
      <c r="C95" s="615"/>
      <c r="D95" s="615"/>
      <c r="E95" s="636"/>
      <c r="F95" s="615"/>
      <c r="G95" s="615"/>
      <c r="H95" s="466">
        <v>0</v>
      </c>
      <c r="I95" s="477"/>
      <c r="J95" s="477"/>
      <c r="K95" s="1671">
        <f t="shared" si="12"/>
        <v>0</v>
      </c>
      <c r="L95" s="530">
        <v>0</v>
      </c>
    </row>
    <row r="96" spans="1:12" ht="14.25" thickTop="1" thickBot="1" x14ac:dyDescent="0.25">
      <c r="A96" s="1511" t="s">
        <v>690</v>
      </c>
      <c r="B96" s="637">
        <v>4340</v>
      </c>
      <c r="C96" s="615"/>
      <c r="D96" s="615"/>
      <c r="E96" s="636"/>
      <c r="F96" s="615"/>
      <c r="G96" s="615"/>
      <c r="H96" s="466">
        <v>0</v>
      </c>
      <c r="I96" s="477"/>
      <c r="J96" s="477"/>
      <c r="K96" s="1671">
        <f t="shared" si="12"/>
        <v>0</v>
      </c>
      <c r="L96" s="530">
        <v>0</v>
      </c>
    </row>
    <row r="97" spans="1:14" ht="12.75" customHeight="1" thickTop="1" thickBot="1" x14ac:dyDescent="0.25">
      <c r="A97" s="1511" t="s">
        <v>763</v>
      </c>
      <c r="B97" s="637">
        <v>4370</v>
      </c>
      <c r="C97" s="615"/>
      <c r="D97" s="615"/>
      <c r="E97" s="636"/>
      <c r="F97" s="615"/>
      <c r="G97" s="615"/>
      <c r="H97" s="466">
        <v>0</v>
      </c>
      <c r="I97" s="477"/>
      <c r="J97" s="477"/>
      <c r="K97" s="1671">
        <f t="shared" si="12"/>
        <v>0</v>
      </c>
      <c r="L97" s="530">
        <v>0</v>
      </c>
    </row>
    <row r="98" spans="1:14" ht="14.25" thickTop="1" thickBot="1" x14ac:dyDescent="0.25">
      <c r="A98" s="1511" t="s">
        <v>764</v>
      </c>
      <c r="B98" s="637">
        <v>4380</v>
      </c>
      <c r="C98" s="615"/>
      <c r="D98" s="615"/>
      <c r="E98" s="640"/>
      <c r="F98" s="615"/>
      <c r="G98" s="615"/>
      <c r="H98" s="466">
        <v>0</v>
      </c>
      <c r="I98" s="477"/>
      <c r="J98" s="477"/>
      <c r="K98" s="1671">
        <f t="shared" si="12"/>
        <v>0</v>
      </c>
      <c r="L98" s="530">
        <v>0</v>
      </c>
    </row>
    <row r="99" spans="1:14" ht="14.25" thickTop="1" thickBot="1" x14ac:dyDescent="0.25">
      <c r="A99" s="1511" t="s">
        <v>367</v>
      </c>
      <c r="B99" s="637">
        <v>4390</v>
      </c>
      <c r="C99" s="615"/>
      <c r="D99" s="615"/>
      <c r="E99" s="466">
        <v>0</v>
      </c>
      <c r="F99" s="615"/>
      <c r="G99" s="615"/>
      <c r="H99" s="466">
        <v>0</v>
      </c>
      <c r="I99" s="477"/>
      <c r="J99" s="477"/>
      <c r="K99" s="1671">
        <f>SUM(E99,H99)</f>
        <v>0</v>
      </c>
      <c r="L99" s="530">
        <v>0</v>
      </c>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v>0</v>
      </c>
    </row>
    <row r="102" spans="1:14" ht="12.75" customHeight="1" thickTop="1" thickBot="1" x14ac:dyDescent="0.25">
      <c r="A102" s="1662" t="s">
        <v>1487</v>
      </c>
      <c r="B102" s="1672">
        <v>4000</v>
      </c>
      <c r="C102" s="615"/>
      <c r="D102" s="615"/>
      <c r="E102" s="1671">
        <f>SUM(E84,E92,E100,E101)</f>
        <v>0</v>
      </c>
      <c r="F102" s="615"/>
      <c r="G102" s="615"/>
      <c r="H102" s="1671">
        <f>SUM(H84,H92,H100,H101)</f>
        <v>8600</v>
      </c>
      <c r="I102" s="477"/>
      <c r="J102" s="477"/>
      <c r="K102" s="1671">
        <f>SUM(K84,K92,K100,K101)</f>
        <v>8600</v>
      </c>
      <c r="L102" s="1671">
        <f>SUM(L84,L92,L100,L101)</f>
        <v>156800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3263822</v>
      </c>
      <c r="D114" s="1664">
        <f t="shared" ref="D114:K114" si="13">SUM(D33,D74,D75,D102,D112,D113)</f>
        <v>189851</v>
      </c>
      <c r="E114" s="1664">
        <f t="shared" si="13"/>
        <v>221209</v>
      </c>
      <c r="F114" s="1664">
        <f t="shared" si="13"/>
        <v>280439</v>
      </c>
      <c r="G114" s="1664">
        <f t="shared" si="13"/>
        <v>88155</v>
      </c>
      <c r="H114" s="1664">
        <f>SUM(H33,H74,H75,H102,H112,H113)</f>
        <v>32250</v>
      </c>
      <c r="I114" s="1664">
        <f t="shared" si="13"/>
        <v>0</v>
      </c>
      <c r="J114" s="1664">
        <f t="shared" si="13"/>
        <v>0</v>
      </c>
      <c r="K114" s="1664">
        <f t="shared" si="13"/>
        <v>4075726</v>
      </c>
      <c r="L114" s="1664">
        <f>SUM(L33,L74,L75,L102,L112,L113)</f>
        <v>4558092</v>
      </c>
    </row>
    <row r="115" spans="1:14" ht="13.5" thickTop="1" x14ac:dyDescent="0.2">
      <c r="A115" s="2190" t="s">
        <v>996</v>
      </c>
      <c r="B115" s="2191"/>
      <c r="C115" s="617"/>
      <c r="D115" s="617"/>
      <c r="E115" s="617"/>
      <c r="F115" s="617"/>
      <c r="G115" s="617"/>
      <c r="H115" s="617"/>
      <c r="I115" s="617"/>
      <c r="J115" s="617"/>
      <c r="K115" s="1678">
        <f>'Revenues 9-14'!C268-'Expenditures 15-22'!K114</f>
        <v>389843</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8" t="s">
        <v>296</v>
      </c>
      <c r="B117" s="2169"/>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v>0</v>
      </c>
    </row>
    <row r="124" spans="1:14" ht="14.25" thickTop="1" thickBot="1" x14ac:dyDescent="0.25">
      <c r="A124" s="1502" t="s">
        <v>197</v>
      </c>
      <c r="B124" s="613">
        <v>2540</v>
      </c>
      <c r="C124" s="466">
        <v>227259</v>
      </c>
      <c r="D124" s="466">
        <v>13992</v>
      </c>
      <c r="E124" s="466">
        <v>122343</v>
      </c>
      <c r="F124" s="466">
        <v>184044</v>
      </c>
      <c r="G124" s="466">
        <v>63870</v>
      </c>
      <c r="H124" s="466">
        <v>0</v>
      </c>
      <c r="I124" s="466">
        <v>0</v>
      </c>
      <c r="J124" s="466">
        <v>0</v>
      </c>
      <c r="K124" s="1664">
        <f>SUM(C124:J124)</f>
        <v>611508</v>
      </c>
      <c r="L124" s="466">
        <v>660165</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719</v>
      </c>
      <c r="B127" s="1663" t="s">
        <v>35</v>
      </c>
      <c r="C127" s="1664">
        <f>SUM(C122:C126)</f>
        <v>227259</v>
      </c>
      <c r="D127" s="1664">
        <f t="shared" ref="D127:L127" si="14">SUM(D122:D126)</f>
        <v>13992</v>
      </c>
      <c r="E127" s="1664">
        <f t="shared" si="14"/>
        <v>122343</v>
      </c>
      <c r="F127" s="1664">
        <f t="shared" si="14"/>
        <v>184044</v>
      </c>
      <c r="G127" s="1664">
        <f t="shared" si="14"/>
        <v>63870</v>
      </c>
      <c r="H127" s="1664">
        <f t="shared" si="14"/>
        <v>0</v>
      </c>
      <c r="I127" s="1664">
        <f t="shared" si="14"/>
        <v>0</v>
      </c>
      <c r="J127" s="1664">
        <f t="shared" si="14"/>
        <v>0</v>
      </c>
      <c r="K127" s="1664">
        <f t="shared" si="14"/>
        <v>611508</v>
      </c>
      <c r="L127" s="1664">
        <f t="shared" si="14"/>
        <v>660165</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811</v>
      </c>
      <c r="B129" s="1681" t="s">
        <v>569</v>
      </c>
      <c r="C129" s="1671">
        <f>SUM(C120,C127,C128)</f>
        <v>227259</v>
      </c>
      <c r="D129" s="1671">
        <f t="shared" ref="D129:L129" si="15">SUM(D120,D127,D128)</f>
        <v>13992</v>
      </c>
      <c r="E129" s="1671">
        <f t="shared" si="15"/>
        <v>122343</v>
      </c>
      <c r="F129" s="1671">
        <f t="shared" si="15"/>
        <v>184044</v>
      </c>
      <c r="G129" s="1671">
        <f t="shared" si="15"/>
        <v>63870</v>
      </c>
      <c r="H129" s="1671">
        <f t="shared" si="15"/>
        <v>0</v>
      </c>
      <c r="I129" s="1671">
        <f t="shared" si="15"/>
        <v>0</v>
      </c>
      <c r="J129" s="1671">
        <f t="shared" si="15"/>
        <v>0</v>
      </c>
      <c r="K129" s="1671">
        <f t="shared" si="15"/>
        <v>611508</v>
      </c>
      <c r="L129" s="1671">
        <f t="shared" si="15"/>
        <v>660165</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6">
        <f>SUM(E134,H134)</f>
        <v>0</v>
      </c>
      <c r="L134" s="568">
        <v>0</v>
      </c>
    </row>
    <row r="135" spans="1:14" x14ac:dyDescent="0.2">
      <c r="A135" s="1502" t="s">
        <v>697</v>
      </c>
      <c r="B135" s="613">
        <v>4140</v>
      </c>
      <c r="C135" s="615"/>
      <c r="D135" s="615"/>
      <c r="E135" s="466">
        <v>0</v>
      </c>
      <c r="F135" s="615"/>
      <c r="G135" s="615"/>
      <c r="H135" s="466">
        <v>0</v>
      </c>
      <c r="I135" s="477"/>
      <c r="J135" s="615"/>
      <c r="K135" s="1666">
        <f>SUM(E135,H135)</f>
        <v>0</v>
      </c>
      <c r="L135" s="466">
        <v>0</v>
      </c>
    </row>
    <row r="136" spans="1:14" x14ac:dyDescent="0.2">
      <c r="A136" s="1506" t="s">
        <v>698</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v>0</v>
      </c>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1170</v>
      </c>
      <c r="B144" s="627" t="s">
        <v>617</v>
      </c>
      <c r="C144" s="615"/>
      <c r="D144" s="615"/>
      <c r="E144" s="615"/>
      <c r="F144" s="615"/>
      <c r="G144" s="615"/>
      <c r="H144" s="466">
        <v>0</v>
      </c>
      <c r="I144" s="468"/>
      <c r="J144" s="615"/>
      <c r="K144" s="1666">
        <f>SUM(H144)</f>
        <v>0</v>
      </c>
      <c r="L144" s="466">
        <v>0</v>
      </c>
    </row>
    <row r="145" spans="1:14" x14ac:dyDescent="0.2">
      <c r="A145" s="1502" t="s">
        <v>89</v>
      </c>
      <c r="B145" s="613" t="s">
        <v>589</v>
      </c>
      <c r="C145" s="615"/>
      <c r="D145" s="615"/>
      <c r="E145" s="615"/>
      <c r="F145" s="615"/>
      <c r="G145" s="615"/>
      <c r="H145" s="466">
        <v>0</v>
      </c>
      <c r="I145" s="468"/>
      <c r="J145" s="615"/>
      <c r="K145" s="1666">
        <f>SUM(H145)</f>
        <v>0</v>
      </c>
      <c r="L145" s="466">
        <v>0</v>
      </c>
    </row>
    <row r="146" spans="1:14" ht="12.75" customHeight="1" x14ac:dyDescent="0.2">
      <c r="A146" s="1502" t="s">
        <v>619</v>
      </c>
      <c r="B146" s="613" t="s">
        <v>618</v>
      </c>
      <c r="C146" s="615"/>
      <c r="D146" s="615"/>
      <c r="E146" s="615"/>
      <c r="F146" s="615"/>
      <c r="G146" s="615"/>
      <c r="H146" s="466">
        <v>0</v>
      </c>
      <c r="I146" s="468"/>
      <c r="J146" s="615"/>
      <c r="K146" s="1666">
        <f>SUM(H146)</f>
        <v>0</v>
      </c>
      <c r="L146" s="466">
        <v>0</v>
      </c>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v>0</v>
      </c>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80" t="s">
        <v>620</v>
      </c>
      <c r="B151" s="2162"/>
      <c r="C151" s="1664">
        <f>SUM(C129,C130,C139,C149,C150)</f>
        <v>227259</v>
      </c>
      <c r="D151" s="1664">
        <f t="shared" ref="D151:K151" si="16">SUM(D129,D130,D139,D149,D150)</f>
        <v>13992</v>
      </c>
      <c r="E151" s="1664">
        <f t="shared" si="16"/>
        <v>122343</v>
      </c>
      <c r="F151" s="1664">
        <f t="shared" si="16"/>
        <v>184044</v>
      </c>
      <c r="G151" s="1664">
        <f t="shared" si="16"/>
        <v>63870</v>
      </c>
      <c r="H151" s="1664">
        <f t="shared" si="16"/>
        <v>0</v>
      </c>
      <c r="I151" s="1664">
        <f t="shared" si="16"/>
        <v>0</v>
      </c>
      <c r="J151" s="1664">
        <f t="shared" si="16"/>
        <v>0</v>
      </c>
      <c r="K151" s="1664">
        <f t="shared" si="16"/>
        <v>611508</v>
      </c>
      <c r="L151" s="1664">
        <f>SUM(L129,L130,L139,L149,L150)</f>
        <v>660165</v>
      </c>
    </row>
    <row r="152" spans="1:14" ht="12.75" customHeight="1" thickTop="1" x14ac:dyDescent="0.2">
      <c r="A152" s="2183" t="s">
        <v>1178</v>
      </c>
      <c r="B152" s="2184"/>
      <c r="C152" s="617"/>
      <c r="D152" s="617"/>
      <c r="E152" s="617"/>
      <c r="F152" s="617"/>
      <c r="G152" s="617"/>
      <c r="H152" s="617"/>
      <c r="I152" s="617"/>
      <c r="J152" s="615"/>
      <c r="K152" s="1678">
        <f>'Revenues 9-14'!D268-'Expenditures 15-22'!K151</f>
        <v>67626</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8" t="s">
        <v>621</v>
      </c>
      <c r="B154" s="2170"/>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v>0</v>
      </c>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v>0</v>
      </c>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v>0</v>
      </c>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1170</v>
      </c>
      <c r="B165" s="613" t="s">
        <v>617</v>
      </c>
      <c r="C165" s="615"/>
      <c r="D165" s="615"/>
      <c r="E165" s="615"/>
      <c r="F165" s="615"/>
      <c r="G165" s="615"/>
      <c r="H165" s="466">
        <v>0</v>
      </c>
      <c r="I165" s="615"/>
      <c r="J165" s="615"/>
      <c r="K165" s="1665">
        <f>SUM(C165:J165)</f>
        <v>0</v>
      </c>
      <c r="L165" s="466">
        <v>0</v>
      </c>
    </row>
    <row r="166" spans="1:14" x14ac:dyDescent="0.2">
      <c r="A166" s="1502" t="s">
        <v>89</v>
      </c>
      <c r="B166" s="627" t="s">
        <v>589</v>
      </c>
      <c r="C166" s="615"/>
      <c r="D166" s="615"/>
      <c r="E166" s="615"/>
      <c r="F166" s="615"/>
      <c r="G166" s="615"/>
      <c r="H166" s="466">
        <v>0</v>
      </c>
      <c r="I166" s="615"/>
      <c r="J166" s="615"/>
      <c r="K166" s="1665">
        <f>SUM(C166:J166)</f>
        <v>0</v>
      </c>
      <c r="L166" s="466">
        <v>0</v>
      </c>
    </row>
    <row r="167" spans="1:14" ht="12.75" customHeight="1" x14ac:dyDescent="0.2">
      <c r="A167" s="1502" t="s">
        <v>619</v>
      </c>
      <c r="B167" s="613" t="s">
        <v>618</v>
      </c>
      <c r="C167" s="615"/>
      <c r="D167" s="615"/>
      <c r="E167" s="615"/>
      <c r="F167" s="615"/>
      <c r="G167" s="615"/>
      <c r="H167" s="466">
        <v>0</v>
      </c>
      <c r="I167" s="615"/>
      <c r="J167" s="615"/>
      <c r="K167" s="1665">
        <f>SUM(C167:J167)</f>
        <v>0</v>
      </c>
      <c r="L167" s="466">
        <v>0</v>
      </c>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33891</v>
      </c>
      <c r="I169" s="615"/>
      <c r="J169" s="615"/>
      <c r="K169" s="1665">
        <f>SUM(C169:H169)</f>
        <v>33891</v>
      </c>
      <c r="L169" s="654">
        <v>30914</v>
      </c>
    </row>
    <row r="170" spans="1:14" ht="33.75" customHeight="1" x14ac:dyDescent="0.2">
      <c r="A170" s="667" t="s">
        <v>1670</v>
      </c>
      <c r="B170" s="669" t="s">
        <v>31</v>
      </c>
      <c r="C170" s="615"/>
      <c r="D170" s="615"/>
      <c r="E170" s="615"/>
      <c r="F170" s="615"/>
      <c r="G170" s="615"/>
      <c r="H170" s="568">
        <v>389884</v>
      </c>
      <c r="I170" s="615"/>
      <c r="J170" s="615"/>
      <c r="K170" s="1665">
        <f>SUM(C170:J170)</f>
        <v>389884</v>
      </c>
      <c r="L170" s="568">
        <v>359286</v>
      </c>
    </row>
    <row r="171" spans="1:14" ht="15.75" customHeight="1" x14ac:dyDescent="0.2">
      <c r="A171" s="620" t="s">
        <v>766</v>
      </c>
      <c r="B171" s="670" t="s">
        <v>84</v>
      </c>
      <c r="C171" s="615"/>
      <c r="D171" s="615"/>
      <c r="E171" s="466">
        <v>0</v>
      </c>
      <c r="F171" s="615"/>
      <c r="G171" s="615"/>
      <c r="H171" s="568">
        <v>500</v>
      </c>
      <c r="I171" s="477"/>
      <c r="J171" s="615"/>
      <c r="K171" s="1665">
        <f>SUM(C171:J171)</f>
        <v>500</v>
      </c>
      <c r="L171" s="568">
        <v>12500</v>
      </c>
    </row>
    <row r="172" spans="1:14" ht="12.75" customHeight="1" thickBot="1" x14ac:dyDescent="0.25">
      <c r="A172" s="1662" t="s">
        <v>638</v>
      </c>
      <c r="B172" s="1663" t="s">
        <v>492</v>
      </c>
      <c r="C172" s="615"/>
      <c r="D172" s="615"/>
      <c r="E172" s="1671">
        <f>SUM(E168,E169,E170,E171)</f>
        <v>0</v>
      </c>
      <c r="F172" s="615"/>
      <c r="G172" s="615"/>
      <c r="H172" s="1671">
        <f>SUM(H168,H169,H170,H171)</f>
        <v>424275</v>
      </c>
      <c r="I172" s="636"/>
      <c r="J172" s="615"/>
      <c r="K172" s="1671">
        <f>SUM(K168,K169,K170,K171)</f>
        <v>424275</v>
      </c>
      <c r="L172" s="1671">
        <f>SUM(L168,L169,L170,L171)</f>
        <v>402700</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424275</v>
      </c>
      <c r="I174" s="636"/>
      <c r="J174" s="615"/>
      <c r="K174" s="1671">
        <f>SUM(K160,K172,K173)</f>
        <v>424275</v>
      </c>
      <c r="L174" s="1671">
        <f>SUM(L160,L172,L173)</f>
        <v>402700</v>
      </c>
    </row>
    <row r="175" spans="1:14" ht="13.5" thickTop="1" x14ac:dyDescent="0.2">
      <c r="A175" s="2190" t="s">
        <v>996</v>
      </c>
      <c r="B175" s="2191"/>
      <c r="C175" s="615"/>
      <c r="D175" s="615"/>
      <c r="E175" s="615"/>
      <c r="F175" s="615"/>
      <c r="G175" s="615"/>
      <c r="H175" s="617"/>
      <c r="I175" s="615"/>
      <c r="J175" s="615"/>
      <c r="K175" s="1678">
        <f>'Revenues 9-14'!E268-'Expenditures 15-22'!K174</f>
        <v>-21158</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121336</v>
      </c>
      <c r="D182" s="466">
        <v>9245</v>
      </c>
      <c r="E182" s="466">
        <v>71176</v>
      </c>
      <c r="F182" s="466">
        <v>45734</v>
      </c>
      <c r="G182" s="466">
        <v>49785</v>
      </c>
      <c r="H182" s="466">
        <v>175</v>
      </c>
      <c r="I182" s="466">
        <v>0</v>
      </c>
      <c r="J182" s="466">
        <v>0</v>
      </c>
      <c r="K182" s="1665">
        <f>SUM(C182:J182)</f>
        <v>297451</v>
      </c>
      <c r="L182" s="466">
        <v>388840</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811</v>
      </c>
      <c r="B184" s="1663" t="s">
        <v>569</v>
      </c>
      <c r="C184" s="1671">
        <f>SUM(C180,C182,C183)</f>
        <v>121336</v>
      </c>
      <c r="D184" s="1671">
        <f t="shared" ref="D184:J184" si="17">SUM(D180,D182,D183)</f>
        <v>9245</v>
      </c>
      <c r="E184" s="1671">
        <f t="shared" si="17"/>
        <v>71176</v>
      </c>
      <c r="F184" s="1671">
        <f t="shared" si="17"/>
        <v>45734</v>
      </c>
      <c r="G184" s="1671">
        <f t="shared" si="17"/>
        <v>49785</v>
      </c>
      <c r="H184" s="1671">
        <f t="shared" si="17"/>
        <v>175</v>
      </c>
      <c r="I184" s="1671">
        <f t="shared" si="17"/>
        <v>0</v>
      </c>
      <c r="J184" s="1671">
        <f t="shared" si="17"/>
        <v>0</v>
      </c>
      <c r="K184" s="1671">
        <f>SUM(K180,K182,K183)</f>
        <v>297451</v>
      </c>
      <c r="L184" s="1671">
        <f>SUM(L180, L182:L183)</f>
        <v>388840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v>0</v>
      </c>
    </row>
    <row r="189" spans="1:14" x14ac:dyDescent="0.2">
      <c r="A189" s="1502" t="s">
        <v>304</v>
      </c>
      <c r="B189" s="613">
        <v>4120</v>
      </c>
      <c r="C189" s="615"/>
      <c r="D189" s="615"/>
      <c r="E189" s="466">
        <v>0</v>
      </c>
      <c r="F189" s="615"/>
      <c r="G189" s="615"/>
      <c r="H189" s="466">
        <v>0</v>
      </c>
      <c r="I189" s="477"/>
      <c r="J189" s="615"/>
      <c r="K189" s="1665">
        <f t="shared" si="18"/>
        <v>0</v>
      </c>
      <c r="L189" s="466">
        <v>0</v>
      </c>
    </row>
    <row r="190" spans="1:14" x14ac:dyDescent="0.2">
      <c r="A190" s="1502" t="s">
        <v>305</v>
      </c>
      <c r="B190" s="627">
        <v>4130</v>
      </c>
      <c r="C190" s="615"/>
      <c r="D190" s="615"/>
      <c r="E190" s="466">
        <v>0</v>
      </c>
      <c r="F190" s="615"/>
      <c r="G190" s="615"/>
      <c r="H190" s="466">
        <v>0</v>
      </c>
      <c r="I190" s="477"/>
      <c r="J190" s="615"/>
      <c r="K190" s="1665">
        <f t="shared" si="18"/>
        <v>0</v>
      </c>
      <c r="L190" s="466">
        <v>0</v>
      </c>
    </row>
    <row r="191" spans="1:14" x14ac:dyDescent="0.2">
      <c r="A191" s="1502" t="s">
        <v>697</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698</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v>0</v>
      </c>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1170</v>
      </c>
      <c r="B201" s="627" t="s">
        <v>617</v>
      </c>
      <c r="C201" s="615"/>
      <c r="D201" s="615"/>
      <c r="E201" s="615"/>
      <c r="F201" s="615"/>
      <c r="G201" s="615"/>
      <c r="H201" s="466">
        <v>0</v>
      </c>
      <c r="I201" s="615"/>
      <c r="J201" s="615"/>
      <c r="K201" s="1665">
        <f>SUM(H201)</f>
        <v>0</v>
      </c>
      <c r="L201" s="466">
        <v>0</v>
      </c>
    </row>
    <row r="202" spans="1:14" x14ac:dyDescent="0.2">
      <c r="A202" s="1502" t="s">
        <v>89</v>
      </c>
      <c r="B202" s="613" t="s">
        <v>589</v>
      </c>
      <c r="C202" s="615"/>
      <c r="D202" s="615"/>
      <c r="E202" s="615"/>
      <c r="F202" s="615"/>
      <c r="G202" s="615"/>
      <c r="H202" s="466">
        <v>0</v>
      </c>
      <c r="I202" s="615"/>
      <c r="J202" s="615"/>
      <c r="K202" s="1665">
        <f>SUM(H202)</f>
        <v>0</v>
      </c>
      <c r="L202" s="466">
        <v>0</v>
      </c>
    </row>
    <row r="203" spans="1:14" x14ac:dyDescent="0.2">
      <c r="A203" s="1514" t="s">
        <v>619</v>
      </c>
      <c r="B203" s="613" t="s">
        <v>618</v>
      </c>
      <c r="C203" s="615"/>
      <c r="D203" s="615"/>
      <c r="E203" s="615"/>
      <c r="F203" s="615"/>
      <c r="G203" s="615"/>
      <c r="H203" s="471">
        <v>0</v>
      </c>
      <c r="I203" s="615"/>
      <c r="J203" s="615"/>
      <c r="K203" s="1665">
        <f>SUM(H203)</f>
        <v>0</v>
      </c>
      <c r="L203" s="471">
        <v>0</v>
      </c>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v>0</v>
      </c>
    </row>
    <row r="206" spans="1:14" ht="30" customHeight="1" x14ac:dyDescent="0.2">
      <c r="A206" s="679" t="s">
        <v>1671</v>
      </c>
      <c r="B206" s="670" t="s">
        <v>31</v>
      </c>
      <c r="C206" s="615"/>
      <c r="D206" s="615"/>
      <c r="E206" s="615"/>
      <c r="F206" s="615"/>
      <c r="G206" s="615"/>
      <c r="H206" s="471">
        <v>0</v>
      </c>
      <c r="I206" s="615"/>
      <c r="J206" s="615"/>
      <c r="K206" s="1665">
        <f>SUM(H206)</f>
        <v>0</v>
      </c>
      <c r="L206" s="466">
        <v>0</v>
      </c>
    </row>
    <row r="207" spans="1:14" ht="15.75" customHeight="1" x14ac:dyDescent="0.2">
      <c r="A207" s="620" t="s">
        <v>766</v>
      </c>
      <c r="B207" s="670" t="s">
        <v>84</v>
      </c>
      <c r="C207" s="615"/>
      <c r="D207" s="615"/>
      <c r="E207" s="615"/>
      <c r="F207" s="615"/>
      <c r="G207" s="615"/>
      <c r="H207" s="471">
        <v>0</v>
      </c>
      <c r="I207" s="615"/>
      <c r="J207" s="615"/>
      <c r="K207" s="1665">
        <f>H207</f>
        <v>0</v>
      </c>
      <c r="L207" s="466">
        <v>0</v>
      </c>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6" t="s">
        <v>277</v>
      </c>
      <c r="B210" s="1687"/>
      <c r="C210" s="1664">
        <f>SUM(C184,C185)</f>
        <v>121336</v>
      </c>
      <c r="D210" s="1664">
        <f>SUM(D184,D185)</f>
        <v>9245</v>
      </c>
      <c r="E210" s="1664">
        <f>SUM(E184,E185,E196)</f>
        <v>71176</v>
      </c>
      <c r="F210" s="1664">
        <f>SUM(F184,F185)</f>
        <v>45734</v>
      </c>
      <c r="G210" s="1664">
        <f>SUM(G184,G185)</f>
        <v>49785</v>
      </c>
      <c r="H210" s="1664">
        <f>SUM(H184,H185,H196,H208,H209)</f>
        <v>175</v>
      </c>
      <c r="I210" s="1664">
        <f>SUM(I184,I185)</f>
        <v>0</v>
      </c>
      <c r="J210" s="1664">
        <f>SUM(J184,J185)</f>
        <v>0</v>
      </c>
      <c r="K210" s="1665">
        <f>SUM(K184,K185,K196,K208,K209)</f>
        <v>297451</v>
      </c>
      <c r="L210" s="1664">
        <f>SUM(L184,L185,L196,L208,L209)</f>
        <v>388840</v>
      </c>
    </row>
    <row r="211" spans="1:14" ht="13.5" thickTop="1" x14ac:dyDescent="0.2">
      <c r="A211" s="2190" t="s">
        <v>996</v>
      </c>
      <c r="B211" s="2191"/>
      <c r="C211" s="617"/>
      <c r="D211" s="617"/>
      <c r="E211" s="617"/>
      <c r="F211" s="617"/>
      <c r="G211" s="617"/>
      <c r="H211" s="617"/>
      <c r="I211" s="615"/>
      <c r="J211" s="615"/>
      <c r="K211" s="1678">
        <f>'Revenues 9-14'!F268-'Expenditures 15-22'!K210</f>
        <v>95239</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5" t="s">
        <v>965</v>
      </c>
      <c r="B213" s="2186"/>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24379</v>
      </c>
      <c r="E215" s="615"/>
      <c r="F215" s="615"/>
      <c r="G215" s="615"/>
      <c r="H215" s="615"/>
      <c r="I215" s="615"/>
      <c r="J215" s="615"/>
      <c r="K215" s="1665">
        <f>D215</f>
        <v>24379</v>
      </c>
      <c r="L215" s="466">
        <v>12000</v>
      </c>
    </row>
    <row r="216" spans="1:14" x14ac:dyDescent="0.2">
      <c r="A216" s="1502" t="s">
        <v>163</v>
      </c>
      <c r="B216" s="613" t="s">
        <v>967</v>
      </c>
      <c r="C216" s="615"/>
      <c r="D216" s="467">
        <v>0</v>
      </c>
      <c r="E216" s="615"/>
      <c r="F216" s="615"/>
      <c r="G216" s="615"/>
      <c r="H216" s="615"/>
      <c r="I216" s="615"/>
      <c r="J216" s="615"/>
      <c r="K216" s="1665">
        <f t="shared" ref="K216:K228" si="19">D216</f>
        <v>0</v>
      </c>
      <c r="L216" s="466">
        <v>13000</v>
      </c>
    </row>
    <row r="217" spans="1:14" x14ac:dyDescent="0.2">
      <c r="A217" s="1502" t="s">
        <v>164</v>
      </c>
      <c r="B217" s="613">
        <v>1200</v>
      </c>
      <c r="C217" s="615"/>
      <c r="D217" s="466">
        <v>45100</v>
      </c>
      <c r="E217" s="615"/>
      <c r="F217" s="615"/>
      <c r="G217" s="615"/>
      <c r="H217" s="615"/>
      <c r="I217" s="615"/>
      <c r="J217" s="615"/>
      <c r="K217" s="1665">
        <f t="shared" si="19"/>
        <v>45100</v>
      </c>
      <c r="L217" s="466">
        <v>36250</v>
      </c>
    </row>
    <row r="218" spans="1:14" x14ac:dyDescent="0.2">
      <c r="A218" s="1502" t="s">
        <v>278</v>
      </c>
      <c r="B218" s="613" t="s">
        <v>968</v>
      </c>
      <c r="C218" s="615"/>
      <c r="D218" s="467">
        <v>0</v>
      </c>
      <c r="E218" s="615"/>
      <c r="F218" s="615"/>
      <c r="G218" s="615"/>
      <c r="H218" s="615"/>
      <c r="I218" s="615"/>
      <c r="J218" s="615"/>
      <c r="K218" s="1665">
        <f t="shared" si="19"/>
        <v>0</v>
      </c>
      <c r="L218" s="466">
        <v>0</v>
      </c>
    </row>
    <row r="219" spans="1:14" x14ac:dyDescent="0.2">
      <c r="A219" s="1502" t="s">
        <v>279</v>
      </c>
      <c r="B219" s="613">
        <v>1250</v>
      </c>
      <c r="C219" s="615"/>
      <c r="D219" s="466">
        <v>2067</v>
      </c>
      <c r="E219" s="615"/>
      <c r="F219" s="615"/>
      <c r="G219" s="615"/>
      <c r="H219" s="615"/>
      <c r="I219" s="615"/>
      <c r="J219" s="615"/>
      <c r="K219" s="1665">
        <f t="shared" si="19"/>
        <v>2067</v>
      </c>
      <c r="L219" s="466">
        <v>1800</v>
      </c>
    </row>
    <row r="220" spans="1:14" x14ac:dyDescent="0.2">
      <c r="A220" s="1502" t="s">
        <v>280</v>
      </c>
      <c r="B220" s="613" t="s">
        <v>161</v>
      </c>
      <c r="C220" s="615"/>
      <c r="D220" s="467">
        <v>0</v>
      </c>
      <c r="E220" s="615"/>
      <c r="F220" s="615"/>
      <c r="G220" s="615"/>
      <c r="H220" s="615"/>
      <c r="I220" s="615"/>
      <c r="J220" s="615"/>
      <c r="K220" s="1665">
        <f t="shared" si="19"/>
        <v>0</v>
      </c>
      <c r="L220" s="466">
        <v>0</v>
      </c>
    </row>
    <row r="221" spans="1:14" x14ac:dyDescent="0.2">
      <c r="A221" s="1502" t="s">
        <v>962</v>
      </c>
      <c r="B221" s="613">
        <v>1300</v>
      </c>
      <c r="C221" s="615"/>
      <c r="D221" s="466">
        <v>0</v>
      </c>
      <c r="E221" s="615"/>
      <c r="F221" s="615"/>
      <c r="G221" s="615"/>
      <c r="H221" s="615"/>
      <c r="I221" s="615"/>
      <c r="J221" s="615"/>
      <c r="K221" s="1665">
        <f t="shared" si="19"/>
        <v>0</v>
      </c>
      <c r="L221" s="466">
        <v>0</v>
      </c>
    </row>
    <row r="222" spans="1:14" x14ac:dyDescent="0.2">
      <c r="A222" s="1502" t="s">
        <v>723</v>
      </c>
      <c r="B222" s="613">
        <v>1400</v>
      </c>
      <c r="C222" s="615"/>
      <c r="D222" s="466">
        <v>82</v>
      </c>
      <c r="E222" s="615"/>
      <c r="F222" s="615"/>
      <c r="G222" s="615"/>
      <c r="H222" s="615"/>
      <c r="I222" s="615"/>
      <c r="J222" s="615"/>
      <c r="K222" s="1665">
        <f t="shared" si="19"/>
        <v>82</v>
      </c>
      <c r="L222" s="466">
        <v>150</v>
      </c>
    </row>
    <row r="223" spans="1:14" x14ac:dyDescent="0.2">
      <c r="A223" s="1502" t="s">
        <v>963</v>
      </c>
      <c r="B223" s="613">
        <v>1500</v>
      </c>
      <c r="C223" s="615"/>
      <c r="D223" s="466">
        <v>3856</v>
      </c>
      <c r="E223" s="615"/>
      <c r="F223" s="615"/>
      <c r="G223" s="615"/>
      <c r="H223" s="615"/>
      <c r="I223" s="615"/>
      <c r="J223" s="615"/>
      <c r="K223" s="1665">
        <f t="shared" si="19"/>
        <v>3856</v>
      </c>
      <c r="L223" s="466">
        <v>3145</v>
      </c>
    </row>
    <row r="224" spans="1:14" x14ac:dyDescent="0.2">
      <c r="A224" s="1502" t="s">
        <v>964</v>
      </c>
      <c r="B224" s="613">
        <v>1600</v>
      </c>
      <c r="C224" s="615"/>
      <c r="D224" s="466">
        <v>25</v>
      </c>
      <c r="E224" s="615"/>
      <c r="F224" s="615"/>
      <c r="G224" s="615"/>
      <c r="H224" s="615"/>
      <c r="I224" s="615"/>
      <c r="J224" s="615"/>
      <c r="K224" s="1665">
        <f t="shared" si="19"/>
        <v>25</v>
      </c>
      <c r="L224" s="466">
        <v>0</v>
      </c>
    </row>
    <row r="225" spans="1:12" x14ac:dyDescent="0.2">
      <c r="A225" s="1502" t="s">
        <v>987</v>
      </c>
      <c r="B225" s="613">
        <v>1650</v>
      </c>
      <c r="C225" s="615"/>
      <c r="D225" s="466">
        <v>0</v>
      </c>
      <c r="E225" s="615"/>
      <c r="F225" s="615"/>
      <c r="G225" s="615"/>
      <c r="H225" s="615"/>
      <c r="I225" s="615"/>
      <c r="J225" s="615"/>
      <c r="K225" s="1665">
        <f t="shared" si="19"/>
        <v>0</v>
      </c>
      <c r="L225" s="466">
        <v>0</v>
      </c>
    </row>
    <row r="226" spans="1:12" x14ac:dyDescent="0.2">
      <c r="A226" s="1502" t="s">
        <v>724</v>
      </c>
      <c r="B226" s="613" t="s">
        <v>162</v>
      </c>
      <c r="C226" s="615"/>
      <c r="D226" s="467">
        <v>296</v>
      </c>
      <c r="E226" s="615"/>
      <c r="F226" s="615"/>
      <c r="G226" s="615"/>
      <c r="H226" s="615"/>
      <c r="I226" s="615"/>
      <c r="J226" s="615"/>
      <c r="K226" s="1665">
        <f t="shared" si="19"/>
        <v>296</v>
      </c>
      <c r="L226" s="466">
        <v>375</v>
      </c>
    </row>
    <row r="227" spans="1:12" x14ac:dyDescent="0.2">
      <c r="A227" s="1502" t="s">
        <v>1087</v>
      </c>
      <c r="B227" s="613">
        <v>1800</v>
      </c>
      <c r="C227" s="615"/>
      <c r="D227" s="466">
        <v>0</v>
      </c>
      <c r="E227" s="615"/>
      <c r="F227" s="615"/>
      <c r="G227" s="615"/>
      <c r="H227" s="615"/>
      <c r="I227" s="615"/>
      <c r="J227" s="615"/>
      <c r="K227" s="1665">
        <f t="shared" si="19"/>
        <v>0</v>
      </c>
      <c r="L227" s="466">
        <v>0</v>
      </c>
    </row>
    <row r="228" spans="1:12" x14ac:dyDescent="0.2">
      <c r="A228" s="1502" t="s">
        <v>1088</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715</v>
      </c>
      <c r="B229" s="1669" t="s">
        <v>570</v>
      </c>
      <c r="C229" s="615"/>
      <c r="D229" s="1664">
        <f>SUM(D215:D228)</f>
        <v>75805</v>
      </c>
      <c r="E229" s="615"/>
      <c r="F229" s="615"/>
      <c r="G229" s="615"/>
      <c r="H229" s="615"/>
      <c r="I229" s="615"/>
      <c r="J229" s="615"/>
      <c r="K229" s="1664">
        <f>SUM(K215:K228)</f>
        <v>75805</v>
      </c>
      <c r="L229" s="1664">
        <f>SUM(L215:L228)</f>
        <v>66720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656</v>
      </c>
      <c r="E232" s="615"/>
      <c r="F232" s="615"/>
      <c r="G232" s="615"/>
      <c r="H232" s="615"/>
      <c r="I232" s="615"/>
      <c r="J232" s="615"/>
      <c r="K232" s="1665">
        <f t="shared" ref="K232:K237" si="20">D232</f>
        <v>656</v>
      </c>
      <c r="L232" s="466">
        <v>0</v>
      </c>
    </row>
    <row r="233" spans="1:12" x14ac:dyDescent="0.2">
      <c r="A233" s="1502" t="s">
        <v>1090</v>
      </c>
      <c r="B233" s="613">
        <v>2120</v>
      </c>
      <c r="C233" s="615"/>
      <c r="D233" s="466">
        <v>980</v>
      </c>
      <c r="E233" s="615"/>
      <c r="F233" s="615"/>
      <c r="G233" s="615"/>
      <c r="H233" s="615"/>
      <c r="I233" s="615"/>
      <c r="J233" s="615"/>
      <c r="K233" s="1665">
        <f t="shared" si="20"/>
        <v>980</v>
      </c>
      <c r="L233" s="466">
        <v>1250</v>
      </c>
    </row>
    <row r="234" spans="1:12" x14ac:dyDescent="0.2">
      <c r="A234" s="1502" t="s">
        <v>198</v>
      </c>
      <c r="B234" s="613">
        <v>2130</v>
      </c>
      <c r="C234" s="615"/>
      <c r="D234" s="466">
        <v>6590</v>
      </c>
      <c r="E234" s="615"/>
      <c r="F234" s="615"/>
      <c r="G234" s="615"/>
      <c r="H234" s="615"/>
      <c r="I234" s="615"/>
      <c r="J234" s="615"/>
      <c r="K234" s="1665">
        <f t="shared" si="20"/>
        <v>6590</v>
      </c>
      <c r="L234" s="466">
        <v>7100</v>
      </c>
    </row>
    <row r="235" spans="1:12" x14ac:dyDescent="0.2">
      <c r="A235" s="1502" t="s">
        <v>199</v>
      </c>
      <c r="B235" s="613">
        <v>2140</v>
      </c>
      <c r="C235" s="615"/>
      <c r="D235" s="466">
        <v>0</v>
      </c>
      <c r="E235" s="615"/>
      <c r="F235" s="615"/>
      <c r="G235" s="615"/>
      <c r="H235" s="615"/>
      <c r="I235" s="615"/>
      <c r="J235" s="615"/>
      <c r="K235" s="1665">
        <f t="shared" si="20"/>
        <v>0</v>
      </c>
      <c r="L235" s="466">
        <v>0</v>
      </c>
    </row>
    <row r="236" spans="1:12" x14ac:dyDescent="0.2">
      <c r="A236" s="1502" t="s">
        <v>200</v>
      </c>
      <c r="B236" s="613">
        <v>2150</v>
      </c>
      <c r="C236" s="615"/>
      <c r="D236" s="466">
        <v>1185</v>
      </c>
      <c r="E236" s="615"/>
      <c r="F236" s="615"/>
      <c r="G236" s="615"/>
      <c r="H236" s="615"/>
      <c r="I236" s="615"/>
      <c r="J236" s="615"/>
      <c r="K236" s="1665">
        <f t="shared" si="20"/>
        <v>1185</v>
      </c>
      <c r="L236" s="466">
        <v>1200</v>
      </c>
    </row>
    <row r="237" spans="1:12" x14ac:dyDescent="0.2">
      <c r="A237" s="1502" t="s">
        <v>165</v>
      </c>
      <c r="B237" s="613">
        <v>2190</v>
      </c>
      <c r="C237" s="615"/>
      <c r="D237" s="466">
        <v>0</v>
      </c>
      <c r="E237" s="615"/>
      <c r="F237" s="615"/>
      <c r="G237" s="615"/>
      <c r="H237" s="615"/>
      <c r="I237" s="615"/>
      <c r="J237" s="615"/>
      <c r="K237" s="1665">
        <f t="shared" si="20"/>
        <v>0</v>
      </c>
      <c r="L237" s="466">
        <v>0</v>
      </c>
    </row>
    <row r="238" spans="1:12" ht="12.75" customHeight="1" thickBot="1" x14ac:dyDescent="0.25">
      <c r="A238" s="1662" t="s">
        <v>560</v>
      </c>
      <c r="B238" s="1669" t="s">
        <v>716</v>
      </c>
      <c r="C238" s="615"/>
      <c r="D238" s="1664">
        <f>SUM(D232:D237)</f>
        <v>9411</v>
      </c>
      <c r="E238" s="615"/>
      <c r="F238" s="615"/>
      <c r="G238" s="615"/>
      <c r="H238" s="615"/>
      <c r="I238" s="615"/>
      <c r="J238" s="615"/>
      <c r="K238" s="1664">
        <f>SUM(K232:K237)</f>
        <v>9411</v>
      </c>
      <c r="L238" s="1664">
        <f>SUM(L232:L237)</f>
        <v>9550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18</v>
      </c>
      <c r="E240" s="615"/>
      <c r="F240" s="615"/>
      <c r="G240" s="615"/>
      <c r="H240" s="615"/>
      <c r="I240" s="615"/>
      <c r="J240" s="615"/>
      <c r="K240" s="1666">
        <f>D240</f>
        <v>18</v>
      </c>
      <c r="L240" s="568">
        <v>110</v>
      </c>
    </row>
    <row r="241" spans="1:12" x14ac:dyDescent="0.2">
      <c r="A241" s="1502" t="s">
        <v>815</v>
      </c>
      <c r="B241" s="613">
        <v>2220</v>
      </c>
      <c r="C241" s="615"/>
      <c r="D241" s="466">
        <v>3760</v>
      </c>
      <c r="E241" s="615"/>
      <c r="F241" s="615"/>
      <c r="G241" s="615"/>
      <c r="H241" s="615"/>
      <c r="I241" s="615"/>
      <c r="J241" s="615"/>
      <c r="K241" s="1666">
        <f>D241</f>
        <v>3760</v>
      </c>
      <c r="L241" s="466">
        <v>4900</v>
      </c>
    </row>
    <row r="242" spans="1:12" x14ac:dyDescent="0.2">
      <c r="A242" s="1502" t="s">
        <v>816</v>
      </c>
      <c r="B242" s="613">
        <v>2230</v>
      </c>
      <c r="C242" s="615"/>
      <c r="D242" s="466">
        <v>0</v>
      </c>
      <c r="E242" s="615"/>
      <c r="F242" s="615"/>
      <c r="G242" s="615"/>
      <c r="H242" s="615"/>
      <c r="I242" s="615"/>
      <c r="J242" s="615"/>
      <c r="K242" s="1666">
        <f>D242</f>
        <v>0</v>
      </c>
      <c r="L242" s="466">
        <v>0</v>
      </c>
    </row>
    <row r="243" spans="1:12" ht="12.75" customHeight="1" thickBot="1" x14ac:dyDescent="0.25">
      <c r="A243" s="1688" t="s">
        <v>561</v>
      </c>
      <c r="B243" s="1689">
        <v>2200</v>
      </c>
      <c r="C243" s="615"/>
      <c r="D243" s="1664">
        <f>SUM(D240:D242)</f>
        <v>3778</v>
      </c>
      <c r="E243" s="615"/>
      <c r="F243" s="615"/>
      <c r="G243" s="615"/>
      <c r="H243" s="615"/>
      <c r="I243" s="615"/>
      <c r="J243" s="615"/>
      <c r="K243" s="1664">
        <f>SUM(K240:K242)</f>
        <v>3778</v>
      </c>
      <c r="L243" s="1664">
        <f>SUM(L240:L242)</f>
        <v>5010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6">
        <f>D245</f>
        <v>0</v>
      </c>
      <c r="L245" s="568">
        <v>0</v>
      </c>
    </row>
    <row r="246" spans="1:12" x14ac:dyDescent="0.2">
      <c r="A246" s="1502" t="s">
        <v>818</v>
      </c>
      <c r="B246" s="613">
        <v>2320</v>
      </c>
      <c r="C246" s="615"/>
      <c r="D246" s="466">
        <v>9540</v>
      </c>
      <c r="E246" s="615"/>
      <c r="F246" s="615"/>
      <c r="G246" s="615"/>
      <c r="H246" s="615"/>
      <c r="I246" s="615"/>
      <c r="J246" s="615"/>
      <c r="K246" s="1666">
        <f t="shared" ref="K246:K256" si="21">D246</f>
        <v>9540</v>
      </c>
      <c r="L246" s="466">
        <v>9850</v>
      </c>
    </row>
    <row r="247" spans="1:12" x14ac:dyDescent="0.2">
      <c r="A247" s="1502" t="s">
        <v>819</v>
      </c>
      <c r="B247" s="613">
        <v>2330</v>
      </c>
      <c r="C247" s="615"/>
      <c r="D247" s="466">
        <v>0</v>
      </c>
      <c r="E247" s="615"/>
      <c r="F247" s="615"/>
      <c r="G247" s="615"/>
      <c r="H247" s="615"/>
      <c r="I247" s="615"/>
      <c r="J247" s="615"/>
      <c r="K247" s="1666">
        <f t="shared" si="21"/>
        <v>0</v>
      </c>
      <c r="L247" s="466">
        <v>0</v>
      </c>
    </row>
    <row r="248" spans="1:12" x14ac:dyDescent="0.2">
      <c r="A248" s="1503" t="s">
        <v>299</v>
      </c>
      <c r="B248" s="601" t="s">
        <v>281</v>
      </c>
      <c r="C248" s="615"/>
      <c r="D248" s="474">
        <v>0</v>
      </c>
      <c r="E248" s="615"/>
      <c r="F248" s="615"/>
      <c r="G248" s="615"/>
      <c r="H248" s="615"/>
      <c r="I248" s="615"/>
      <c r="J248" s="615"/>
      <c r="K248" s="1666">
        <f t="shared" si="21"/>
        <v>0</v>
      </c>
      <c r="L248" s="466">
        <v>0</v>
      </c>
    </row>
    <row r="249" spans="1:12" x14ac:dyDescent="0.2">
      <c r="A249" s="1504" t="s">
        <v>1805</v>
      </c>
      <c r="B249" s="681" t="s">
        <v>282</v>
      </c>
      <c r="C249" s="615"/>
      <c r="D249" s="474">
        <v>0</v>
      </c>
      <c r="E249" s="615"/>
      <c r="F249" s="615"/>
      <c r="G249" s="615"/>
      <c r="H249" s="615"/>
      <c r="I249" s="615"/>
      <c r="J249" s="615"/>
      <c r="K249" s="1666">
        <f t="shared" si="21"/>
        <v>0</v>
      </c>
      <c r="L249" s="466">
        <v>0</v>
      </c>
    </row>
    <row r="250" spans="1:12" x14ac:dyDescent="0.2">
      <c r="A250" s="1503" t="s">
        <v>1806</v>
      </c>
      <c r="B250" s="601" t="s">
        <v>283</v>
      </c>
      <c r="C250" s="615"/>
      <c r="D250" s="474">
        <v>0</v>
      </c>
      <c r="E250" s="615"/>
      <c r="F250" s="615"/>
      <c r="G250" s="615"/>
      <c r="H250" s="615"/>
      <c r="I250" s="615"/>
      <c r="J250" s="615"/>
      <c r="K250" s="1666">
        <f t="shared" si="21"/>
        <v>0</v>
      </c>
      <c r="L250" s="466">
        <v>0</v>
      </c>
    </row>
    <row r="251" spans="1:12" x14ac:dyDescent="0.2">
      <c r="A251" s="1503" t="s">
        <v>238</v>
      </c>
      <c r="B251" s="601" t="s">
        <v>284</v>
      </c>
      <c r="C251" s="615"/>
      <c r="D251" s="474">
        <v>0</v>
      </c>
      <c r="E251" s="615"/>
      <c r="F251" s="615"/>
      <c r="G251" s="615"/>
      <c r="H251" s="615"/>
      <c r="I251" s="615"/>
      <c r="J251" s="615"/>
      <c r="K251" s="1666">
        <f t="shared" si="21"/>
        <v>0</v>
      </c>
      <c r="L251" s="466">
        <v>0</v>
      </c>
    </row>
    <row r="252" spans="1:12" x14ac:dyDescent="0.2">
      <c r="A252" s="1503" t="s">
        <v>702</v>
      </c>
      <c r="B252" s="601" t="s">
        <v>285</v>
      </c>
      <c r="C252" s="615"/>
      <c r="D252" s="474">
        <v>0</v>
      </c>
      <c r="E252" s="615"/>
      <c r="F252" s="615"/>
      <c r="G252" s="615"/>
      <c r="H252" s="615"/>
      <c r="I252" s="615"/>
      <c r="J252" s="615"/>
      <c r="K252" s="1666">
        <f t="shared" si="21"/>
        <v>0</v>
      </c>
      <c r="L252" s="466">
        <v>0</v>
      </c>
    </row>
    <row r="253" spans="1:12" x14ac:dyDescent="0.2">
      <c r="A253" s="1503" t="s">
        <v>239</v>
      </c>
      <c r="B253" s="601" t="s">
        <v>286</v>
      </c>
      <c r="C253" s="615"/>
      <c r="D253" s="474">
        <v>0</v>
      </c>
      <c r="E253" s="615"/>
      <c r="F253" s="615"/>
      <c r="G253" s="615"/>
      <c r="H253" s="615"/>
      <c r="I253" s="615"/>
      <c r="J253" s="615"/>
      <c r="K253" s="1666">
        <f t="shared" si="21"/>
        <v>0</v>
      </c>
      <c r="L253" s="466">
        <v>0</v>
      </c>
    </row>
    <row r="254" spans="1:12" ht="22.5" x14ac:dyDescent="0.2">
      <c r="A254" s="1503" t="s">
        <v>1029</v>
      </c>
      <c r="B254" s="681" t="s">
        <v>287</v>
      </c>
      <c r="C254" s="615"/>
      <c r="D254" s="474">
        <v>0</v>
      </c>
      <c r="E254" s="615"/>
      <c r="F254" s="615"/>
      <c r="G254" s="615"/>
      <c r="H254" s="615"/>
      <c r="I254" s="615"/>
      <c r="J254" s="615"/>
      <c r="K254" s="1666">
        <f t="shared" si="21"/>
        <v>0</v>
      </c>
      <c r="L254" s="466">
        <v>0</v>
      </c>
    </row>
    <row r="255" spans="1:12" x14ac:dyDescent="0.2">
      <c r="A255" s="1503" t="s">
        <v>1030</v>
      </c>
      <c r="B255" s="601" t="s">
        <v>288</v>
      </c>
      <c r="C255" s="615"/>
      <c r="D255" s="474">
        <v>0</v>
      </c>
      <c r="E255" s="615"/>
      <c r="F255" s="615"/>
      <c r="G255" s="615"/>
      <c r="H255" s="615"/>
      <c r="I255" s="615"/>
      <c r="J255" s="615"/>
      <c r="K255" s="1666">
        <f t="shared" si="21"/>
        <v>0</v>
      </c>
      <c r="L255" s="466">
        <v>0</v>
      </c>
    </row>
    <row r="256" spans="1:12" x14ac:dyDescent="0.2">
      <c r="A256" s="1503" t="s">
        <v>971</v>
      </c>
      <c r="B256" s="613" t="s">
        <v>289</v>
      </c>
      <c r="C256" s="615"/>
      <c r="D256" s="474">
        <v>0</v>
      </c>
      <c r="E256" s="615"/>
      <c r="F256" s="615"/>
      <c r="G256" s="615"/>
      <c r="H256" s="615"/>
      <c r="I256" s="615"/>
      <c r="J256" s="615"/>
      <c r="K256" s="1666">
        <f t="shared" si="21"/>
        <v>0</v>
      </c>
      <c r="L256" s="466">
        <v>0</v>
      </c>
    </row>
    <row r="257" spans="1:14" ht="12.75" customHeight="1" thickBot="1" x14ac:dyDescent="0.25">
      <c r="A257" s="1662" t="s">
        <v>717</v>
      </c>
      <c r="B257" s="1690">
        <v>2300</v>
      </c>
      <c r="C257" s="615"/>
      <c r="D257" s="1664">
        <f>SUM(D245:D256)</f>
        <v>9540</v>
      </c>
      <c r="E257" s="615"/>
      <c r="F257" s="615"/>
      <c r="G257" s="615"/>
      <c r="H257" s="615"/>
      <c r="I257" s="615"/>
      <c r="J257" s="615"/>
      <c r="K257" s="1664">
        <f>SUM(K245:K256)</f>
        <v>9540</v>
      </c>
      <c r="L257" s="1664">
        <f>SUM(L245:L256)</f>
        <v>9850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17104</v>
      </c>
      <c r="E259" s="615"/>
      <c r="F259" s="615"/>
      <c r="G259" s="615"/>
      <c r="H259" s="615"/>
      <c r="I259" s="615"/>
      <c r="J259" s="615"/>
      <c r="K259" s="1666">
        <f>D259</f>
        <v>17104</v>
      </c>
      <c r="L259" s="568">
        <v>22100</v>
      </c>
    </row>
    <row r="260" spans="1:14" s="596" customFormat="1" x14ac:dyDescent="0.2">
      <c r="A260" s="1520" t="s">
        <v>1804</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17104</v>
      </c>
      <c r="E261" s="615"/>
      <c r="F261" s="615"/>
      <c r="G261" s="615"/>
      <c r="H261" s="615"/>
      <c r="I261" s="615"/>
      <c r="J261" s="615"/>
      <c r="K261" s="1664">
        <f>SUM(K259:K260)</f>
        <v>17104</v>
      </c>
      <c r="L261" s="1664">
        <f>SUM(L259:L260)</f>
        <v>22100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v>0</v>
      </c>
    </row>
    <row r="264" spans="1:14" x14ac:dyDescent="0.2">
      <c r="A264" s="1502" t="s">
        <v>463</v>
      </c>
      <c r="B264" s="683">
        <v>2520</v>
      </c>
      <c r="C264" s="615"/>
      <c r="D264" s="466">
        <v>8026</v>
      </c>
      <c r="E264" s="615"/>
      <c r="F264" s="615"/>
      <c r="G264" s="615"/>
      <c r="H264" s="615"/>
      <c r="I264" s="615"/>
      <c r="J264" s="615"/>
      <c r="K264" s="1666">
        <f t="shared" ref="K264:K269" si="22">D264</f>
        <v>8026</v>
      </c>
      <c r="L264" s="466">
        <v>10200</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41303</v>
      </c>
      <c r="E266" s="615"/>
      <c r="F266" s="615"/>
      <c r="G266" s="615"/>
      <c r="H266" s="615"/>
      <c r="I266" s="615"/>
      <c r="J266" s="615"/>
      <c r="K266" s="1666">
        <f t="shared" si="22"/>
        <v>41303</v>
      </c>
      <c r="L266" s="466">
        <v>44520</v>
      </c>
    </row>
    <row r="267" spans="1:14" x14ac:dyDescent="0.2">
      <c r="A267" s="1502" t="s">
        <v>953</v>
      </c>
      <c r="B267" s="613">
        <v>2550</v>
      </c>
      <c r="C267" s="615"/>
      <c r="D267" s="466">
        <v>18248</v>
      </c>
      <c r="E267" s="615"/>
      <c r="F267" s="615"/>
      <c r="G267" s="615"/>
      <c r="H267" s="615"/>
      <c r="I267" s="615"/>
      <c r="J267" s="615"/>
      <c r="K267" s="1666">
        <f t="shared" si="22"/>
        <v>18248</v>
      </c>
      <c r="L267" s="466">
        <v>25300</v>
      </c>
    </row>
    <row r="268" spans="1:14" x14ac:dyDescent="0.2">
      <c r="A268" s="1502" t="s">
        <v>100</v>
      </c>
      <c r="B268" s="613">
        <v>2560</v>
      </c>
      <c r="C268" s="615"/>
      <c r="D268" s="466">
        <v>15840</v>
      </c>
      <c r="E268" s="615"/>
      <c r="F268" s="615"/>
      <c r="G268" s="615"/>
      <c r="H268" s="615"/>
      <c r="I268" s="615"/>
      <c r="J268" s="615"/>
      <c r="K268" s="1666">
        <f t="shared" si="22"/>
        <v>15840</v>
      </c>
      <c r="L268" s="466">
        <v>19500</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719</v>
      </c>
      <c r="B270" s="1669" t="s">
        <v>35</v>
      </c>
      <c r="C270" s="615"/>
      <c r="D270" s="1664">
        <f>SUM(D263:D269)</f>
        <v>83417</v>
      </c>
      <c r="E270" s="615"/>
      <c r="F270" s="615"/>
      <c r="G270" s="615"/>
      <c r="H270" s="615"/>
      <c r="I270" s="615"/>
      <c r="J270" s="615"/>
      <c r="K270" s="1664">
        <f>SUM(K263:K269)</f>
        <v>83417</v>
      </c>
      <c r="L270" s="1664">
        <f>SUM(L263:L269)</f>
        <v>99520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v>0</v>
      </c>
    </row>
    <row r="273" spans="1:12" x14ac:dyDescent="0.2">
      <c r="A273" s="1502" t="s">
        <v>607</v>
      </c>
      <c r="B273" s="627">
        <v>2620</v>
      </c>
      <c r="C273" s="615"/>
      <c r="D273" s="466">
        <v>0</v>
      </c>
      <c r="E273" s="615"/>
      <c r="F273" s="615"/>
      <c r="G273" s="615"/>
      <c r="H273" s="615"/>
      <c r="I273" s="615"/>
      <c r="J273" s="615"/>
      <c r="K273" s="1666">
        <f>D273</f>
        <v>0</v>
      </c>
      <c r="L273" s="466">
        <v>0</v>
      </c>
    </row>
    <row r="274" spans="1:12" ht="12" customHeight="1" x14ac:dyDescent="0.2">
      <c r="A274" s="1502" t="s">
        <v>1061</v>
      </c>
      <c r="B274" s="613">
        <v>2630</v>
      </c>
      <c r="C274" s="615"/>
      <c r="D274" s="466">
        <v>0</v>
      </c>
      <c r="E274" s="615"/>
      <c r="F274" s="615"/>
      <c r="G274" s="615"/>
      <c r="H274" s="615"/>
      <c r="I274" s="615"/>
      <c r="J274" s="615"/>
      <c r="K274" s="1666">
        <f>D274</f>
        <v>0</v>
      </c>
      <c r="L274" s="466">
        <v>0</v>
      </c>
    </row>
    <row r="275" spans="1:12" x14ac:dyDescent="0.2">
      <c r="A275" s="1502" t="s">
        <v>403</v>
      </c>
      <c r="B275" s="613">
        <v>2640</v>
      </c>
      <c r="C275" s="615"/>
      <c r="D275" s="466">
        <v>0</v>
      </c>
      <c r="E275" s="615"/>
      <c r="F275" s="615"/>
      <c r="G275" s="615"/>
      <c r="H275" s="615"/>
      <c r="I275" s="615"/>
      <c r="J275" s="615"/>
      <c r="K275" s="1666">
        <f>D275</f>
        <v>0</v>
      </c>
      <c r="L275" s="466">
        <v>0</v>
      </c>
    </row>
    <row r="276" spans="1:12" x14ac:dyDescent="0.2">
      <c r="A276" s="1502" t="s">
        <v>404</v>
      </c>
      <c r="B276" s="613">
        <v>2660</v>
      </c>
      <c r="C276" s="615"/>
      <c r="D276" s="466">
        <v>0</v>
      </c>
      <c r="E276" s="615"/>
      <c r="F276" s="615"/>
      <c r="G276" s="615"/>
      <c r="H276" s="615"/>
      <c r="I276" s="615"/>
      <c r="J276" s="615"/>
      <c r="K276" s="1666">
        <f>D276</f>
        <v>0</v>
      </c>
      <c r="L276" s="466">
        <v>0</v>
      </c>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v>0</v>
      </c>
    </row>
    <row r="279" spans="1:12" ht="12.75" customHeight="1" thickBot="1" x14ac:dyDescent="0.25">
      <c r="A279" s="1692" t="s">
        <v>811</v>
      </c>
      <c r="B279" s="1675">
        <v>2000</v>
      </c>
      <c r="C279" s="615"/>
      <c r="D279" s="1671">
        <f>SUM(D238,D243,D257,D261,D270,D277,D278)</f>
        <v>123250</v>
      </c>
      <c r="E279" s="615"/>
      <c r="F279" s="615"/>
      <c r="G279" s="615"/>
      <c r="H279" s="615"/>
      <c r="I279" s="615"/>
      <c r="J279" s="615"/>
      <c r="K279" s="1671">
        <f>SUM(K238,K243,K257,K261,K270,K277,K278)</f>
        <v>123250</v>
      </c>
      <c r="L279" s="1671">
        <f>SUM(L238,L243,L257,L261,L270,L277,L278)</f>
        <v>146030</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v>190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v>0</v>
      </c>
    </row>
    <row r="283" spans="1:12" x14ac:dyDescent="0.2">
      <c r="A283" s="1502" t="s">
        <v>304</v>
      </c>
      <c r="B283" s="613">
        <v>4120</v>
      </c>
      <c r="C283" s="615"/>
      <c r="D283" s="466">
        <v>0</v>
      </c>
      <c r="E283" s="615"/>
      <c r="F283" s="615"/>
      <c r="G283" s="615"/>
      <c r="H283" s="615"/>
      <c r="I283" s="615"/>
      <c r="J283" s="615"/>
      <c r="K283" s="1665">
        <f>D283</f>
        <v>0</v>
      </c>
      <c r="L283" s="466">
        <v>0</v>
      </c>
    </row>
    <row r="284" spans="1:12" x14ac:dyDescent="0.2">
      <c r="A284" s="1502" t="s">
        <v>697</v>
      </c>
      <c r="B284" s="613">
        <v>4140</v>
      </c>
      <c r="C284" s="615"/>
      <c r="D284" s="467">
        <v>0</v>
      </c>
      <c r="E284" s="615"/>
      <c r="F284" s="615"/>
      <c r="G284" s="615"/>
      <c r="H284" s="615"/>
      <c r="I284" s="615"/>
      <c r="J284" s="615"/>
      <c r="K284" s="1665">
        <f>D284</f>
        <v>0</v>
      </c>
      <c r="L284" s="466">
        <v>0</v>
      </c>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1170</v>
      </c>
      <c r="B290" s="627" t="s">
        <v>617</v>
      </c>
      <c r="C290" s="615"/>
      <c r="D290" s="615"/>
      <c r="E290" s="615"/>
      <c r="F290" s="615"/>
      <c r="G290" s="615"/>
      <c r="H290" s="466">
        <v>0</v>
      </c>
      <c r="I290" s="615"/>
      <c r="J290" s="615"/>
      <c r="K290" s="1665">
        <f>H290</f>
        <v>0</v>
      </c>
      <c r="L290" s="466">
        <v>0</v>
      </c>
    </row>
    <row r="291" spans="1:14" x14ac:dyDescent="0.2">
      <c r="A291" s="1502" t="s">
        <v>89</v>
      </c>
      <c r="B291" s="613" t="s">
        <v>589</v>
      </c>
      <c r="C291" s="615"/>
      <c r="D291" s="615"/>
      <c r="E291" s="615"/>
      <c r="F291" s="615"/>
      <c r="G291" s="615"/>
      <c r="H291" s="466">
        <v>0</v>
      </c>
      <c r="I291" s="615"/>
      <c r="J291" s="615"/>
      <c r="K291" s="1665">
        <f>H291</f>
        <v>0</v>
      </c>
      <c r="L291" s="466">
        <v>0</v>
      </c>
    </row>
    <row r="292" spans="1:14" x14ac:dyDescent="0.2">
      <c r="A292" s="1502" t="s">
        <v>762</v>
      </c>
      <c r="B292" s="613" t="s">
        <v>618</v>
      </c>
      <c r="C292" s="615"/>
      <c r="D292" s="615"/>
      <c r="E292" s="615"/>
      <c r="F292" s="615"/>
      <c r="G292" s="615"/>
      <c r="H292" s="466">
        <v>0</v>
      </c>
      <c r="I292" s="615"/>
      <c r="J292" s="615"/>
      <c r="K292" s="1665">
        <f>H292</f>
        <v>0</v>
      </c>
      <c r="L292" s="466">
        <v>0</v>
      </c>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81" t="s">
        <v>505</v>
      </c>
      <c r="B295" s="2182"/>
      <c r="C295" s="615"/>
      <c r="D295" s="1664">
        <f>SUM(D229,D279,D280,D285)</f>
        <v>199055</v>
      </c>
      <c r="E295" s="615"/>
      <c r="F295" s="615"/>
      <c r="G295" s="615"/>
      <c r="H295" s="1664">
        <f>H293</f>
        <v>0</v>
      </c>
      <c r="I295" s="615"/>
      <c r="J295" s="615"/>
      <c r="K295" s="1664">
        <f>SUM(K229,K279,K280,K285,K293,K294)</f>
        <v>199055</v>
      </c>
      <c r="L295" s="1664">
        <f>SUM(L229,L279,L280,L285,L293,L294)</f>
        <v>212940</v>
      </c>
    </row>
    <row r="296" spans="1:14" ht="13.5" thickTop="1" x14ac:dyDescent="0.2">
      <c r="A296" s="2190" t="s">
        <v>996</v>
      </c>
      <c r="B296" s="2191"/>
      <c r="C296" s="615"/>
      <c r="D296" s="617"/>
      <c r="E296" s="615"/>
      <c r="F296" s="615"/>
      <c r="G296" s="615"/>
      <c r="H296" s="685"/>
      <c r="I296" s="615"/>
      <c r="J296" s="615"/>
      <c r="K296" s="1678">
        <f>'Revenues 9-14'!G268-'Expenditures 15-22'!K295</f>
        <v>15008</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3" t="s">
        <v>143</v>
      </c>
      <c r="B298" s="2167"/>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372</v>
      </c>
      <c r="G301" s="466">
        <v>198606</v>
      </c>
      <c r="H301" s="466">
        <v>0</v>
      </c>
      <c r="I301" s="466">
        <v>0</v>
      </c>
      <c r="J301" s="466">
        <v>0</v>
      </c>
      <c r="K301" s="1665">
        <f>SUM(C301:J301)</f>
        <v>198978</v>
      </c>
      <c r="L301" s="467">
        <v>475000</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372</v>
      </c>
      <c r="G303" s="1671">
        <f t="shared" si="23"/>
        <v>198606</v>
      </c>
      <c r="H303" s="1671">
        <f t="shared" si="23"/>
        <v>0</v>
      </c>
      <c r="I303" s="1671">
        <f t="shared" si="23"/>
        <v>0</v>
      </c>
      <c r="J303" s="1671">
        <f t="shared" si="23"/>
        <v>0</v>
      </c>
      <c r="K303" s="1671">
        <f t="shared" si="23"/>
        <v>198978</v>
      </c>
      <c r="L303" s="1671">
        <f t="shared" si="23"/>
        <v>475000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v>0</v>
      </c>
    </row>
    <row r="307" spans="1:14" x14ac:dyDescent="0.2">
      <c r="A307" s="1502" t="s">
        <v>304</v>
      </c>
      <c r="B307" s="613">
        <v>4120</v>
      </c>
      <c r="C307" s="615"/>
      <c r="D307" s="615"/>
      <c r="E307" s="466">
        <v>0</v>
      </c>
      <c r="F307" s="615"/>
      <c r="G307" s="615"/>
      <c r="H307" s="466">
        <v>0</v>
      </c>
      <c r="I307" s="477"/>
      <c r="J307" s="615"/>
      <c r="K307" s="1665">
        <f>SUM(E307,H307)</f>
        <v>0</v>
      </c>
      <c r="L307" s="466">
        <v>0</v>
      </c>
    </row>
    <row r="308" spans="1:14" x14ac:dyDescent="0.2">
      <c r="A308" s="1502" t="s">
        <v>697</v>
      </c>
      <c r="B308" s="613">
        <v>4140</v>
      </c>
      <c r="C308" s="615"/>
      <c r="D308" s="615"/>
      <c r="E308" s="466">
        <v>0</v>
      </c>
      <c r="F308" s="615"/>
      <c r="G308" s="615"/>
      <c r="H308" s="466">
        <v>0</v>
      </c>
      <c r="I308" s="477"/>
      <c r="J308" s="615"/>
      <c r="K308" s="1665">
        <f>SUM(E308,H308)</f>
        <v>0</v>
      </c>
      <c r="L308" s="466">
        <v>0</v>
      </c>
    </row>
    <row r="309" spans="1:14" ht="12.75" customHeight="1" x14ac:dyDescent="0.2">
      <c r="A309" s="1506" t="s">
        <v>698</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8" t="s">
        <v>277</v>
      </c>
      <c r="B312" s="2179"/>
      <c r="C312" s="1664">
        <f>SUM(C303)</f>
        <v>0</v>
      </c>
      <c r="D312" s="1664">
        <f>SUM(D303)</f>
        <v>0</v>
      </c>
      <c r="E312" s="1664">
        <f>SUM(E303,E310)</f>
        <v>0</v>
      </c>
      <c r="F312" s="1664">
        <f>SUM(F303)</f>
        <v>372</v>
      </c>
      <c r="G312" s="1664">
        <f>SUM(G303)</f>
        <v>198606</v>
      </c>
      <c r="H312" s="1664">
        <f>SUM(H303,H310)</f>
        <v>0</v>
      </c>
      <c r="I312" s="1664">
        <f>SUM(I303)</f>
        <v>0</v>
      </c>
      <c r="J312" s="1664">
        <f>SUM(J303)</f>
        <v>0</v>
      </c>
      <c r="K312" s="1664">
        <f>SUM(K303,K310,K311)</f>
        <v>198978</v>
      </c>
      <c r="L312" s="1664">
        <f>SUM(L303,L310,L311)</f>
        <v>475000</v>
      </c>
      <c r="M312" s="663"/>
      <c r="N312" s="663"/>
    </row>
    <row r="313" spans="1:14" ht="13.5" thickTop="1" x14ac:dyDescent="0.2">
      <c r="A313" s="2174" t="s">
        <v>996</v>
      </c>
      <c r="B313" s="2175"/>
      <c r="C313" s="625"/>
      <c r="D313" s="625"/>
      <c r="E313" s="625"/>
      <c r="F313" s="625"/>
      <c r="G313" s="625"/>
      <c r="H313" s="625"/>
      <c r="I313" s="625"/>
      <c r="J313" s="625"/>
      <c r="K313" s="1679">
        <f>'Revenues 9-14'!H268-'Expenditures 15-22'!K312</f>
        <v>-18287</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7" t="s">
        <v>149</v>
      </c>
      <c r="B315" s="2188"/>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9" t="s">
        <v>898</v>
      </c>
      <c r="B317" s="2188"/>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1805</v>
      </c>
      <c r="B320" s="696" t="s">
        <v>282</v>
      </c>
      <c r="C320" s="467">
        <v>0</v>
      </c>
      <c r="D320" s="467">
        <v>0</v>
      </c>
      <c r="E320" s="467">
        <v>25956</v>
      </c>
      <c r="F320" s="467">
        <v>0</v>
      </c>
      <c r="G320" s="467">
        <v>0</v>
      </c>
      <c r="H320" s="467">
        <v>0</v>
      </c>
      <c r="I320" s="467">
        <v>0</v>
      </c>
      <c r="J320" s="467">
        <v>0</v>
      </c>
      <c r="K320" s="1665">
        <f t="shared" ref="K320:K327" si="24">SUM(C320:J320)</f>
        <v>25956</v>
      </c>
      <c r="L320" s="467">
        <v>60000</v>
      </c>
      <c r="M320" s="663"/>
      <c r="N320" s="663"/>
    </row>
    <row r="321" spans="1:14" s="672" customFormat="1" x14ac:dyDescent="0.2">
      <c r="A321" s="1517" t="s">
        <v>300</v>
      </c>
      <c r="B321" s="695" t="s">
        <v>283</v>
      </c>
      <c r="C321" s="467">
        <v>0</v>
      </c>
      <c r="D321" s="467">
        <v>0</v>
      </c>
      <c r="E321" s="467">
        <v>20856</v>
      </c>
      <c r="F321" s="467">
        <v>0</v>
      </c>
      <c r="G321" s="467">
        <v>0</v>
      </c>
      <c r="H321" s="467">
        <v>0</v>
      </c>
      <c r="I321" s="467">
        <v>0</v>
      </c>
      <c r="J321" s="467">
        <v>0</v>
      </c>
      <c r="K321" s="1665">
        <f t="shared" si="24"/>
        <v>20856</v>
      </c>
      <c r="L321" s="467">
        <v>40000</v>
      </c>
      <c r="M321" s="663"/>
      <c r="N321" s="663"/>
    </row>
    <row r="322" spans="1:14" s="672" customFormat="1" x14ac:dyDescent="0.2">
      <c r="A322" s="1517" t="s">
        <v>238</v>
      </c>
      <c r="B322" s="695" t="s">
        <v>284</v>
      </c>
      <c r="C322" s="467">
        <v>0</v>
      </c>
      <c r="D322" s="467">
        <v>0</v>
      </c>
      <c r="E322" s="467">
        <v>60092</v>
      </c>
      <c r="F322" s="467">
        <v>0</v>
      </c>
      <c r="G322" s="467">
        <v>0</v>
      </c>
      <c r="H322" s="467">
        <v>0</v>
      </c>
      <c r="I322" s="467">
        <v>0</v>
      </c>
      <c r="J322" s="467">
        <v>0</v>
      </c>
      <c r="K322" s="1665">
        <f t="shared" si="24"/>
        <v>60092</v>
      </c>
      <c r="L322" s="467">
        <v>0</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v>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1029</v>
      </c>
      <c r="B325" s="696" t="s">
        <v>287</v>
      </c>
      <c r="C325" s="467">
        <v>0</v>
      </c>
      <c r="D325" s="467">
        <v>0</v>
      </c>
      <c r="E325" s="467">
        <v>0</v>
      </c>
      <c r="F325" s="467">
        <v>0</v>
      </c>
      <c r="G325" s="467">
        <v>0</v>
      </c>
      <c r="H325" s="467">
        <v>0</v>
      </c>
      <c r="I325" s="467">
        <v>0</v>
      </c>
      <c r="J325" s="467">
        <v>0</v>
      </c>
      <c r="K325" s="1665">
        <f t="shared" si="24"/>
        <v>0</v>
      </c>
      <c r="L325" s="467">
        <v>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971</v>
      </c>
      <c r="B327" s="695" t="s">
        <v>289</v>
      </c>
      <c r="C327" s="467">
        <v>0</v>
      </c>
      <c r="D327" s="467">
        <v>0</v>
      </c>
      <c r="E327" s="467">
        <v>8534</v>
      </c>
      <c r="F327" s="467">
        <v>0</v>
      </c>
      <c r="G327" s="467">
        <v>0</v>
      </c>
      <c r="H327" s="467">
        <v>0</v>
      </c>
      <c r="I327" s="467">
        <v>0</v>
      </c>
      <c r="J327" s="467">
        <v>0</v>
      </c>
      <c r="K327" s="1665">
        <f t="shared" si="24"/>
        <v>8534</v>
      </c>
      <c r="L327" s="467">
        <v>20000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v>64000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v>0</v>
      </c>
      <c r="M329" s="663"/>
      <c r="N329" s="663"/>
    </row>
    <row r="330" spans="1:14" s="672" customFormat="1" ht="12.75" customHeight="1" thickBot="1" x14ac:dyDescent="0.25">
      <c r="A330" s="1694" t="s">
        <v>717</v>
      </c>
      <c r="B330" s="1663" t="s">
        <v>569</v>
      </c>
      <c r="C330" s="1664">
        <f>SUM(C319:C329)</f>
        <v>0</v>
      </c>
      <c r="D330" s="1664">
        <f t="shared" ref="D330:J330" si="25">SUM(D319:D329)</f>
        <v>0</v>
      </c>
      <c r="E330" s="1664">
        <f t="shared" si="25"/>
        <v>115438</v>
      </c>
      <c r="F330" s="1664">
        <f t="shared" si="25"/>
        <v>0</v>
      </c>
      <c r="G330" s="1664">
        <f t="shared" si="25"/>
        <v>0</v>
      </c>
      <c r="H330" s="1664">
        <f t="shared" si="25"/>
        <v>0</v>
      </c>
      <c r="I330" s="1664">
        <f t="shared" si="25"/>
        <v>0</v>
      </c>
      <c r="J330" s="1664">
        <f t="shared" si="25"/>
        <v>0</v>
      </c>
      <c r="K330" s="1664">
        <f>SUM(K319:K329)</f>
        <v>115438</v>
      </c>
      <c r="L330" s="1664">
        <f>SUM(L319:L329)</f>
        <v>184000</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v>0</v>
      </c>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v>0</v>
      </c>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v>0</v>
      </c>
    </row>
    <row r="338" spans="1:14" ht="12.75" customHeight="1" x14ac:dyDescent="0.2">
      <c r="A338" s="1516" t="s">
        <v>1170</v>
      </c>
      <c r="B338" s="688" t="s">
        <v>617</v>
      </c>
      <c r="C338" s="636"/>
      <c r="D338" s="636"/>
      <c r="E338" s="636"/>
      <c r="F338" s="636"/>
      <c r="G338" s="636"/>
      <c r="H338" s="639">
        <v>0</v>
      </c>
      <c r="I338" s="636"/>
      <c r="J338" s="636"/>
      <c r="K338" s="1665">
        <f>H338</f>
        <v>0</v>
      </c>
      <c r="L338" s="639">
        <v>0</v>
      </c>
    </row>
    <row r="339" spans="1:14" x14ac:dyDescent="0.2">
      <c r="A339" s="1502" t="s">
        <v>901</v>
      </c>
      <c r="B339" s="627">
        <v>5150</v>
      </c>
      <c r="C339" s="636"/>
      <c r="D339" s="636"/>
      <c r="E339" s="636"/>
      <c r="F339" s="636"/>
      <c r="G339" s="636"/>
      <c r="H339" s="467">
        <v>0</v>
      </c>
      <c r="I339" s="636"/>
      <c r="J339" s="636"/>
      <c r="K339" s="1665">
        <f>H339</f>
        <v>0</v>
      </c>
      <c r="L339" s="467">
        <v>0</v>
      </c>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0" t="s">
        <v>505</v>
      </c>
      <c r="B342" s="1695"/>
      <c r="C342" s="1664">
        <f>SUM(C330)</f>
        <v>0</v>
      </c>
      <c r="D342" s="1664">
        <f>SUM(D330)</f>
        <v>0</v>
      </c>
      <c r="E342" s="1664">
        <f>SUM(E330)</f>
        <v>115438</v>
      </c>
      <c r="F342" s="1664">
        <f>SUM(F330)</f>
        <v>0</v>
      </c>
      <c r="G342" s="1664">
        <f>SUM(G330)</f>
        <v>0</v>
      </c>
      <c r="H342" s="1664">
        <f>SUM(H330,H334,H340)</f>
        <v>0</v>
      </c>
      <c r="I342" s="1664">
        <f>SUM(I330)</f>
        <v>0</v>
      </c>
      <c r="J342" s="1664">
        <f>SUM(J330)</f>
        <v>0</v>
      </c>
      <c r="K342" s="1664">
        <f>SUM(K330,K334,K340)</f>
        <v>115438</v>
      </c>
      <c r="L342" s="1671">
        <f>SUM(L330,L334,L340,L341)</f>
        <v>184000</v>
      </c>
    </row>
    <row r="343" spans="1:14" ht="12.75" customHeight="1" thickTop="1" x14ac:dyDescent="0.2">
      <c r="A343" s="2176" t="s">
        <v>996</v>
      </c>
      <c r="B343" s="2177"/>
      <c r="C343" s="615"/>
      <c r="D343" s="615"/>
      <c r="E343" s="615"/>
      <c r="F343" s="615"/>
      <c r="G343" s="615"/>
      <c r="H343" s="615"/>
      <c r="I343" s="615"/>
      <c r="J343" s="615"/>
      <c r="K343" s="1678">
        <f>'Revenues 9-14'!J268-'Expenditures 15-22'!K342</f>
        <v>38368</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6" t="s">
        <v>966</v>
      </c>
      <c r="B345" s="2167"/>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8368</v>
      </c>
      <c r="F348" s="466">
        <v>0</v>
      </c>
      <c r="G348" s="466">
        <v>5281</v>
      </c>
      <c r="H348" s="466">
        <v>0</v>
      </c>
      <c r="I348" s="466">
        <v>0</v>
      </c>
      <c r="J348" s="466">
        <v>0</v>
      </c>
      <c r="K348" s="1665">
        <f>SUM(C348:J348)</f>
        <v>13649</v>
      </c>
      <c r="L348" s="466">
        <v>80000</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v>0</v>
      </c>
    </row>
    <row r="350" spans="1:14" ht="12.75" customHeight="1" thickBot="1" x14ac:dyDescent="0.25">
      <c r="A350" s="1662" t="s">
        <v>719</v>
      </c>
      <c r="B350" s="1663" t="s">
        <v>35</v>
      </c>
      <c r="C350" s="1664">
        <f>SUM(C348:C349)</f>
        <v>0</v>
      </c>
      <c r="D350" s="1664">
        <f t="shared" ref="D350:L350" si="26">SUM(D348:D349)</f>
        <v>0</v>
      </c>
      <c r="E350" s="1664">
        <f t="shared" si="26"/>
        <v>8368</v>
      </c>
      <c r="F350" s="1664">
        <f t="shared" si="26"/>
        <v>0</v>
      </c>
      <c r="G350" s="1664">
        <f t="shared" si="26"/>
        <v>5281</v>
      </c>
      <c r="H350" s="1664">
        <f t="shared" si="26"/>
        <v>0</v>
      </c>
      <c r="I350" s="1664">
        <f t="shared" si="26"/>
        <v>0</v>
      </c>
      <c r="J350" s="1664">
        <f t="shared" si="26"/>
        <v>0</v>
      </c>
      <c r="K350" s="1664">
        <f t="shared" si="26"/>
        <v>13649</v>
      </c>
      <c r="L350" s="1664">
        <f t="shared" si="26"/>
        <v>80000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624</v>
      </c>
      <c r="B352" s="1669" t="s">
        <v>569</v>
      </c>
      <c r="C352" s="1664">
        <f>SUM(C350:C351)</f>
        <v>0</v>
      </c>
      <c r="D352" s="1664">
        <f t="shared" ref="D352:L352" si="27">SUM(D350:D351)</f>
        <v>0</v>
      </c>
      <c r="E352" s="1664">
        <f t="shared" si="27"/>
        <v>8368</v>
      </c>
      <c r="F352" s="1664">
        <f t="shared" si="27"/>
        <v>0</v>
      </c>
      <c r="G352" s="1664">
        <f t="shared" si="27"/>
        <v>5281</v>
      </c>
      <c r="H352" s="1664">
        <f t="shared" si="27"/>
        <v>0</v>
      </c>
      <c r="I352" s="1664">
        <f t="shared" si="27"/>
        <v>0</v>
      </c>
      <c r="J352" s="1664">
        <f t="shared" si="27"/>
        <v>0</v>
      </c>
      <c r="K352" s="1664">
        <f t="shared" si="27"/>
        <v>13649</v>
      </c>
      <c r="L352" s="1664">
        <f t="shared" si="27"/>
        <v>80000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v>0</v>
      </c>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v>0</v>
      </c>
    </row>
    <row r="356" spans="1:14" ht="12.75" customHeight="1" x14ac:dyDescent="0.2">
      <c r="A356" s="1828" t="s">
        <v>698</v>
      </c>
      <c r="B356" s="681" t="s">
        <v>558</v>
      </c>
      <c r="C356" s="615"/>
      <c r="D356" s="615"/>
      <c r="E356" s="615"/>
      <c r="F356" s="615"/>
      <c r="G356" s="615"/>
      <c r="H356" s="479">
        <v>0</v>
      </c>
      <c r="I356" s="699"/>
      <c r="J356" s="615"/>
      <c r="K356" s="1734">
        <f>H356</f>
        <v>0</v>
      </c>
      <c r="L356" s="479">
        <v>0</v>
      </c>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619</v>
      </c>
      <c r="B361" s="601" t="s">
        <v>618</v>
      </c>
      <c r="C361" s="615"/>
      <c r="D361" s="615"/>
      <c r="E361" s="615"/>
      <c r="F361" s="615"/>
      <c r="G361" s="615"/>
      <c r="H361" s="467">
        <v>0</v>
      </c>
      <c r="I361" s="615"/>
      <c r="J361" s="615"/>
      <c r="K361" s="1665">
        <f>SUM(C361:J361)</f>
        <v>0</v>
      </c>
      <c r="L361" s="466">
        <v>0</v>
      </c>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6" t="s">
        <v>505</v>
      </c>
      <c r="B367" s="1698"/>
      <c r="C367" s="1664">
        <f t="shared" ref="C367:L367" si="28">SUM(C352,C357,C365,C366)</f>
        <v>0</v>
      </c>
      <c r="D367" s="1664">
        <f t="shared" si="28"/>
        <v>0</v>
      </c>
      <c r="E367" s="1664">
        <f t="shared" si="28"/>
        <v>8368</v>
      </c>
      <c r="F367" s="1664">
        <f t="shared" si="28"/>
        <v>0</v>
      </c>
      <c r="G367" s="1664">
        <f t="shared" si="28"/>
        <v>5281</v>
      </c>
      <c r="H367" s="1664">
        <f t="shared" si="28"/>
        <v>0</v>
      </c>
      <c r="I367" s="1664">
        <f t="shared" si="28"/>
        <v>0</v>
      </c>
      <c r="J367" s="1664">
        <f t="shared" si="28"/>
        <v>0</v>
      </c>
      <c r="K367" s="1664">
        <f t="shared" si="28"/>
        <v>13649</v>
      </c>
      <c r="L367" s="1664">
        <f t="shared" si="28"/>
        <v>80000</v>
      </c>
    </row>
    <row r="368" spans="1:14" ht="13.5" thickTop="1" x14ac:dyDescent="0.2">
      <c r="A368" s="2190" t="s">
        <v>996</v>
      </c>
      <c r="B368" s="2191"/>
      <c r="C368" s="652"/>
      <c r="D368" s="652"/>
      <c r="E368" s="625"/>
      <c r="F368" s="625"/>
      <c r="G368" s="625"/>
      <c r="H368" s="625"/>
      <c r="I368" s="625"/>
      <c r="J368" s="622"/>
      <c r="K368" s="1665">
        <f>'Revenues 9-14'!K268-'Expenditures 15-22'!K367</f>
        <v>-6496</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32" sqref="J32"/>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2" t="s">
        <v>1802</v>
      </c>
      <c r="B2" s="1526" t="s">
        <v>1949</v>
      </c>
      <c r="C2" s="712" t="s">
        <v>1950</v>
      </c>
      <c r="D2" s="712" t="s">
        <v>1951</v>
      </c>
      <c r="E2" s="712" t="s">
        <v>1952</v>
      </c>
      <c r="F2" s="712" t="s">
        <v>1953</v>
      </c>
    </row>
    <row r="3" spans="1:6" ht="12" customHeight="1" x14ac:dyDescent="0.2">
      <c r="A3" s="2193"/>
      <c r="B3" s="1523"/>
      <c r="C3" s="1524"/>
      <c r="D3" s="1525" t="s">
        <v>256</v>
      </c>
      <c r="E3" s="1524"/>
      <c r="F3" s="1525" t="s">
        <v>257</v>
      </c>
    </row>
    <row r="4" spans="1:6" ht="13.7" customHeight="1" x14ac:dyDescent="0.2">
      <c r="A4" s="713" t="s">
        <v>1155</v>
      </c>
      <c r="B4" s="1743">
        <f>'Revenues 9-14'!C5</f>
        <v>1600292</v>
      </c>
      <c r="C4" s="1522">
        <v>17744</v>
      </c>
      <c r="D4" s="1746">
        <f>B4-C4</f>
        <v>1582548</v>
      </c>
      <c r="E4" s="1522">
        <v>1624096</v>
      </c>
      <c r="F4" s="1746">
        <f>E4-C4</f>
        <v>1606352</v>
      </c>
    </row>
    <row r="5" spans="1:6" ht="13.7" customHeight="1" x14ac:dyDescent="0.2">
      <c r="A5" s="713" t="s">
        <v>870</v>
      </c>
      <c r="B5" s="1744">
        <f>'Revenues 9-14'!D5</f>
        <v>305775</v>
      </c>
      <c r="C5" s="584">
        <v>3457</v>
      </c>
      <c r="D5" s="1747">
        <f t="shared" ref="D5:D18" si="0">B5-C5</f>
        <v>302318</v>
      </c>
      <c r="E5" s="584">
        <v>316440</v>
      </c>
      <c r="F5" s="1747">
        <f>E5-C5</f>
        <v>312983</v>
      </c>
    </row>
    <row r="6" spans="1:6" ht="13.7" customHeight="1" x14ac:dyDescent="0.2">
      <c r="A6" s="713" t="s">
        <v>411</v>
      </c>
      <c r="B6" s="1744">
        <f>'Revenues 9-14'!E5</f>
        <v>394108</v>
      </c>
      <c r="C6" s="584">
        <v>3765</v>
      </c>
      <c r="D6" s="1747">
        <f t="shared" si="0"/>
        <v>390343</v>
      </c>
      <c r="E6" s="584">
        <v>343740</v>
      </c>
      <c r="F6" s="1747">
        <f t="shared" ref="F6:F18" si="1">E6-C6</f>
        <v>339975</v>
      </c>
    </row>
    <row r="7" spans="1:6" ht="13.7" customHeight="1" x14ac:dyDescent="0.2">
      <c r="A7" s="713" t="s">
        <v>155</v>
      </c>
      <c r="B7" s="1744">
        <f>'Revenues 9-14'!F5</f>
        <v>78583</v>
      </c>
      <c r="C7" s="584">
        <v>889</v>
      </c>
      <c r="D7" s="1747">
        <f t="shared" si="0"/>
        <v>77694</v>
      </c>
      <c r="E7" s="584">
        <v>81323</v>
      </c>
      <c r="F7" s="1747">
        <f t="shared" si="1"/>
        <v>80434</v>
      </c>
    </row>
    <row r="8" spans="1:6" ht="13.7" customHeight="1" x14ac:dyDescent="0.2">
      <c r="A8" s="713" t="s">
        <v>1179</v>
      </c>
      <c r="B8" s="1744">
        <f>'Revenues 9-14'!G5</f>
        <v>87139</v>
      </c>
      <c r="C8" s="584">
        <v>1105</v>
      </c>
      <c r="D8" s="1747">
        <f t="shared" si="0"/>
        <v>86034</v>
      </c>
      <c r="E8" s="584">
        <v>101115</v>
      </c>
      <c r="F8" s="1747">
        <f t="shared" si="1"/>
        <v>100010</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3333</v>
      </c>
      <c r="C10" s="584">
        <v>38</v>
      </c>
      <c r="D10" s="1747">
        <f t="shared" si="0"/>
        <v>3295</v>
      </c>
      <c r="E10" s="584">
        <v>3428</v>
      </c>
      <c r="F10" s="1747">
        <f t="shared" si="1"/>
        <v>3390</v>
      </c>
    </row>
    <row r="11" spans="1:6" x14ac:dyDescent="0.2">
      <c r="A11" s="713" t="s">
        <v>409</v>
      </c>
      <c r="B11" s="1744">
        <f>'Revenues 9-14'!J5</f>
        <v>102045</v>
      </c>
      <c r="C11" s="584">
        <v>1053</v>
      </c>
      <c r="D11" s="1747">
        <f t="shared" si="0"/>
        <v>100992</v>
      </c>
      <c r="E11" s="584">
        <v>96385</v>
      </c>
      <c r="F11" s="1747">
        <f t="shared" si="1"/>
        <v>95332</v>
      </c>
    </row>
    <row r="12" spans="1:6" ht="13.7" customHeight="1" x14ac:dyDescent="0.2">
      <c r="A12" s="713" t="s">
        <v>157</v>
      </c>
      <c r="B12" s="1744">
        <f>'Revenues 9-14'!K5</f>
        <v>6075</v>
      </c>
      <c r="C12" s="584">
        <v>69</v>
      </c>
      <c r="D12" s="1747">
        <f t="shared" si="0"/>
        <v>6006</v>
      </c>
      <c r="E12" s="584">
        <v>6278</v>
      </c>
      <c r="F12" s="1747">
        <f t="shared" si="1"/>
        <v>6209</v>
      </c>
    </row>
    <row r="13" spans="1:6" ht="13.7" customHeight="1" x14ac:dyDescent="0.2">
      <c r="A13" s="713" t="s">
        <v>936</v>
      </c>
      <c r="B13" s="1744">
        <f>SUM('Revenues 9-14'!C6:D6)</f>
        <v>3107</v>
      </c>
      <c r="C13" s="584">
        <v>35</v>
      </c>
      <c r="D13" s="1747">
        <f t="shared" si="0"/>
        <v>3072</v>
      </c>
      <c r="E13" s="584">
        <v>3215</v>
      </c>
      <c r="F13" s="1747">
        <f t="shared" si="1"/>
        <v>3180</v>
      </c>
    </row>
    <row r="14" spans="1:6" ht="13.7" customHeight="1" x14ac:dyDescent="0.2">
      <c r="A14" s="713" t="s">
        <v>410</v>
      </c>
      <c r="B14" s="1744">
        <f>SUM('Revenues 9-14'!C7:D7,'Revenues 9-14'!F7:H7)</f>
        <v>21858</v>
      </c>
      <c r="C14" s="584">
        <v>247</v>
      </c>
      <c r="D14" s="1747">
        <f t="shared" si="0"/>
        <v>21611</v>
      </c>
      <c r="E14" s="584">
        <v>22614</v>
      </c>
      <c r="F14" s="1747">
        <f t="shared" si="1"/>
        <v>22367</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85322</v>
      </c>
      <c r="C16" s="584">
        <v>1156</v>
      </c>
      <c r="D16" s="1747">
        <f t="shared" si="0"/>
        <v>84166</v>
      </c>
      <c r="E16" s="584">
        <v>105837</v>
      </c>
      <c r="F16" s="1747">
        <f t="shared" si="1"/>
        <v>104681</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2687637</v>
      </c>
      <c r="C19" s="1745">
        <f>SUM(C4:C18)</f>
        <v>29558</v>
      </c>
      <c r="D19" s="1745">
        <f>SUM(D4:D18)</f>
        <v>2658079</v>
      </c>
      <c r="E19" s="1745">
        <f>SUM(E4:E18)</f>
        <v>2704471</v>
      </c>
      <c r="F19" s="1745">
        <f>SUM(F4:F18)</f>
        <v>2674913</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3" colorId="8" zoomScaleNormal="100" workbookViewId="0">
      <selection activeCell="J32" sqref="J32"/>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629</v>
      </c>
      <c r="B1" s="2199"/>
      <c r="C1" s="719"/>
    </row>
    <row r="2" spans="1:7" ht="33.75" x14ac:dyDescent="0.2">
      <c r="A2" s="2207" t="s">
        <v>1802</v>
      </c>
      <c r="B2" s="2208"/>
      <c r="C2" s="1877" t="s">
        <v>1954</v>
      </c>
      <c r="D2" s="721" t="s">
        <v>1955</v>
      </c>
      <c r="E2" s="721" t="s">
        <v>1956</v>
      </c>
      <c r="F2" s="1877" t="s">
        <v>1957</v>
      </c>
    </row>
    <row r="3" spans="1:7" ht="15.75" customHeight="1" x14ac:dyDescent="0.2">
      <c r="A3" s="2211" t="s">
        <v>1114</v>
      </c>
      <c r="B3" s="2212"/>
      <c r="C3" s="2200"/>
      <c r="D3" s="2201"/>
      <c r="E3" s="2201"/>
      <c r="F3" s="2202"/>
    </row>
    <row r="4" spans="1:7" ht="12.75" customHeight="1" thickBot="1" x14ac:dyDescent="0.25">
      <c r="A4" s="2209" t="s">
        <v>630</v>
      </c>
      <c r="B4" s="2210"/>
      <c r="C4" s="580"/>
      <c r="D4" s="580"/>
      <c r="E4" s="580"/>
      <c r="F4" s="1749">
        <f>SUM(C4+D4)-E4</f>
        <v>0</v>
      </c>
    </row>
    <row r="5" spans="1:7" ht="15.75" customHeight="1" thickTop="1" x14ac:dyDescent="0.2">
      <c r="A5" s="2194" t="s">
        <v>1110</v>
      </c>
      <c r="B5" s="2195"/>
      <c r="C5" s="2203"/>
      <c r="D5" s="2204"/>
      <c r="E5" s="2204"/>
      <c r="F5" s="2205"/>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196" t="s">
        <v>631</v>
      </c>
      <c r="B15" s="2197"/>
      <c r="C15" s="1749">
        <f>SUM(C6:C14)</f>
        <v>0</v>
      </c>
      <c r="D15" s="1749">
        <f>SUM(D6:D14)</f>
        <v>0</v>
      </c>
      <c r="E15" s="1749">
        <f>SUM(E6:E14)</f>
        <v>0</v>
      </c>
      <c r="F15" s="1749">
        <f>SUM(F6:F14)</f>
        <v>0</v>
      </c>
      <c r="G15" s="552"/>
    </row>
    <row r="16" spans="1:7" s="202" customFormat="1" ht="15.75" customHeight="1" thickTop="1" x14ac:dyDescent="0.2">
      <c r="A16" s="2206" t="s">
        <v>1111</v>
      </c>
      <c r="B16" s="2195"/>
      <c r="C16" s="2203"/>
      <c r="D16" s="2204"/>
      <c r="E16" s="2204"/>
      <c r="F16" s="2205"/>
    </row>
    <row r="17" spans="1:11" ht="12.75" customHeight="1" thickBot="1" x14ac:dyDescent="0.25">
      <c r="A17" s="2219" t="s">
        <v>64</v>
      </c>
      <c r="B17" s="2220"/>
      <c r="C17" s="724"/>
      <c r="D17" s="584"/>
      <c r="E17" s="724"/>
      <c r="F17" s="1749">
        <f>SUM(C17+D17)-E17</f>
        <v>0</v>
      </c>
    </row>
    <row r="18" spans="1:11" ht="12.75" customHeight="1" thickTop="1" thickBot="1" x14ac:dyDescent="0.25">
      <c r="A18" s="2219" t="s">
        <v>6</v>
      </c>
      <c r="B18" s="2220"/>
      <c r="C18" s="724"/>
      <c r="D18" s="584"/>
      <c r="E18" s="724"/>
      <c r="F18" s="1749">
        <f>SUM(C18+D18)-E18</f>
        <v>0</v>
      </c>
    </row>
    <row r="19" spans="1:11" ht="12.75" customHeight="1" thickTop="1" thickBot="1" x14ac:dyDescent="0.25">
      <c r="A19" s="2219" t="s">
        <v>388</v>
      </c>
      <c r="B19" s="2220"/>
      <c r="C19" s="724"/>
      <c r="D19" s="584"/>
      <c r="E19" s="724"/>
      <c r="F19" s="1749">
        <f>SUM(C19+D19)-E19</f>
        <v>0</v>
      </c>
    </row>
    <row r="20" spans="1:11" ht="12.75" customHeight="1" thickTop="1" thickBot="1" x14ac:dyDescent="0.25">
      <c r="A20" s="2219" t="s">
        <v>448</v>
      </c>
      <c r="B20" s="2220"/>
      <c r="C20" s="724"/>
      <c r="D20" s="584"/>
      <c r="E20" s="724"/>
      <c r="F20" s="1749">
        <f>SUM(C20+D20)-E20</f>
        <v>0</v>
      </c>
    </row>
    <row r="21" spans="1:11" ht="14.25" thickTop="1" thickBot="1" x14ac:dyDescent="0.25">
      <c r="A21" s="2196" t="s">
        <v>632</v>
      </c>
      <c r="B21" s="2197"/>
      <c r="C21" s="1749">
        <f>SUM(C17:C20)</f>
        <v>0</v>
      </c>
      <c r="D21" s="1749">
        <f>SUM(D17:D20)</f>
        <v>0</v>
      </c>
      <c r="E21" s="1749">
        <f>SUM(E17:E20)</f>
        <v>0</v>
      </c>
      <c r="F21" s="1749">
        <f>SUM(F17:F20)</f>
        <v>0</v>
      </c>
      <c r="G21" s="552"/>
    </row>
    <row r="22" spans="1:11" ht="15.75" customHeight="1" thickTop="1" x14ac:dyDescent="0.2">
      <c r="A22" s="2221" t="s">
        <v>1112</v>
      </c>
      <c r="B22" s="2195"/>
      <c r="C22" s="2203"/>
      <c r="D22" s="2204"/>
      <c r="E22" s="2204"/>
      <c r="F22" s="2205"/>
    </row>
    <row r="23" spans="1:11" ht="13.5" thickBot="1" x14ac:dyDescent="0.25">
      <c r="A23" s="2209" t="s">
        <v>633</v>
      </c>
      <c r="B23" s="2210"/>
      <c r="C23" s="580"/>
      <c r="D23" s="580"/>
      <c r="E23" s="580"/>
      <c r="F23" s="1749">
        <f>SUM(C23+D23)-E23</f>
        <v>0</v>
      </c>
      <c r="G23" s="552"/>
    </row>
    <row r="24" spans="1:11" ht="15.75" customHeight="1" thickTop="1" x14ac:dyDescent="0.2">
      <c r="A24" s="2221" t="s">
        <v>1113</v>
      </c>
      <c r="B24" s="2195"/>
      <c r="C24" s="2203"/>
      <c r="D24" s="2204"/>
      <c r="E24" s="2204"/>
      <c r="F24" s="2205"/>
    </row>
    <row r="25" spans="1:11" ht="13.5" thickBot="1" x14ac:dyDescent="0.25">
      <c r="A25" s="2209" t="s">
        <v>634</v>
      </c>
      <c r="B25" s="2210"/>
      <c r="C25" s="580"/>
      <c r="D25" s="580"/>
      <c r="E25" s="580"/>
      <c r="F25" s="1749">
        <f>SUM(C25+D25)-E25</f>
        <v>0</v>
      </c>
      <c r="G25" s="552"/>
    </row>
    <row r="26" spans="1:11" ht="15.75" customHeight="1" thickTop="1" x14ac:dyDescent="0.2">
      <c r="A26" s="2194" t="s">
        <v>657</v>
      </c>
      <c r="B26" s="2195"/>
      <c r="C26" s="725"/>
      <c r="D26" s="725"/>
      <c r="E26" s="725"/>
      <c r="F26" s="726"/>
    </row>
    <row r="27" spans="1:11" ht="13.5" thickBot="1" x14ac:dyDescent="0.25">
      <c r="A27" s="2196" t="s">
        <v>1070</v>
      </c>
      <c r="B27" s="2197"/>
      <c r="C27" s="584"/>
      <c r="D27" s="584"/>
      <c r="E27" s="584"/>
      <c r="F27" s="1749">
        <f>SUM(C27+D27)-E27</f>
        <v>0</v>
      </c>
      <c r="G27" s="552"/>
    </row>
    <row r="28" spans="1:11" ht="7.5" customHeight="1" thickTop="1" x14ac:dyDescent="0.2">
      <c r="A28" s="592"/>
    </row>
    <row r="29" spans="1:11" ht="23.25" customHeight="1" x14ac:dyDescent="0.2">
      <c r="A29" s="2222" t="s">
        <v>582</v>
      </c>
      <c r="B29" s="2199"/>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2088</v>
      </c>
      <c r="B31" s="731">
        <v>40148</v>
      </c>
      <c r="C31" s="732">
        <v>4400000</v>
      </c>
      <c r="D31" s="733">
        <v>6</v>
      </c>
      <c r="E31" s="732">
        <v>1885713</v>
      </c>
      <c r="F31" s="732"/>
      <c r="G31" s="732"/>
      <c r="H31" s="732">
        <v>314286</v>
      </c>
      <c r="I31" s="1750">
        <f>((E31+F31)-H31)+G31</f>
        <v>1571427</v>
      </c>
      <c r="J31" s="732">
        <v>1514601</v>
      </c>
      <c r="K31" s="734"/>
    </row>
    <row r="32" spans="1:11" ht="12" customHeight="1" x14ac:dyDescent="0.2">
      <c r="A32" s="730" t="s">
        <v>2089</v>
      </c>
      <c r="B32" s="731">
        <v>40354</v>
      </c>
      <c r="C32" s="732">
        <v>945000</v>
      </c>
      <c r="D32" s="733">
        <v>3</v>
      </c>
      <c r="E32" s="732">
        <v>45000</v>
      </c>
      <c r="F32" s="732"/>
      <c r="G32" s="732"/>
      <c r="H32" s="732">
        <v>45000</v>
      </c>
      <c r="I32" s="1750">
        <f>((E32+F32)-H32)+G32</f>
        <v>0</v>
      </c>
      <c r="J32" s="732"/>
      <c r="K32" s="734"/>
    </row>
    <row r="33" spans="1:11" ht="12" customHeight="1" x14ac:dyDescent="0.2">
      <c r="A33" s="730" t="s">
        <v>2090</v>
      </c>
      <c r="B33" s="731">
        <v>42860</v>
      </c>
      <c r="C33" s="732">
        <v>55600</v>
      </c>
      <c r="D33" s="733">
        <v>7</v>
      </c>
      <c r="E33" s="732">
        <v>27977</v>
      </c>
      <c r="F33" s="732"/>
      <c r="G33" s="732"/>
      <c r="H33" s="732">
        <v>18558</v>
      </c>
      <c r="I33" s="1750">
        <f t="shared" ref="I33:I48" si="1">((E33+F33)-H33)+G33</f>
        <v>9419</v>
      </c>
      <c r="J33" s="732">
        <v>9419</v>
      </c>
      <c r="K33" s="734"/>
    </row>
    <row r="34" spans="1:11" ht="12" customHeight="1" x14ac:dyDescent="0.2">
      <c r="A34" s="730" t="s">
        <v>2091</v>
      </c>
      <c r="B34" s="731">
        <v>42898</v>
      </c>
      <c r="C34" s="732">
        <v>59217</v>
      </c>
      <c r="D34" s="733">
        <v>8</v>
      </c>
      <c r="E34" s="732">
        <v>51259</v>
      </c>
      <c r="F34" s="732"/>
      <c r="G34" s="732"/>
      <c r="H34" s="732">
        <v>12040</v>
      </c>
      <c r="I34" s="1750">
        <f t="shared" si="1"/>
        <v>39219</v>
      </c>
      <c r="J34" s="732">
        <v>39219</v>
      </c>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5459817</v>
      </c>
      <c r="D49" s="743"/>
      <c r="E49" s="1750">
        <f t="shared" ref="E49:J49" si="2">SUM(E31:E48)</f>
        <v>2009949</v>
      </c>
      <c r="F49" s="1750">
        <f t="shared" si="2"/>
        <v>0</v>
      </c>
      <c r="G49" s="1750">
        <f t="shared" si="2"/>
        <v>0</v>
      </c>
      <c r="H49" s="1750">
        <f t="shared" si="2"/>
        <v>389884</v>
      </c>
      <c r="I49" s="1750">
        <f t="shared" si="2"/>
        <v>1620065</v>
      </c>
      <c r="J49" s="1750">
        <f t="shared" si="2"/>
        <v>1563239</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3" t="s">
        <v>584</v>
      </c>
      <c r="C52" s="2214"/>
      <c r="D52" s="2214"/>
      <c r="E52" s="747" t="s">
        <v>845</v>
      </c>
      <c r="F52" s="2215" t="s">
        <v>2092</v>
      </c>
      <c r="G52" s="2216"/>
      <c r="H52" s="734"/>
      <c r="I52" s="734"/>
      <c r="J52" s="744"/>
    </row>
    <row r="53" spans="1:11" ht="11.25" customHeight="1" x14ac:dyDescent="0.2">
      <c r="A53" s="748" t="s">
        <v>913</v>
      </c>
      <c r="B53" s="749" t="s">
        <v>951</v>
      </c>
      <c r="C53" s="744"/>
      <c r="D53" s="735"/>
      <c r="E53" s="747" t="s">
        <v>497</v>
      </c>
      <c r="F53" s="2217" t="s">
        <v>2093</v>
      </c>
      <c r="G53" s="2218"/>
      <c r="H53" s="734"/>
      <c r="I53" s="734"/>
      <c r="J53" s="744"/>
    </row>
    <row r="54" spans="1:11" ht="11.25" customHeight="1" x14ac:dyDescent="0.2">
      <c r="A54" s="750" t="s">
        <v>914</v>
      </c>
      <c r="B54" s="745" t="s">
        <v>952</v>
      </c>
      <c r="C54" s="744"/>
      <c r="D54" s="735"/>
      <c r="E54" s="747" t="s">
        <v>498</v>
      </c>
      <c r="F54" s="2217"/>
      <c r="G54" s="2218"/>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Normal="10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856</v>
      </c>
      <c r="B1" s="2248"/>
      <c r="C1" s="2248"/>
      <c r="D1" s="2248"/>
      <c r="E1" s="2248"/>
      <c r="F1" s="2248"/>
      <c r="G1" s="2249"/>
      <c r="H1" s="1528"/>
      <c r="I1" s="758"/>
      <c r="J1" s="433"/>
    </row>
    <row r="2" spans="1:11" ht="26.25" x14ac:dyDescent="0.2">
      <c r="A2" s="2226" t="s">
        <v>1677</v>
      </c>
      <c r="B2" s="2227"/>
      <c r="C2" s="2227"/>
      <c r="D2" s="2227"/>
      <c r="E2" s="2228"/>
      <c r="F2" s="759" t="s">
        <v>904</v>
      </c>
      <c r="G2" s="760" t="s">
        <v>1674</v>
      </c>
      <c r="H2" s="760" t="s">
        <v>410</v>
      </c>
      <c r="I2" s="760" t="s">
        <v>1158</v>
      </c>
      <c r="J2" s="760" t="s">
        <v>1812</v>
      </c>
      <c r="K2" s="760" t="s">
        <v>138</v>
      </c>
    </row>
    <row r="3" spans="1:11" x14ac:dyDescent="0.2">
      <c r="A3" s="2229" t="s">
        <v>1962</v>
      </c>
      <c r="B3" s="2230"/>
      <c r="C3" s="2230"/>
      <c r="D3" s="2230"/>
      <c r="E3" s="2231"/>
      <c r="F3" s="761"/>
      <c r="G3" s="762"/>
      <c r="H3" s="762"/>
      <c r="I3" s="762"/>
      <c r="J3" s="763">
        <v>243001</v>
      </c>
      <c r="K3" s="763"/>
    </row>
    <row r="4" spans="1:11" x14ac:dyDescent="0.2">
      <c r="A4" s="2232" t="s">
        <v>369</v>
      </c>
      <c r="B4" s="2233"/>
      <c r="C4" s="2233"/>
      <c r="D4" s="2233"/>
      <c r="E4" s="2214"/>
      <c r="F4" s="764"/>
      <c r="G4" s="765"/>
      <c r="H4" s="766"/>
      <c r="I4" s="765"/>
      <c r="J4" s="767"/>
      <c r="K4" s="767"/>
    </row>
    <row r="5" spans="1:11" x14ac:dyDescent="0.2">
      <c r="A5" s="2250" t="s">
        <v>1069</v>
      </c>
      <c r="B5" s="2223"/>
      <c r="C5" s="2223"/>
      <c r="D5" s="2223"/>
      <c r="E5" s="2251"/>
      <c r="F5" s="768" t="s">
        <v>848</v>
      </c>
      <c r="G5" s="769"/>
      <c r="H5" s="762">
        <v>21858</v>
      </c>
      <c r="I5" s="770"/>
      <c r="J5" s="771"/>
      <c r="K5" s="771"/>
    </row>
    <row r="6" spans="1:11" x14ac:dyDescent="0.2">
      <c r="A6" s="772" t="s">
        <v>720</v>
      </c>
      <c r="B6" s="773"/>
      <c r="C6" s="773"/>
      <c r="D6" s="773"/>
      <c r="E6" s="774"/>
      <c r="F6" s="775" t="s">
        <v>849</v>
      </c>
      <c r="G6" s="762"/>
      <c r="H6" s="762"/>
      <c r="I6" s="762"/>
      <c r="J6" s="763">
        <v>2702</v>
      </c>
      <c r="K6" s="763"/>
    </row>
    <row r="7" spans="1:11" x14ac:dyDescent="0.2">
      <c r="A7" s="776" t="s">
        <v>246</v>
      </c>
      <c r="B7" s="777"/>
      <c r="C7" s="777"/>
      <c r="D7" s="777"/>
      <c r="E7" s="778"/>
      <c r="F7" s="768" t="s">
        <v>850</v>
      </c>
      <c r="G7" s="765"/>
      <c r="H7" s="765"/>
      <c r="I7" s="765"/>
      <c r="J7" s="779"/>
      <c r="K7" s="763">
        <v>6075</v>
      </c>
    </row>
    <row r="8" spans="1:11" x14ac:dyDescent="0.2">
      <c r="A8" s="776" t="s">
        <v>345</v>
      </c>
      <c r="B8" s="777"/>
      <c r="C8" s="777"/>
      <c r="D8" s="777"/>
      <c r="E8" s="778"/>
      <c r="F8" s="768" t="s">
        <v>851</v>
      </c>
      <c r="G8" s="780"/>
      <c r="H8" s="780"/>
      <c r="I8" s="780"/>
      <c r="J8" s="763">
        <v>177345</v>
      </c>
      <c r="K8" s="767"/>
    </row>
    <row r="9" spans="1:11" x14ac:dyDescent="0.2">
      <c r="A9" s="776" t="s">
        <v>138</v>
      </c>
      <c r="B9" s="777"/>
      <c r="C9" s="777"/>
      <c r="D9" s="777"/>
      <c r="E9" s="778"/>
      <c r="F9" s="775" t="s">
        <v>853</v>
      </c>
      <c r="G9" s="780"/>
      <c r="H9" s="769"/>
      <c r="I9" s="769"/>
      <c r="J9" s="779"/>
      <c r="K9" s="763">
        <v>8105</v>
      </c>
    </row>
    <row r="10" spans="1:11" x14ac:dyDescent="0.2">
      <c r="A10" s="2250" t="s">
        <v>1813</v>
      </c>
      <c r="B10" s="2223"/>
      <c r="C10" s="2223"/>
      <c r="D10" s="2223"/>
      <c r="E10" s="2252"/>
      <c r="F10" s="781" t="s">
        <v>862</v>
      </c>
      <c r="G10" s="780"/>
      <c r="H10" s="782"/>
      <c r="I10" s="762"/>
      <c r="J10" s="763"/>
      <c r="K10" s="763"/>
    </row>
    <row r="11" spans="1:11" x14ac:dyDescent="0.2">
      <c r="A11" s="2250" t="s">
        <v>160</v>
      </c>
      <c r="B11" s="2223"/>
      <c r="C11" s="2223"/>
      <c r="D11" s="2223"/>
      <c r="E11" s="2251"/>
      <c r="F11" s="768" t="s">
        <v>852</v>
      </c>
      <c r="G11" s="769"/>
      <c r="H11" s="762"/>
      <c r="I11" s="762"/>
      <c r="J11" s="763"/>
      <c r="K11" s="771"/>
    </row>
    <row r="12" spans="1:11" ht="13.5" thickBot="1" x14ac:dyDescent="0.25">
      <c r="A12" s="2240" t="s">
        <v>905</v>
      </c>
      <c r="B12" s="2241"/>
      <c r="C12" s="2241"/>
      <c r="D12" s="2241"/>
      <c r="E12" s="2242"/>
      <c r="F12" s="1751"/>
      <c r="G12" s="1752">
        <f>SUM(G5:G11)</f>
        <v>0</v>
      </c>
      <c r="H12" s="1752">
        <f>SUM(H5:H11)</f>
        <v>21858</v>
      </c>
      <c r="I12" s="1752">
        <f>SUM(I5:I11)</f>
        <v>0</v>
      </c>
      <c r="J12" s="1752">
        <f>SUM(J5:J11)</f>
        <v>180047</v>
      </c>
      <c r="K12" s="1752">
        <f>SUM(K5:K11)</f>
        <v>14180</v>
      </c>
    </row>
    <row r="13" spans="1:11" ht="13.5" thickTop="1" x14ac:dyDescent="0.2">
      <c r="A13" s="2234" t="s">
        <v>370</v>
      </c>
      <c r="B13" s="2235"/>
      <c r="C13" s="2235"/>
      <c r="D13" s="2235"/>
      <c r="E13" s="2236"/>
      <c r="F13" s="783"/>
      <c r="G13" s="784"/>
      <c r="H13" s="785"/>
      <c r="I13" s="786"/>
      <c r="J13" s="786"/>
      <c r="K13" s="786"/>
    </row>
    <row r="14" spans="1:11" x14ac:dyDescent="0.2">
      <c r="A14" s="2256" t="s">
        <v>456</v>
      </c>
      <c r="B14" s="2256"/>
      <c r="C14" s="2256"/>
      <c r="D14" s="2256"/>
      <c r="E14" s="2257"/>
      <c r="F14" s="787" t="s">
        <v>854</v>
      </c>
      <c r="G14" s="780"/>
      <c r="H14" s="762">
        <v>21858</v>
      </c>
      <c r="I14" s="769"/>
      <c r="J14" s="771"/>
      <c r="K14" s="763">
        <v>14180</v>
      </c>
    </row>
    <row r="15" spans="1:11" x14ac:dyDescent="0.2">
      <c r="A15" s="2223" t="s">
        <v>4</v>
      </c>
      <c r="B15" s="2223"/>
      <c r="C15" s="2223"/>
      <c r="D15" s="2223"/>
      <c r="E15" s="2251"/>
      <c r="F15" s="787" t="s">
        <v>855</v>
      </c>
      <c r="G15" s="769"/>
      <c r="H15" s="762"/>
      <c r="I15" s="762"/>
      <c r="J15" s="763">
        <v>198606</v>
      </c>
      <c r="K15" s="763"/>
    </row>
    <row r="16" spans="1:11" x14ac:dyDescent="0.2">
      <c r="A16" s="2223" t="s">
        <v>298</v>
      </c>
      <c r="B16" s="2223"/>
      <c r="C16" s="2223"/>
      <c r="D16" s="2223"/>
      <c r="E16" s="2251"/>
      <c r="F16" s="787" t="s">
        <v>923</v>
      </c>
      <c r="G16" s="770"/>
      <c r="H16" s="765"/>
      <c r="I16" s="765"/>
      <c r="J16" s="767"/>
      <c r="K16" s="767"/>
    </row>
    <row r="17" spans="1:11" x14ac:dyDescent="0.2">
      <c r="A17" s="2245" t="s">
        <v>935</v>
      </c>
      <c r="B17" s="2245"/>
      <c r="C17" s="2245"/>
      <c r="D17" s="2245"/>
      <c r="E17" s="2246"/>
      <c r="F17" s="788"/>
      <c r="G17" s="789"/>
      <c r="H17" s="790"/>
      <c r="I17" s="790"/>
      <c r="J17" s="791"/>
      <c r="K17" s="792"/>
    </row>
    <row r="18" spans="1:11" x14ac:dyDescent="0.2">
      <c r="A18" s="2237" t="s">
        <v>368</v>
      </c>
      <c r="B18" s="2238"/>
      <c r="C18" s="2238"/>
      <c r="D18" s="2238"/>
      <c r="E18" s="2239"/>
      <c r="F18" s="787" t="s">
        <v>932</v>
      </c>
      <c r="G18" s="780"/>
      <c r="H18" s="780"/>
      <c r="I18" s="780"/>
      <c r="J18" s="763"/>
      <c r="K18" s="793"/>
    </row>
    <row r="19" spans="1:11" ht="21.75" customHeight="1" x14ac:dyDescent="0.2">
      <c r="A19" s="2258" t="s">
        <v>1809</v>
      </c>
      <c r="B19" s="2258"/>
      <c r="C19" s="2258"/>
      <c r="D19" s="2258"/>
      <c r="E19" s="2259"/>
      <c r="F19" s="787" t="s">
        <v>933</v>
      </c>
      <c r="G19" s="780"/>
      <c r="H19" s="780"/>
      <c r="I19" s="780"/>
      <c r="J19" s="763"/>
      <c r="K19" s="793"/>
    </row>
    <row r="20" spans="1:11" x14ac:dyDescent="0.2">
      <c r="A20" s="2237" t="s">
        <v>1814</v>
      </c>
      <c r="B20" s="2238"/>
      <c r="C20" s="2238"/>
      <c r="D20" s="2238"/>
      <c r="E20" s="2239"/>
      <c r="F20" s="787" t="s">
        <v>934</v>
      </c>
      <c r="G20" s="780"/>
      <c r="H20" s="780"/>
      <c r="I20" s="780"/>
      <c r="J20" s="763"/>
      <c r="K20" s="793"/>
    </row>
    <row r="21" spans="1:11" ht="13.5" thickBot="1" x14ac:dyDescent="0.25">
      <c r="A21" s="2243" t="s">
        <v>638</v>
      </c>
      <c r="B21" s="2243"/>
      <c r="C21" s="2243"/>
      <c r="D21" s="2243"/>
      <c r="E21" s="2243"/>
      <c r="F21" s="1753"/>
      <c r="G21" s="790"/>
      <c r="H21" s="794"/>
      <c r="I21" s="794"/>
      <c r="J21" s="1754">
        <f>SUM(J18:J20)</f>
        <v>0</v>
      </c>
      <c r="K21" s="791"/>
    </row>
    <row r="22" spans="1:11" ht="13.5" thickTop="1" x14ac:dyDescent="0.2">
      <c r="A22" s="2223" t="s">
        <v>1815</v>
      </c>
      <c r="B22" s="2223"/>
      <c r="C22" s="2223"/>
      <c r="D22" s="2223"/>
      <c r="E22" s="2251"/>
      <c r="F22" s="787" t="s">
        <v>862</v>
      </c>
      <c r="G22" s="780"/>
      <c r="H22" s="762"/>
      <c r="I22" s="762"/>
      <c r="J22" s="795"/>
      <c r="K22" s="763"/>
    </row>
    <row r="23" spans="1:11" ht="13.5" thickBot="1" x14ac:dyDescent="0.25">
      <c r="A23" s="2244" t="s">
        <v>906</v>
      </c>
      <c r="B23" s="2243"/>
      <c r="C23" s="2243"/>
      <c r="D23" s="2243"/>
      <c r="E23" s="2243"/>
      <c r="F23" s="1755"/>
      <c r="G23" s="1752">
        <f>SUM(G14:G16,G21,G22)</f>
        <v>0</v>
      </c>
      <c r="H23" s="1752">
        <f>SUM(H14:H16,H21,H22)</f>
        <v>21858</v>
      </c>
      <c r="I23" s="1752">
        <f>SUM(I14:I16,I21,I22)</f>
        <v>0</v>
      </c>
      <c r="J23" s="1752">
        <f>SUM(J14:J16,J21,J22)</f>
        <v>198606</v>
      </c>
      <c r="K23" s="1752">
        <f>SUM(K14:K16,K21,K22)</f>
        <v>14180</v>
      </c>
    </row>
    <row r="24" spans="1:11" ht="14.25" thickTop="1" thickBot="1" x14ac:dyDescent="0.25">
      <c r="A24" s="2244" t="s">
        <v>1963</v>
      </c>
      <c r="B24" s="2243"/>
      <c r="C24" s="2243"/>
      <c r="D24" s="2243"/>
      <c r="E24" s="2243"/>
      <c r="F24" s="1756"/>
      <c r="G24" s="1757">
        <f>SUM(G3,G12)-G23</f>
        <v>0</v>
      </c>
      <c r="H24" s="1757">
        <f>SUM(H3,H12)-H23</f>
        <v>0</v>
      </c>
      <c r="I24" s="1757">
        <f>SUM(I3,I12)-I23</f>
        <v>0</v>
      </c>
      <c r="J24" s="1757">
        <f>SUM(J3,J12)-J23</f>
        <v>224442</v>
      </c>
      <c r="K24" s="1757">
        <f>SUM(K3,K12)-K23</f>
        <v>0</v>
      </c>
    </row>
    <row r="25" spans="1:11" ht="13.5" thickTop="1" x14ac:dyDescent="0.2">
      <c r="A25" s="796" t="s">
        <v>420</v>
      </c>
      <c r="B25" s="797"/>
      <c r="C25" s="797"/>
      <c r="D25" s="797"/>
      <c r="E25" s="798"/>
      <c r="F25" s="799">
        <v>714</v>
      </c>
      <c r="G25" s="800"/>
      <c r="H25" s="800"/>
      <c r="I25" s="800"/>
      <c r="J25" s="795">
        <v>224442</v>
      </c>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53"/>
      <c r="I31" s="2254"/>
      <c r="J31" s="2254"/>
      <c r="K31" s="2254"/>
    </row>
    <row r="32" spans="1:11" x14ac:dyDescent="0.2">
      <c r="A32" s="807"/>
      <c r="B32" s="237"/>
      <c r="C32" s="237"/>
      <c r="D32" s="237"/>
      <c r="E32" s="803"/>
      <c r="F32" s="809" t="s">
        <v>540</v>
      </c>
      <c r="G32" s="762"/>
      <c r="H32" s="2255"/>
      <c r="I32" s="2254"/>
      <c r="J32" s="2254"/>
      <c r="K32" s="2254"/>
    </row>
    <row r="33" spans="1:11" ht="1.5" customHeight="1" x14ac:dyDescent="0.2">
      <c r="A33" s="810" t="s">
        <v>1169</v>
      </c>
      <c r="B33" s="364"/>
      <c r="C33" s="364"/>
      <c r="D33" s="364"/>
      <c r="E33" s="364"/>
      <c r="F33" s="364"/>
      <c r="G33" s="811"/>
      <c r="H33" s="2255"/>
      <c r="I33" s="2254"/>
      <c r="J33" s="2254"/>
      <c r="K33" s="2254"/>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3" t="s">
        <v>541</v>
      </c>
      <c r="B41" s="2224"/>
      <c r="C41" s="2224"/>
      <c r="D41" s="2224"/>
      <c r="E41" s="2224"/>
      <c r="F41" s="2225"/>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J32" sqref="J32"/>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1908</v>
      </c>
      <c r="B1" s="2263"/>
      <c r="C1" s="2264"/>
      <c r="D1" s="824"/>
      <c r="E1" s="825"/>
      <c r="F1" s="825"/>
      <c r="G1" s="826"/>
      <c r="H1" s="827"/>
      <c r="I1" s="828"/>
      <c r="J1" s="2260"/>
      <c r="K1" s="2261"/>
      <c r="L1" s="2261"/>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v>11896</v>
      </c>
      <c r="D3" s="833"/>
      <c r="E3" s="833"/>
      <c r="F3" s="1754">
        <f>(C3+D3)-E3</f>
        <v>11896</v>
      </c>
      <c r="G3" s="834"/>
      <c r="H3" s="833">
        <v>3570</v>
      </c>
      <c r="I3" s="833">
        <v>1190</v>
      </c>
      <c r="J3" s="833"/>
      <c r="K3" s="1763">
        <f>(H3+I3)-J3</f>
        <v>4760</v>
      </c>
      <c r="L3" s="1763">
        <f>F3-K3</f>
        <v>7136</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262327</v>
      </c>
      <c r="D5" s="839"/>
      <c r="E5" s="839"/>
      <c r="F5" s="1754">
        <f>(C5+D5)-E5</f>
        <v>262327</v>
      </c>
      <c r="G5" s="835"/>
      <c r="H5" s="840"/>
      <c r="I5" s="840"/>
      <c r="J5" s="840"/>
      <c r="K5" s="791"/>
      <c r="L5" s="1763">
        <f>F5-K5</f>
        <v>262327</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15066298</v>
      </c>
      <c r="D8" s="842"/>
      <c r="E8" s="842">
        <v>172888</v>
      </c>
      <c r="F8" s="1754">
        <f>(C8+D8)-E8</f>
        <v>14893410</v>
      </c>
      <c r="G8" s="841">
        <v>50</v>
      </c>
      <c r="H8" s="763">
        <v>5699152</v>
      </c>
      <c r="I8" s="763">
        <v>268944</v>
      </c>
      <c r="J8" s="763">
        <v>86156</v>
      </c>
      <c r="K8" s="1763">
        <f>(H8+I8)-J8</f>
        <v>5881940</v>
      </c>
      <c r="L8" s="1763">
        <f>F8-K8</f>
        <v>9011470</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862967</v>
      </c>
      <c r="D10" s="844">
        <v>172625</v>
      </c>
      <c r="E10" s="844">
        <v>160765</v>
      </c>
      <c r="F10" s="1758">
        <f>(C10+D10)-E10</f>
        <v>874827</v>
      </c>
      <c r="G10" s="841">
        <v>20</v>
      </c>
      <c r="H10" s="845">
        <v>346231</v>
      </c>
      <c r="I10" s="845">
        <v>50065</v>
      </c>
      <c r="J10" s="845">
        <v>50404</v>
      </c>
      <c r="K10" s="1763">
        <f>(H10+I10)-J10</f>
        <v>345892</v>
      </c>
      <c r="L10" s="1763">
        <f>F10-K10</f>
        <v>528935</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853622</v>
      </c>
      <c r="D12" s="842">
        <v>202698</v>
      </c>
      <c r="E12" s="842">
        <v>98608</v>
      </c>
      <c r="F12" s="1754">
        <f>(C12+D12)-E12</f>
        <v>957712</v>
      </c>
      <c r="G12" s="841">
        <v>10</v>
      </c>
      <c r="H12" s="763">
        <v>458705</v>
      </c>
      <c r="I12" s="763">
        <v>95771</v>
      </c>
      <c r="J12" s="763">
        <v>98608</v>
      </c>
      <c r="K12" s="1763">
        <f>(H12+I12)-J12</f>
        <v>455868</v>
      </c>
      <c r="L12" s="1763">
        <f>F12-K12</f>
        <v>501844</v>
      </c>
    </row>
    <row r="13" spans="1:14" ht="14.25" thickTop="1" thickBot="1" x14ac:dyDescent="0.25">
      <c r="A13" s="846" t="s">
        <v>1122</v>
      </c>
      <c r="B13" s="838">
        <v>252</v>
      </c>
      <c r="C13" s="842">
        <v>348515</v>
      </c>
      <c r="D13" s="842">
        <v>49785</v>
      </c>
      <c r="E13" s="842">
        <v>65159</v>
      </c>
      <c r="F13" s="1754">
        <f>(C13+D13)-E13</f>
        <v>333141</v>
      </c>
      <c r="G13" s="841">
        <v>5</v>
      </c>
      <c r="H13" s="763">
        <v>318832</v>
      </c>
      <c r="I13" s="763">
        <v>17671</v>
      </c>
      <c r="J13" s="763">
        <v>65159</v>
      </c>
      <c r="K13" s="1763">
        <f>(H13+I13)-J13</f>
        <v>271344</v>
      </c>
      <c r="L13" s="1763">
        <f>F13-K13</f>
        <v>61797</v>
      </c>
    </row>
    <row r="14" spans="1:14" ht="14.25" thickTop="1" thickBot="1" x14ac:dyDescent="0.25">
      <c r="A14" s="846" t="s">
        <v>1123</v>
      </c>
      <c r="B14" s="838">
        <v>253</v>
      </c>
      <c r="C14" s="763">
        <v>4896</v>
      </c>
      <c r="D14" s="763"/>
      <c r="E14" s="763"/>
      <c r="F14" s="1754">
        <f>(C14+D14)-E14</f>
        <v>4896</v>
      </c>
      <c r="G14" s="841">
        <v>3</v>
      </c>
      <c r="H14" s="763">
        <v>4896</v>
      </c>
      <c r="I14" s="763"/>
      <c r="J14" s="763"/>
      <c r="K14" s="1763">
        <f>(H14+I14)-J14</f>
        <v>4896</v>
      </c>
      <c r="L14" s="1763">
        <f>F14-K14</f>
        <v>0</v>
      </c>
    </row>
    <row r="15" spans="1:14" ht="15" customHeight="1" thickTop="1" thickBot="1" x14ac:dyDescent="0.25">
      <c r="A15" s="1629" t="s">
        <v>528</v>
      </c>
      <c r="B15" s="1628">
        <v>260</v>
      </c>
      <c r="C15" s="842">
        <v>24692</v>
      </c>
      <c r="D15" s="842">
        <v>5281</v>
      </c>
      <c r="E15" s="842">
        <v>24692</v>
      </c>
      <c r="F15" s="1754">
        <f>(C15+D15)-E15</f>
        <v>5281</v>
      </c>
      <c r="G15" s="847" t="s">
        <v>862</v>
      </c>
      <c r="H15" s="779"/>
      <c r="I15" s="779"/>
      <c r="J15" s="779"/>
      <c r="K15" s="779"/>
      <c r="L15" s="1763">
        <f>F15-K15</f>
        <v>5281</v>
      </c>
    </row>
    <row r="16" spans="1:14" ht="15" customHeight="1" thickTop="1" thickBot="1" x14ac:dyDescent="0.25">
      <c r="A16" s="1759" t="s">
        <v>643</v>
      </c>
      <c r="B16" s="1760">
        <v>200</v>
      </c>
      <c r="C16" s="1754">
        <f>SUM(C3,C5:C6,C8:C10,C12:C15)</f>
        <v>17435213</v>
      </c>
      <c r="D16" s="1754">
        <f>SUM(D3,D5:D6,D8:D10,D12:D15)</f>
        <v>430389</v>
      </c>
      <c r="E16" s="1754">
        <f>SUM(E3,E5:E6,E8:E10,E12:E15)</f>
        <v>522112</v>
      </c>
      <c r="F16" s="1754">
        <f>SUM(F3,F5:F6,F8:F10,F12:F15)</f>
        <v>17343490</v>
      </c>
      <c r="G16" s="841"/>
      <c r="H16" s="1754">
        <f>SUM(H3,H6,H8:H10,H12:H14,)</f>
        <v>6831386</v>
      </c>
      <c r="I16" s="1754">
        <f>SUM(I3,I6,I8:I10,I12:I14,)</f>
        <v>433641</v>
      </c>
      <c r="J16" s="1754">
        <f>SUM(J3,J6,J8:J10,J12:J14,)</f>
        <v>300327</v>
      </c>
      <c r="K16" s="1754">
        <f>(H16+I16)-J16</f>
        <v>6964700</v>
      </c>
      <c r="L16" s="1754">
        <f>F16-K16</f>
        <v>10378790</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433641</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9" activePane="bottomLeft" state="frozen"/>
      <selection activeCell="J32" sqref="J32"/>
      <selection pane="bottomLeft" activeCell="J32" sqref="J32"/>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8" t="s">
        <v>1973</v>
      </c>
      <c r="B1" s="2269"/>
      <c r="C1" s="2269"/>
      <c r="D1" s="2269"/>
      <c r="E1" s="2269"/>
      <c r="F1" s="2270"/>
      <c r="G1" s="853"/>
    </row>
    <row r="2" spans="1:7" ht="15" customHeight="1" thickBot="1" x14ac:dyDescent="0.25">
      <c r="A2" s="2271" t="s">
        <v>477</v>
      </c>
      <c r="B2" s="2272"/>
      <c r="C2" s="2272"/>
      <c r="D2" s="2272"/>
      <c r="E2" s="2272"/>
      <c r="F2" s="2273"/>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4075726</v>
      </c>
      <c r="G8" s="863"/>
    </row>
    <row r="9" spans="1:7" x14ac:dyDescent="0.2">
      <c r="A9" s="867" t="s">
        <v>460</v>
      </c>
      <c r="B9" s="868" t="s">
        <v>1876</v>
      </c>
      <c r="C9" s="869"/>
      <c r="D9" s="867" t="s">
        <v>501</v>
      </c>
      <c r="E9" s="866"/>
      <c r="F9" s="1902">
        <f>'Expenditures 15-22'!K151</f>
        <v>611508</v>
      </c>
      <c r="G9" s="870"/>
    </row>
    <row r="10" spans="1:7" x14ac:dyDescent="0.2">
      <c r="A10" s="867" t="s">
        <v>499</v>
      </c>
      <c r="B10" s="868" t="s">
        <v>1877</v>
      </c>
      <c r="C10" s="869"/>
      <c r="D10" s="867" t="s">
        <v>501</v>
      </c>
      <c r="E10" s="866"/>
      <c r="F10" s="1902">
        <f>'Expenditures 15-22'!K174</f>
        <v>424275</v>
      </c>
      <c r="G10" s="870"/>
    </row>
    <row r="11" spans="1:7" x14ac:dyDescent="0.2">
      <c r="A11" s="867" t="s">
        <v>461</v>
      </c>
      <c r="B11" s="868" t="s">
        <v>1878</v>
      </c>
      <c r="C11" s="869"/>
      <c r="D11" s="867" t="s">
        <v>501</v>
      </c>
      <c r="E11" s="866"/>
      <c r="F11" s="1902">
        <f>'Expenditures 15-22'!K210</f>
        <v>297451</v>
      </c>
      <c r="G11" s="870"/>
    </row>
    <row r="12" spans="1:7" x14ac:dyDescent="0.2">
      <c r="A12" s="867" t="s">
        <v>462</v>
      </c>
      <c r="B12" s="868" t="s">
        <v>1879</v>
      </c>
      <c r="C12" s="869"/>
      <c r="D12" s="867" t="s">
        <v>501</v>
      </c>
      <c r="E12" s="866"/>
      <c r="F12" s="1902">
        <f>'Expenditures 15-22'!K295</f>
        <v>199055</v>
      </c>
      <c r="G12" s="870"/>
    </row>
    <row r="13" spans="1:7" x14ac:dyDescent="0.2">
      <c r="A13" s="867" t="s">
        <v>106</v>
      </c>
      <c r="B13" s="868" t="s">
        <v>1880</v>
      </c>
      <c r="C13" s="869"/>
      <c r="D13" s="867" t="s">
        <v>501</v>
      </c>
      <c r="E13" s="866"/>
      <c r="F13" s="1902">
        <f>'Expenditures 15-22'!K342</f>
        <v>115438</v>
      </c>
      <c r="G13" s="871"/>
    </row>
    <row r="14" spans="1:7" ht="12" customHeight="1" thickBot="1" x14ac:dyDescent="0.25">
      <c r="A14" s="1764"/>
      <c r="B14" s="1765"/>
      <c r="C14" s="1766"/>
      <c r="D14" s="1767" t="s">
        <v>501</v>
      </c>
      <c r="E14" s="1768" t="s">
        <v>958</v>
      </c>
      <c r="F14" s="1769">
        <f>SUM(F8:F13)</f>
        <v>5723453</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1075</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600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18513</v>
      </c>
      <c r="G52" s="863"/>
    </row>
    <row r="53" spans="1:7" x14ac:dyDescent="0.2">
      <c r="A53" s="867" t="s">
        <v>459</v>
      </c>
      <c r="B53" s="867" t="s">
        <v>1475</v>
      </c>
      <c r="C53" s="887">
        <f>'Expenditures 15-22'!B102</f>
        <v>4000</v>
      </c>
      <c r="D53" s="886" t="str">
        <f>'Expenditures 15-22'!A102</f>
        <v>Total Payments to Other Govt Units</v>
      </c>
      <c r="E53" s="866"/>
      <c r="F53" s="1906">
        <f>'Expenditures 15-22'!K102</f>
        <v>8600</v>
      </c>
      <c r="G53" s="863"/>
    </row>
    <row r="54" spans="1:7" x14ac:dyDescent="0.2">
      <c r="A54" s="867" t="s">
        <v>459</v>
      </c>
      <c r="B54" s="867" t="s">
        <v>1476</v>
      </c>
      <c r="C54" s="887" t="s">
        <v>982</v>
      </c>
      <c r="D54" s="883" t="s">
        <v>1095</v>
      </c>
      <c r="E54" s="866"/>
      <c r="F54" s="1906">
        <f>'Expenditures 15-22'!G114</f>
        <v>88155</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63870</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389884</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49785</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0</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25</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620507</v>
      </c>
      <c r="G76" s="863"/>
    </row>
    <row r="77" spans="1:8" s="891" customFormat="1" ht="12" customHeight="1" thickTop="1" thickBot="1" x14ac:dyDescent="0.25">
      <c r="A77" s="1773"/>
      <c r="B77" s="1770"/>
      <c r="C77" s="1766"/>
      <c r="D77" s="1771" t="s">
        <v>1899</v>
      </c>
      <c r="E77" s="1768"/>
      <c r="F77" s="1774">
        <f>(F14-F76)</f>
        <v>5102946</v>
      </c>
      <c r="G77" s="867"/>
    </row>
    <row r="78" spans="1:8" s="891" customFormat="1" ht="12" customHeight="1" thickTop="1" x14ac:dyDescent="0.2">
      <c r="A78" s="1775"/>
      <c r="B78" s="1770"/>
      <c r="C78" s="1766"/>
      <c r="D78" s="1771" t="s">
        <v>2060</v>
      </c>
      <c r="E78" s="1768"/>
      <c r="F78" s="896">
        <v>506.3</v>
      </c>
      <c r="G78" s="897"/>
      <c r="H78" s="867"/>
    </row>
    <row r="79" spans="1:8" s="891" customFormat="1" ht="12" customHeight="1" thickBot="1" x14ac:dyDescent="0.25">
      <c r="A79" s="1776"/>
      <c r="B79" s="1770"/>
      <c r="C79" s="1766"/>
      <c r="D79" s="1771" t="s">
        <v>1900</v>
      </c>
      <c r="E79" s="1768" t="s">
        <v>958</v>
      </c>
      <c r="F79" s="1777">
        <f>IF(F78&gt;0,F77/F78," Complete Line 78")</f>
        <v>10078.897886628482</v>
      </c>
      <c r="G79" s="867"/>
    </row>
    <row r="80" spans="1:8" s="891" customFormat="1" ht="8.25" customHeight="1" thickTop="1" x14ac:dyDescent="0.2">
      <c r="A80" s="898"/>
      <c r="B80" s="867"/>
      <c r="C80" s="869"/>
      <c r="D80" s="899"/>
      <c r="E80" s="866"/>
      <c r="F80" s="900"/>
      <c r="G80" s="867"/>
    </row>
    <row r="81" spans="1:7" s="891" customFormat="1" ht="12" thickBot="1" x14ac:dyDescent="0.25">
      <c r="A81" s="2265" t="s">
        <v>1105</v>
      </c>
      <c r="B81" s="2266"/>
      <c r="C81" s="2266"/>
      <c r="D81" s="2266"/>
      <c r="E81" s="2266"/>
      <c r="F81" s="2267"/>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87410</v>
      </c>
      <c r="G94" s="910"/>
    </row>
    <row r="95" spans="1:7" x14ac:dyDescent="0.2">
      <c r="A95" s="906" t="s">
        <v>140</v>
      </c>
      <c r="B95" s="906" t="s">
        <v>175</v>
      </c>
      <c r="C95" s="908">
        <v>1700</v>
      </c>
      <c r="D95" s="916" t="str">
        <f>'Revenues 9-14'!A82</f>
        <v>Total District/School Activity Income</v>
      </c>
      <c r="E95" s="904"/>
      <c r="F95" s="1783">
        <f>SUM('Revenues 9-14'!C82,'Revenues 9-14'!D82)</f>
        <v>67751</v>
      </c>
      <c r="G95" s="910"/>
    </row>
    <row r="96" spans="1:7" x14ac:dyDescent="0.2">
      <c r="A96" s="906" t="s">
        <v>459</v>
      </c>
      <c r="B96" s="906" t="s">
        <v>176</v>
      </c>
      <c r="C96" s="908">
        <f>'Revenues 9-14'!B84</f>
        <v>1811</v>
      </c>
      <c r="D96" s="909" t="str">
        <f>'Revenues 9-14'!A84</f>
        <v>Rentals - Regular Textbooks</v>
      </c>
      <c r="E96" s="904"/>
      <c r="F96" s="1783">
        <f>'Revenues 9-14'!C84</f>
        <v>21467</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158</v>
      </c>
      <c r="G100" s="910"/>
    </row>
    <row r="101" spans="1:7" x14ac:dyDescent="0.2">
      <c r="A101" s="906" t="s">
        <v>140</v>
      </c>
      <c r="B101" s="906" t="s">
        <v>181</v>
      </c>
      <c r="C101" s="908">
        <f>'Revenues 9-14'!B95</f>
        <v>1910</v>
      </c>
      <c r="D101" s="909" t="str">
        <f>'Revenues 9-14'!A95</f>
        <v>Rentals</v>
      </c>
      <c r="E101" s="904"/>
      <c r="F101" s="1783">
        <f>SUM('Revenues 9-14'!C95:D95)</f>
        <v>30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7942</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43194</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2616</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8105</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146339</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750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19732</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161047</v>
      </c>
      <c r="G125" s="928"/>
    </row>
    <row r="126" spans="1:7" x14ac:dyDescent="0.2">
      <c r="A126" s="925" t="s">
        <v>668</v>
      </c>
      <c r="B126" s="925" t="s">
        <v>2022</v>
      </c>
      <c r="C126" s="930">
        <v>4300</v>
      </c>
      <c r="D126" s="931" t="str">
        <f>'Revenues 9-14'!A204</f>
        <v>Total Title I</v>
      </c>
      <c r="E126" s="904"/>
      <c r="F126" s="1783">
        <f>SUM('Revenues 9-14'!C204,'Revenues 9-14'!D204,'Revenues 9-14'!F204,'Revenues 9-14'!G204)</f>
        <v>212363</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4146</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8229</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15326</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12203</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21480</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191689</v>
      </c>
      <c r="G171" s="925"/>
    </row>
    <row r="172" spans="1:7" x14ac:dyDescent="0.2">
      <c r="A172" s="1911" t="s">
        <v>664</v>
      </c>
      <c r="B172" s="1912" t="s">
        <v>1919</v>
      </c>
      <c r="C172" s="1913">
        <v>3300</v>
      </c>
      <c r="D172" s="1914" t="s">
        <v>1922</v>
      </c>
      <c r="E172" s="904"/>
      <c r="F172" s="1899">
        <v>3</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1031980</v>
      </c>
    </row>
    <row r="175" spans="1:7" ht="12" customHeight="1" x14ac:dyDescent="0.2">
      <c r="A175" s="1764"/>
      <c r="B175" s="1778"/>
      <c r="C175" s="1779"/>
      <c r="D175" s="1780" t="s">
        <v>2055</v>
      </c>
      <c r="E175" s="1781"/>
      <c r="F175" s="1783">
        <f>'PCTC-OEPP 27-28'!F77-F174</f>
        <v>4070966</v>
      </c>
    </row>
    <row r="176" spans="1:7" ht="12" customHeight="1" x14ac:dyDescent="0.2">
      <c r="A176" s="1764"/>
      <c r="B176" s="1778"/>
      <c r="C176" s="1779"/>
      <c r="D176" s="1780" t="s">
        <v>1817</v>
      </c>
      <c r="E176" s="1781"/>
      <c r="F176" s="1783">
        <f>'Cap Outlay Deprec 26'!I18</f>
        <v>433641</v>
      </c>
    </row>
    <row r="177" spans="1:7" ht="12" customHeight="1" x14ac:dyDescent="0.2">
      <c r="A177" s="1764"/>
      <c r="B177" s="1778"/>
      <c r="C177" s="1779"/>
      <c r="D177" s="1780" t="s">
        <v>2056</v>
      </c>
      <c r="E177" s="1781"/>
      <c r="F177" s="1783">
        <f>F175+F176</f>
        <v>4504607</v>
      </c>
    </row>
    <row r="178" spans="1:7" ht="12" customHeight="1" x14ac:dyDescent="0.2">
      <c r="A178" s="1764"/>
      <c r="B178" s="1784"/>
      <c r="C178" s="1779"/>
      <c r="D178" s="1780" t="str">
        <f>D78</f>
        <v>9 Month ADA from District Average Daily Attendance/Prior General State Aid Inquiry 2018-2019</v>
      </c>
      <c r="E178" s="1781"/>
      <c r="F178" s="1785">
        <f>'PCTC-OEPP 27-28'!F78</f>
        <v>506.3</v>
      </c>
      <c r="G178" s="928"/>
    </row>
    <row r="179" spans="1:7" ht="12" customHeight="1" thickBot="1" x14ac:dyDescent="0.25">
      <c r="A179" s="1764"/>
      <c r="B179" s="1784"/>
      <c r="C179" s="1779"/>
      <c r="D179" s="1780" t="s">
        <v>2057</v>
      </c>
      <c r="E179" s="1781" t="s">
        <v>1545</v>
      </c>
      <c r="F179" s="1786">
        <f>F177/F178</f>
        <v>8897.1104088485081</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3"/>
  <sheetViews>
    <sheetView showGridLines="0" topLeftCell="A9" zoomScale="90" zoomScaleNormal="90" workbookViewId="0">
      <selection activeCell="J32" sqref="J32"/>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9" t="s">
        <v>1818</v>
      </c>
      <c r="B4" s="2280"/>
      <c r="C4" s="2280"/>
      <c r="D4" s="2280"/>
      <c r="E4" s="2280"/>
      <c r="F4" s="2280"/>
      <c r="G4" s="2281"/>
    </row>
    <row r="5" spans="1:7" x14ac:dyDescent="0.25">
      <c r="A5" s="2282"/>
      <c r="B5" s="2283"/>
      <c r="C5" s="2283"/>
      <c r="D5" s="2283"/>
      <c r="E5" s="2283"/>
      <c r="F5" s="2283"/>
      <c r="G5" s="2284"/>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5" t="s">
        <v>1931</v>
      </c>
      <c r="B8" s="2286"/>
      <c r="C8" s="2286"/>
      <c r="D8" s="2286"/>
      <c r="E8" s="2286"/>
      <c r="F8" s="2286"/>
      <c r="G8" s="2287"/>
    </row>
    <row r="9" spans="1:7" ht="15.75" customHeight="1" x14ac:dyDescent="0.25">
      <c r="A9" s="2288" t="s">
        <v>1906</v>
      </c>
      <c r="B9" s="2289"/>
      <c r="C9" s="2289"/>
      <c r="D9" s="2289"/>
      <c r="E9" s="2289"/>
      <c r="F9" s="2289"/>
      <c r="G9" s="2290"/>
    </row>
    <row r="10" spans="1:7" ht="35.25" customHeight="1" x14ac:dyDescent="0.25">
      <c r="A10" s="2285" t="s">
        <v>2063</v>
      </c>
      <c r="B10" s="2286"/>
      <c r="C10" s="2286"/>
      <c r="D10" s="2286"/>
      <c r="E10" s="2286"/>
      <c r="F10" s="2286"/>
      <c r="G10" s="2287"/>
    </row>
    <row r="11" spans="1:7" ht="15" customHeight="1" x14ac:dyDescent="0.25">
      <c r="A11" s="1535" t="s">
        <v>1820</v>
      </c>
      <c r="B11" s="1536"/>
      <c r="C11" s="1536"/>
      <c r="D11" s="1536"/>
      <c r="E11" s="1536"/>
      <c r="F11" s="1536"/>
      <c r="G11" s="1537"/>
    </row>
    <row r="12" spans="1:7" ht="17.25" customHeight="1" x14ac:dyDescent="0.25">
      <c r="A12" s="2285" t="s">
        <v>1933</v>
      </c>
      <c r="B12" s="2286"/>
      <c r="C12" s="2286"/>
      <c r="D12" s="2286"/>
      <c r="E12" s="2286"/>
      <c r="F12" s="2286"/>
      <c r="G12" s="2287"/>
    </row>
    <row r="13" spans="1:7" ht="15" customHeight="1" x14ac:dyDescent="0.25">
      <c r="A13" s="1535" t="s">
        <v>1825</v>
      </c>
      <c r="B13" s="1536"/>
      <c r="C13" s="1536"/>
      <c r="D13" s="1536"/>
      <c r="E13" s="1536"/>
      <c r="F13" s="1536"/>
      <c r="G13" s="1537"/>
    </row>
    <row r="14" spans="1:7" ht="32.25" customHeight="1" x14ac:dyDescent="0.25">
      <c r="A14" s="2276" t="s">
        <v>1974</v>
      </c>
      <c r="B14" s="2277"/>
      <c r="C14" s="2277"/>
      <c r="D14" s="2277"/>
      <c r="E14" s="2277"/>
      <c r="F14" s="2277"/>
      <c r="G14" s="2278"/>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42" t="s">
        <v>2165</v>
      </c>
      <c r="B18" s="1939" t="s">
        <v>2099</v>
      </c>
      <c r="C18" s="1940" t="s">
        <v>2100</v>
      </c>
      <c r="D18" s="1837">
        <v>36614</v>
      </c>
      <c r="E18" s="1538">
        <f t="shared" ref="E18:E33" si="0">IF(D18&lt;=25000,D18,IF(D18&gt;25000,25000,0))</f>
        <v>25000</v>
      </c>
      <c r="F18" s="1928">
        <f t="shared" ref="F18:F32"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11614</v>
      </c>
      <c r="H18" s="1645"/>
    </row>
    <row r="19" spans="1:8" x14ac:dyDescent="0.25">
      <c r="A19" s="1938" t="s">
        <v>2101</v>
      </c>
      <c r="B19" s="1939" t="s">
        <v>2102</v>
      </c>
      <c r="C19" s="1940" t="s">
        <v>2103</v>
      </c>
      <c r="D19" s="1837">
        <v>60725</v>
      </c>
      <c r="E19" s="1538">
        <f t="shared" ref="E19:E32" si="2">IF(D19&lt;=25000,D19,IF(D19&gt;25000,25000,0))</f>
        <v>25000</v>
      </c>
      <c r="F19" s="1928">
        <f t="shared" si="1"/>
        <v>25000</v>
      </c>
      <c r="G19" s="1787">
        <f t="shared" ref="G19:G32" si="3">IF(F19=0,0,D19-F19)</f>
        <v>35725</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790" t="s">
        <v>156</v>
      </c>
      <c r="B33" s="1791"/>
      <c r="C33" s="1792"/>
      <c r="D33" s="1788">
        <f>SUM(D18:D32)</f>
        <v>97339</v>
      </c>
      <c r="E33" s="1539">
        <f t="shared" si="0"/>
        <v>25000</v>
      </c>
      <c r="F33" s="1925">
        <f>SUM(F18:F32)</f>
        <v>50000</v>
      </c>
      <c r="G33" s="1789">
        <f>SUM(G18:G32)</f>
        <v>47339</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91" t="s">
        <v>1679</v>
      </c>
      <c r="B5" s="2292"/>
      <c r="C5" s="2292"/>
      <c r="D5" s="2292"/>
      <c r="E5" s="2292"/>
      <c r="F5" s="2292"/>
      <c r="G5" s="2293"/>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112062</v>
      </c>
      <c r="F10" s="972"/>
      <c r="G10" s="973"/>
      <c r="H10" s="162"/>
      <c r="I10" s="162"/>
    </row>
    <row r="11" spans="1:9" s="666" customFormat="1" ht="22.5" customHeight="1" x14ac:dyDescent="0.2">
      <c r="A11" s="2296" t="s">
        <v>1975</v>
      </c>
      <c r="B11" s="2297"/>
      <c r="C11" s="2297"/>
      <c r="D11" s="2298"/>
      <c r="E11" s="975">
        <v>19047</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2756662</v>
      </c>
      <c r="F19" s="1793"/>
      <c r="G19" s="1795">
        <f>'Expenditures 15-22'!K33-SUM('Expenditures 15-22'!G33,'Expenditures 15-22'!I33)+'Expenditures 15-22'!D229</f>
        <v>2756662</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282847</v>
      </c>
      <c r="F21" s="1796"/>
      <c r="G21" s="1799">
        <f>'Expenditures 15-22'!K42-SUM('Expenditures 15-22'!G42,'Expenditures 15-22'!I42)+'Expenditures 15-22'!K120-SUM('Expenditures 15-22'!G120,'Expenditures 15-22'!I120)+'Expenditures 15-22'!K180-SUM('Expenditures 15-22'!G180,'Expenditures 15-22'!I180)+'Expenditures 15-22'!D238</f>
        <v>282847</v>
      </c>
      <c r="H21" s="985"/>
      <c r="I21" s="162"/>
    </row>
    <row r="22" spans="1:9" s="666" customFormat="1" ht="12" customHeight="1" x14ac:dyDescent="0.2">
      <c r="A22" s="992" t="s">
        <v>564</v>
      </c>
      <c r="B22" s="993"/>
      <c r="C22" s="991">
        <v>2200</v>
      </c>
      <c r="D22" s="1796"/>
      <c r="E22" s="1798">
        <f>'Expenditures 15-22'!K47-SUM('Expenditures 15-22'!G47,'Expenditures 15-22'!I47)+'Expenditures 15-22'!D243</f>
        <v>170410</v>
      </c>
      <c r="F22" s="1796"/>
      <c r="G22" s="1799">
        <f>'Expenditures 15-22'!K47-SUM('Expenditures 15-22'!G47,'Expenditures 15-22'!I47)+'Expenditures 15-22'!D243</f>
        <v>170410</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367602</v>
      </c>
      <c r="F23" s="1796"/>
      <c r="G23" s="1798">
        <f>'Expenditures 15-22'!K53-SUM('Expenditures 15-22'!G53,'Expenditures 15-22'!I53)+'Expenditures 15-22'!D257+'Expenditures 15-22'!K330-SUM('Expenditures 15-22'!G330,'Expenditures 15-22'!I330)</f>
        <v>367602</v>
      </c>
      <c r="H23" s="985"/>
      <c r="I23" s="162"/>
    </row>
    <row r="24" spans="1:9" s="666" customFormat="1" ht="12" customHeight="1" x14ac:dyDescent="0.2">
      <c r="A24" s="992" t="s">
        <v>566</v>
      </c>
      <c r="B24" s="993"/>
      <c r="C24" s="991">
        <v>2400</v>
      </c>
      <c r="D24" s="1796"/>
      <c r="E24" s="1798">
        <f>'Expenditures 15-22'!K57-SUM('Expenditures 15-22'!G57,'Expenditures 15-22'!I57)+'Expenditures 15-22'!D261</f>
        <v>357227</v>
      </c>
      <c r="F24" s="1796"/>
      <c r="G24" s="1799">
        <f>'Expenditures 15-22'!K57-SUM('Expenditures 15-22'!G57,'Expenditures 15-22'!I57)+'Expenditures 15-22'!D261</f>
        <v>357227</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57668</v>
      </c>
      <c r="E27" s="1798">
        <f>E8</f>
        <v>0</v>
      </c>
      <c r="F27" s="1798">
        <f>'Expenditures 15-22'!K60-SUM('Expenditures 15-22'!G60,'Expenditures 15-22'!I60)+'Expenditures 15-22'!D264-E8</f>
        <v>57668</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588941</v>
      </c>
      <c r="F28" s="1800">
        <f>'Expenditures 15-22'!K61-SUM('Expenditures 15-22'!G61,'Expenditures 15-22'!I61)+'Expenditures 15-22'!K124-SUM('Expenditures 15-22'!G124,'Expenditures 15-22'!I124)+'Expenditures 15-22'!D266-E9</f>
        <v>588941</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265914</v>
      </c>
      <c r="F29" s="1796"/>
      <c r="G29" s="1799">
        <f>'Expenditures 15-22'!K62-SUM('Expenditures 15-22'!G62,'Expenditures 15-22'!I62)+'Expenditures 15-22'!K125-SUM('Expenditures 15-22'!G125,'Expenditures 15-22'!I125)+'Expenditures 15-22'!K182-SUM('Expenditures 15-22'!G182,'Expenditures 15-22'!I182)+'Expenditures 15-22'!D267</f>
        <v>265914</v>
      </c>
      <c r="H29" s="983"/>
    </row>
    <row r="30" spans="1:9" ht="12" customHeight="1" x14ac:dyDescent="0.2">
      <c r="A30" s="992" t="s">
        <v>100</v>
      </c>
      <c r="B30" s="995"/>
      <c r="C30" s="991">
        <v>2560</v>
      </c>
      <c r="D30" s="1796"/>
      <c r="E30" s="1798">
        <f>'Expenditures 15-22'!K63-SUM('Expenditures 15-22'!G63,'Expenditures 15-22'!I63)+'Expenditures 15-22'!D268-E10</f>
        <v>110922</v>
      </c>
      <c r="F30" s="1796"/>
      <c r="G30" s="1798">
        <f>'Expenditures 15-22'!K63-SUM('Expenditures 15-22'!G63,'Expenditures 15-22'!I63)+'Expenditures 15-22'!D268-E10</f>
        <v>110922</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18513</v>
      </c>
      <c r="F39" s="1796"/>
      <c r="G39" s="1798">
        <f>'Expenditures 15-22'!K75-SUM('Expenditures 15-22'!G75,'Expenditures 15-22'!I75)+'Expenditures 15-22'!K130-SUM('Expenditures 15-22'!G130,'Expenditures 15-22'!I130)+'Expenditures 15-22'!K185-SUM('Expenditures 15-22'!G185,'Expenditures 15-22'!I185)+'Expenditures 15-22'!D280</f>
        <v>18513</v>
      </c>
    </row>
    <row r="40" spans="1:7" ht="12" customHeight="1" x14ac:dyDescent="0.2">
      <c r="A40" s="988" t="s">
        <v>1823</v>
      </c>
      <c r="B40" s="989"/>
      <c r="C40" s="991"/>
      <c r="D40" s="1796"/>
      <c r="E40" s="1800">
        <f>-'Contracts Paid in CY 29'!G33</f>
        <v>-47339</v>
      </c>
      <c r="F40" s="1796"/>
      <c r="G40" s="1800">
        <f>-'Contracts Paid in CY 29'!G33</f>
        <v>-47339</v>
      </c>
    </row>
    <row r="41" spans="1:7" ht="12" customHeight="1" x14ac:dyDescent="0.2">
      <c r="A41" s="996" t="s">
        <v>156</v>
      </c>
      <c r="B41" s="997"/>
      <c r="C41" s="998"/>
      <c r="D41" s="1800">
        <f>SUM(D19:D39)</f>
        <v>57668</v>
      </c>
      <c r="E41" s="1800">
        <f>SUM(E19:E40)</f>
        <v>4871699</v>
      </c>
      <c r="F41" s="1800">
        <f>SUM(F19:F39)</f>
        <v>646609</v>
      </c>
      <c r="G41" s="1800">
        <f>SUM(G19:G40)</f>
        <v>4282758</v>
      </c>
    </row>
    <row r="42" spans="1:7" x14ac:dyDescent="0.2">
      <c r="A42" s="985"/>
      <c r="B42" s="162"/>
      <c r="C42" s="999"/>
      <c r="D42" s="2294" t="s">
        <v>522</v>
      </c>
      <c r="E42" s="2295"/>
      <c r="F42" s="1000" t="s">
        <v>523</v>
      </c>
      <c r="G42" s="1001"/>
    </row>
    <row r="43" spans="1:7" ht="12" customHeight="1" x14ac:dyDescent="0.2">
      <c r="A43" s="985"/>
      <c r="B43" s="162"/>
      <c r="C43" s="999"/>
      <c r="D43" s="1801" t="s">
        <v>473</v>
      </c>
      <c r="E43" s="1802">
        <f>D41</f>
        <v>57668</v>
      </c>
      <c r="F43" s="1801" t="s">
        <v>473</v>
      </c>
      <c r="G43" s="1802">
        <f>F41</f>
        <v>646609</v>
      </c>
    </row>
    <row r="44" spans="1:7" ht="12" customHeight="1" x14ac:dyDescent="0.2">
      <c r="A44" s="985"/>
      <c r="B44" s="162"/>
      <c r="C44" s="999"/>
      <c r="D44" s="1801" t="s">
        <v>474</v>
      </c>
      <c r="E44" s="1802">
        <f>E41</f>
        <v>4871699</v>
      </c>
      <c r="F44" s="1801" t="s">
        <v>474</v>
      </c>
      <c r="G44" s="1802">
        <f>G41</f>
        <v>4282758</v>
      </c>
    </row>
    <row r="45" spans="1:7" ht="12" customHeight="1" x14ac:dyDescent="0.2">
      <c r="A45" s="985"/>
      <c r="B45" s="162"/>
      <c r="C45" s="162"/>
      <c r="D45" s="1803" t="s">
        <v>1006</v>
      </c>
      <c r="E45" s="1804">
        <f>(E43/E44)</f>
        <v>1.1837348736036443E-2</v>
      </c>
      <c r="F45" s="1803" t="s">
        <v>1006</v>
      </c>
      <c r="G45" s="1804">
        <f>(G43/G44)</f>
        <v>0.15097957904695994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15" activePane="bottomLeft" state="frozen"/>
      <selection activeCell="J32" sqref="J32"/>
      <selection pane="bottomLeft" activeCell="J32" sqref="J32"/>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7109375" style="1871" bestFit="1" customWidth="1"/>
    <col min="9" max="9" width="4" style="1871" bestFit="1" customWidth="1"/>
    <col min="10" max="10" width="2.7109375" style="1871" bestFit="1" customWidth="1"/>
    <col min="11" max="11" width="9" style="1871" customWidth="1"/>
    <col min="12" max="16384" width="9.140625" style="1840"/>
  </cols>
  <sheetData>
    <row r="1" spans="1:10" x14ac:dyDescent="0.2">
      <c r="A1" s="2302" t="s">
        <v>1379</v>
      </c>
      <c r="B1" s="2302"/>
      <c r="C1" s="2302"/>
      <c r="D1" s="2302"/>
      <c r="E1" s="2302"/>
      <c r="F1" s="2302"/>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3" t="s">
        <v>1546</v>
      </c>
      <c r="B5" s="2304"/>
      <c r="C5" s="2305"/>
      <c r="D5" s="2305"/>
      <c r="E5" s="2305"/>
      <c r="F5" s="2305"/>
    </row>
    <row r="6" spans="1:10" ht="12" customHeight="1" x14ac:dyDescent="0.25">
      <c r="A6" s="1843"/>
      <c r="B6" s="1844"/>
      <c r="C6" s="2306" t="str">
        <f>COVER!A17</f>
        <v>Neoga CUSD 3</v>
      </c>
      <c r="D6" s="2306"/>
      <c r="E6" s="2306"/>
      <c r="F6" s="1845"/>
    </row>
    <row r="7" spans="1:10" ht="11.25" customHeight="1" thickBot="1" x14ac:dyDescent="0.3">
      <c r="A7" s="1843"/>
      <c r="B7" s="1844"/>
      <c r="C7" s="2307">
        <f>COVER!A13</f>
        <v>11018003026</v>
      </c>
      <c r="D7" s="2307"/>
      <c r="E7" s="2307"/>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2065</v>
      </c>
      <c r="D19" s="1858" t="s">
        <v>2065</v>
      </c>
      <c r="E19" s="1861"/>
      <c r="F19" s="1860" t="s">
        <v>2094</v>
      </c>
      <c r="H19" s="1871">
        <f t="shared" si="0"/>
        <v>5</v>
      </c>
      <c r="I19" s="1871">
        <f t="shared" si="1"/>
        <v>5</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t="s">
        <v>2065</v>
      </c>
      <c r="D25" s="1858" t="s">
        <v>2065</v>
      </c>
      <c r="E25" s="1861"/>
      <c r="F25" s="1860" t="s">
        <v>2095</v>
      </c>
      <c r="H25" s="1871">
        <f t="shared" si="0"/>
        <v>5</v>
      </c>
      <c r="I25" s="1871">
        <f t="shared" si="1"/>
        <v>5</v>
      </c>
      <c r="J25" s="1871">
        <f t="shared" si="2"/>
        <v>0</v>
      </c>
    </row>
    <row r="26" spans="1:12" ht="12" customHeight="1" x14ac:dyDescent="0.2">
      <c r="A26" s="1856" t="s">
        <v>1534</v>
      </c>
      <c r="B26" s="1857"/>
      <c r="C26" s="1858" t="s">
        <v>2065</v>
      </c>
      <c r="D26" s="1858" t="s">
        <v>2065</v>
      </c>
      <c r="E26" s="1861"/>
      <c r="F26" s="1860" t="s">
        <v>2096</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t="s">
        <v>2065</v>
      </c>
      <c r="D28" s="1858" t="s">
        <v>2065</v>
      </c>
      <c r="E28" s="1861"/>
      <c r="F28" s="1860" t="s">
        <v>2097</v>
      </c>
      <c r="H28" s="1871">
        <f t="shared" si="0"/>
        <v>5</v>
      </c>
      <c r="I28" s="1871">
        <f t="shared" si="1"/>
        <v>5</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2098</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25</v>
      </c>
      <c r="I34" s="1871">
        <f>SUM(I11:I32)</f>
        <v>25</v>
      </c>
      <c r="J34" s="1871">
        <f>SUM(J11:J32)</f>
        <v>0</v>
      </c>
      <c r="K34" s="1871">
        <f>SUM(H34:J34)</f>
        <v>50</v>
      </c>
    </row>
    <row r="35" spans="1:11" ht="12" customHeight="1" x14ac:dyDescent="0.2">
      <c r="A35" s="1864" t="s">
        <v>1392</v>
      </c>
      <c r="B35" s="1865"/>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66"/>
      <c r="B39" s="1866"/>
      <c r="C39" s="1866"/>
      <c r="D39" s="1866"/>
      <c r="E39" s="1866"/>
      <c r="F39" s="1866"/>
    </row>
    <row r="40" spans="1:11" s="1863" customFormat="1" ht="12" customHeight="1" x14ac:dyDescent="0.25">
      <c r="A40" s="1867" t="s">
        <v>1391</v>
      </c>
      <c r="B40" s="1868"/>
      <c r="C40" s="2316"/>
      <c r="D40" s="2316"/>
      <c r="E40" s="2316"/>
      <c r="F40" s="2317"/>
      <c r="H40" s="1872"/>
      <c r="I40" s="1872"/>
      <c r="J40" s="1872"/>
      <c r="K40" s="1872"/>
    </row>
    <row r="41" spans="1:11" s="1863" customFormat="1" ht="12" customHeight="1" x14ac:dyDescent="0.25">
      <c r="A41" s="2318"/>
      <c r="B41" s="2319"/>
      <c r="C41" s="2319"/>
      <c r="D41" s="2319"/>
      <c r="E41" s="2319"/>
      <c r="F41" s="2320"/>
      <c r="H41" s="1872"/>
      <c r="I41" s="1872"/>
      <c r="J41" s="1872"/>
      <c r="K41" s="1872"/>
    </row>
    <row r="42" spans="1:11" s="1863" customFormat="1" ht="12" customHeight="1" x14ac:dyDescent="0.25">
      <c r="A42" s="2318"/>
      <c r="B42" s="2319"/>
      <c r="C42" s="2319"/>
      <c r="D42" s="2319"/>
      <c r="E42" s="2319"/>
      <c r="F42" s="2320"/>
      <c r="H42" s="1872"/>
      <c r="I42" s="1872"/>
      <c r="J42" s="1872"/>
      <c r="K42" s="1872"/>
    </row>
    <row r="43" spans="1:11" s="1863" customFormat="1" ht="15" x14ac:dyDescent="0.25">
      <c r="A43" s="2310"/>
      <c r="B43" s="2311"/>
      <c r="C43" s="2311"/>
      <c r="D43" s="2311"/>
      <c r="E43" s="2311"/>
      <c r="F43" s="2312"/>
      <c r="H43" s="1872"/>
      <c r="I43" s="1872"/>
      <c r="J43" s="1872"/>
      <c r="K43" s="1872"/>
    </row>
    <row r="44" spans="1:11" s="1863" customFormat="1" ht="12" hidden="1" customHeight="1" x14ac:dyDescent="0.25">
      <c r="A44" s="2310"/>
      <c r="B44" s="2311"/>
      <c r="C44" s="2311"/>
      <c r="D44" s="2311"/>
      <c r="E44" s="2311"/>
      <c r="F44" s="2312"/>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J32" sqref="J3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6" t="str">
        <f>COVER!A17</f>
        <v>Neoga CUSD 3</v>
      </c>
      <c r="J6" s="2327"/>
      <c r="Q6" s="1660"/>
    </row>
    <row r="7" spans="1:17" x14ac:dyDescent="0.2">
      <c r="A7" s="2328" t="s">
        <v>869</v>
      </c>
      <c r="B7" s="2329"/>
      <c r="C7" s="2329"/>
      <c r="D7" s="2329"/>
      <c r="E7" s="2330"/>
      <c r="F7" s="1015"/>
      <c r="G7" s="1007"/>
      <c r="H7" s="1014" t="s">
        <v>372</v>
      </c>
      <c r="I7" s="2331">
        <f>COVER!A13</f>
        <v>11018003026</v>
      </c>
      <c r="J7" s="2331"/>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2" t="s">
        <v>481</v>
      </c>
      <c r="B11" s="2333"/>
      <c r="C11" s="2334"/>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184044</v>
      </c>
      <c r="F12" s="1037"/>
      <c r="G12" s="1805">
        <f t="shared" ref="G12:G18" si="0">SUM(E12:F12)</f>
        <v>184044</v>
      </c>
      <c r="H12" s="1038">
        <v>188650</v>
      </c>
      <c r="I12" s="1037"/>
      <c r="J12" s="1805">
        <f t="shared" ref="J12:J18" si="1">SUM(H12:I12)</f>
        <v>188650</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5" t="s">
        <v>7</v>
      </c>
      <c r="C18" s="2336"/>
      <c r="D18" s="2337"/>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184044</v>
      </c>
      <c r="F19" s="1807">
        <f t="shared" si="2"/>
        <v>0</v>
      </c>
      <c r="G19" s="1807">
        <f t="shared" si="2"/>
        <v>184044</v>
      </c>
      <c r="H19" s="1807">
        <f t="shared" si="2"/>
        <v>188650</v>
      </c>
      <c r="I19" s="1807">
        <f t="shared" si="2"/>
        <v>0</v>
      </c>
      <c r="J19" s="1807">
        <f t="shared" si="2"/>
        <v>188650</v>
      </c>
    </row>
    <row r="20" spans="1:10" ht="13.5" thickTop="1" x14ac:dyDescent="0.2">
      <c r="A20" s="1033">
        <v>9</v>
      </c>
      <c r="B20" s="2338" t="s">
        <v>1979</v>
      </c>
      <c r="C20" s="2338"/>
      <c r="D20" s="2339"/>
      <c r="E20" s="1044"/>
      <c r="F20" s="1044"/>
      <c r="G20" s="1044"/>
      <c r="H20" s="1044"/>
      <c r="I20" s="1044"/>
      <c r="J20" s="1808">
        <f>IF(AND(G19&gt;0,J19&gt;0),(((J19-G19)/G19)),"Enter Budget Data")</f>
        <v>2.5026624068157616E-2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4"/>
      <c r="D26" s="2344"/>
      <c r="E26" s="1048"/>
      <c r="F26" s="2343"/>
      <c r="G26" s="2343"/>
    </row>
    <row r="27" spans="1:10" x14ac:dyDescent="0.2">
      <c r="B27" s="1045"/>
      <c r="C27" s="1049" t="s">
        <v>1033</v>
      </c>
      <c r="D27" s="1050"/>
      <c r="E27" s="1051"/>
      <c r="F27" s="2340" t="s">
        <v>1509</v>
      </c>
      <c r="G27" s="2340"/>
    </row>
    <row r="28" spans="1:10" ht="28.5" customHeight="1" x14ac:dyDescent="0.2">
      <c r="B28" s="1045"/>
      <c r="C28" s="2342"/>
      <c r="D28" s="2342"/>
      <c r="E28" s="1052"/>
      <c r="F28" s="2342"/>
      <c r="G28" s="2342"/>
    </row>
    <row r="29" spans="1:10" x14ac:dyDescent="0.2">
      <c r="B29" s="1045"/>
      <c r="C29" s="1053" t="s">
        <v>1561</v>
      </c>
      <c r="E29" s="1054"/>
      <c r="F29" s="2341" t="s">
        <v>1510</v>
      </c>
      <c r="G29" s="2341"/>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0"/>
    </row>
    <row r="36" spans="1:10" ht="13.5" customHeight="1" x14ac:dyDescent="0.2">
      <c r="B36" s="1059"/>
      <c r="C36" s="2325" t="s">
        <v>1981</v>
      </c>
      <c r="D36" s="2324"/>
      <c r="E36" s="2324"/>
      <c r="F36" s="2324"/>
      <c r="G36" s="2324"/>
      <c r="H36" s="2324"/>
      <c r="I36" s="2324"/>
      <c r="J36" s="1061"/>
    </row>
    <row r="37" spans="1:10" ht="22.5" customHeight="1" x14ac:dyDescent="0.2">
      <c r="C37" s="2324"/>
      <c r="D37" s="2324"/>
      <c r="E37" s="2324"/>
      <c r="F37" s="2324"/>
      <c r="G37" s="2324"/>
      <c r="H37" s="2324"/>
      <c r="I37" s="2324"/>
      <c r="J37" s="1061"/>
    </row>
    <row r="38" spans="1:10" ht="7.5" customHeight="1" x14ac:dyDescent="0.2">
      <c r="C38" s="1060"/>
      <c r="D38" s="1062"/>
      <c r="E38" s="1063"/>
      <c r="F38" s="1064"/>
      <c r="G38" s="1063"/>
    </row>
    <row r="39" spans="1:10" ht="13.5" customHeight="1" x14ac:dyDescent="0.2">
      <c r="B39" s="1059"/>
      <c r="C39" s="2321" t="s">
        <v>882</v>
      </c>
      <c r="D39" s="2322"/>
      <c r="E39" s="2322"/>
      <c r="F39" s="2322"/>
      <c r="G39" s="2322"/>
      <c r="H39" s="2322"/>
      <c r="I39" s="2322"/>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22" zoomScale="110" zoomScaleNormal="110" workbookViewId="0">
      <selection activeCell="B25" sqref="B2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329" t="s">
        <v>2104</v>
      </c>
    </row>
    <row r="6" spans="1:2" x14ac:dyDescent="0.2">
      <c r="A6" s="1066"/>
      <c r="B6" s="329" t="s">
        <v>64</v>
      </c>
    </row>
    <row r="7" spans="1:2" x14ac:dyDescent="0.2">
      <c r="A7" s="1066"/>
      <c r="B7" s="329" t="s">
        <v>2166</v>
      </c>
    </row>
    <row r="8" spans="1:2" x14ac:dyDescent="0.2">
      <c r="A8" s="1066"/>
    </row>
    <row r="9" spans="1:2" x14ac:dyDescent="0.2">
      <c r="A9" s="1067" t="s">
        <v>2105</v>
      </c>
    </row>
    <row r="10" spans="1:2" x14ac:dyDescent="0.2">
      <c r="A10" s="1067"/>
      <c r="B10" s="329" t="s">
        <v>64</v>
      </c>
    </row>
    <row r="11" spans="1:2" x14ac:dyDescent="0.2">
      <c r="A11" s="1067"/>
      <c r="B11" s="329" t="s">
        <v>2174</v>
      </c>
    </row>
    <row r="12" spans="1:2" x14ac:dyDescent="0.2">
      <c r="A12" s="1067"/>
    </row>
    <row r="13" spans="1:2" x14ac:dyDescent="0.2">
      <c r="A13" s="1067" t="s">
        <v>2106</v>
      </c>
    </row>
    <row r="14" spans="1:2" x14ac:dyDescent="0.2">
      <c r="A14" s="1067"/>
      <c r="B14" s="329" t="s">
        <v>64</v>
      </c>
    </row>
    <row r="15" spans="1:2" x14ac:dyDescent="0.2">
      <c r="A15" s="1067"/>
      <c r="B15" s="329" t="s">
        <v>2107</v>
      </c>
    </row>
    <row r="16" spans="1:2" x14ac:dyDescent="0.2">
      <c r="A16" s="1067"/>
    </row>
    <row r="17" spans="1:2" x14ac:dyDescent="0.2">
      <c r="A17" s="1067" t="s">
        <v>2108</v>
      </c>
    </row>
    <row r="18" spans="1:2" x14ac:dyDescent="0.2">
      <c r="A18" s="1067"/>
      <c r="B18" s="329" t="s">
        <v>64</v>
      </c>
    </row>
    <row r="19" spans="1:2" x14ac:dyDescent="0.2">
      <c r="A19" s="1067"/>
      <c r="B19" s="329" t="s">
        <v>2167</v>
      </c>
    </row>
    <row r="20" spans="1:2" x14ac:dyDescent="0.2">
      <c r="A20" s="1067"/>
    </row>
    <row r="21" spans="1:2" x14ac:dyDescent="0.2">
      <c r="A21" s="1067" t="s">
        <v>2168</v>
      </c>
    </row>
    <row r="22" spans="1:2" x14ac:dyDescent="0.2">
      <c r="A22" s="1067"/>
      <c r="B22" s="329" t="s">
        <v>64</v>
      </c>
    </row>
    <row r="23" spans="1:2" x14ac:dyDescent="0.2">
      <c r="A23" s="1067"/>
      <c r="B23" s="329" t="s">
        <v>2109</v>
      </c>
    </row>
    <row r="24" spans="1:2" x14ac:dyDescent="0.2">
      <c r="A24" s="1067"/>
      <c r="B24" s="329" t="s">
        <v>2169</v>
      </c>
    </row>
    <row r="25" spans="1:2" x14ac:dyDescent="0.2">
      <c r="A25" s="1067"/>
      <c r="B25" s="329" t="s">
        <v>2110</v>
      </c>
    </row>
    <row r="26" spans="1:2" x14ac:dyDescent="0.2">
      <c r="A26" s="1067"/>
      <c r="B26" s="329" t="s">
        <v>2111</v>
      </c>
    </row>
    <row r="27" spans="1:2" x14ac:dyDescent="0.2">
      <c r="A27" s="1067"/>
      <c r="B27" s="329" t="s">
        <v>2112</v>
      </c>
    </row>
    <row r="28" spans="1:2" x14ac:dyDescent="0.2">
      <c r="A28" s="1067"/>
    </row>
    <row r="29" spans="1:2" x14ac:dyDescent="0.2">
      <c r="A29" s="1067" t="s">
        <v>2114</v>
      </c>
    </row>
    <row r="30" spans="1:2" x14ac:dyDescent="0.2">
      <c r="A30" s="1067"/>
      <c r="B30" s="329" t="s">
        <v>2113</v>
      </c>
    </row>
    <row r="31" spans="1:2" x14ac:dyDescent="0.2">
      <c r="A31" s="1067"/>
      <c r="B31" s="329" t="s">
        <v>2170</v>
      </c>
    </row>
    <row r="32" spans="1:2" x14ac:dyDescent="0.2">
      <c r="A32" s="1067"/>
    </row>
    <row r="33" spans="1:2" x14ac:dyDescent="0.2">
      <c r="A33" s="1067" t="s">
        <v>2115</v>
      </c>
    </row>
    <row r="34" spans="1:2" x14ac:dyDescent="0.2">
      <c r="A34" s="1067"/>
      <c r="B34" s="329" t="s">
        <v>64</v>
      </c>
    </row>
    <row r="35" spans="1:2" x14ac:dyDescent="0.2">
      <c r="A35" s="1067"/>
      <c r="B35" s="329" t="s">
        <v>2171</v>
      </c>
    </row>
    <row r="36" spans="1:2" x14ac:dyDescent="0.2">
      <c r="A36" s="1067"/>
    </row>
    <row r="37" spans="1:2" x14ac:dyDescent="0.2">
      <c r="A37" s="1067" t="s">
        <v>2116</v>
      </c>
    </row>
    <row r="38" spans="1:2" x14ac:dyDescent="0.2">
      <c r="A38" s="1067"/>
      <c r="B38" s="329" t="s">
        <v>1100</v>
      </c>
    </row>
    <row r="39" spans="1:2" x14ac:dyDescent="0.2">
      <c r="A39" s="1067"/>
      <c r="B39" s="329" t="s">
        <v>2117</v>
      </c>
    </row>
    <row r="40" spans="1:2" x14ac:dyDescent="0.2">
      <c r="A40" s="1067"/>
      <c r="B40" s="329" t="s">
        <v>2118</v>
      </c>
    </row>
    <row r="41" spans="1:2" x14ac:dyDescent="0.2">
      <c r="A41" s="1067"/>
      <c r="B41" s="329" t="s">
        <v>2119</v>
      </c>
    </row>
    <row r="42" spans="1:2" x14ac:dyDescent="0.2">
      <c r="A42" s="1067"/>
      <c r="B42" s="329" t="s">
        <v>2120</v>
      </c>
    </row>
    <row r="43" spans="1:2" x14ac:dyDescent="0.2">
      <c r="A43" s="1067"/>
    </row>
    <row r="44" spans="1:2" x14ac:dyDescent="0.2">
      <c r="A44" s="1067" t="s">
        <v>2121</v>
      </c>
    </row>
    <row r="45" spans="1:2" x14ac:dyDescent="0.2">
      <c r="A45" s="1067"/>
      <c r="B45" s="329" t="s">
        <v>1096</v>
      </c>
    </row>
    <row r="46" spans="1:2" x14ac:dyDescent="0.2">
      <c r="A46" s="1067"/>
      <c r="B46" s="329" t="s">
        <v>2122</v>
      </c>
    </row>
    <row r="47" spans="1:2" x14ac:dyDescent="0.2">
      <c r="A47" s="1067"/>
    </row>
    <row r="48" spans="1:2" x14ac:dyDescent="0.2">
      <c r="A48" s="1067" t="s">
        <v>2123</v>
      </c>
    </row>
    <row r="49" spans="1:2" x14ac:dyDescent="0.2">
      <c r="A49" s="1067"/>
      <c r="B49" s="329" t="s">
        <v>2124</v>
      </c>
    </row>
    <row r="50" spans="1:2" x14ac:dyDescent="0.2">
      <c r="A50" s="1067"/>
      <c r="B50" s="329" t="s">
        <v>2173</v>
      </c>
    </row>
    <row r="51" spans="1:2" x14ac:dyDescent="0.2">
      <c r="A51" s="1067"/>
      <c r="B51" s="329" t="s">
        <v>2172</v>
      </c>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Neoga CUSD 3</v>
      </c>
    </row>
    <row r="65" spans="2:2" x14ac:dyDescent="0.2">
      <c r="B65" s="1068">
        <f>COVER!A13</f>
        <v>11018003026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J32" sqref="J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1" sqref="D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5" t="s">
        <v>1685</v>
      </c>
      <c r="B18" s="234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1</xdr:col>
                <xdr:colOff>9525</xdr:colOff>
                <xdr:row>0</xdr:row>
                <xdr:rowOff>57150</xdr:rowOff>
              </from>
              <to>
                <xdr:col>1</xdr:col>
                <xdr:colOff>923925</xdr:colOff>
                <xdr:row>4</xdr:row>
                <xdr:rowOff>95250</xdr:rowOff>
              </to>
            </anchor>
          </objectPr>
        </oleObject>
      </mc:Choice>
      <mc:Fallback>
        <oleObject progId="Acrobat Document" dvAspect="DVASPECT_ICON" shapeId="40961" r:id="rId4"/>
      </mc:Fallback>
    </mc:AlternateContent>
    <mc:AlternateContent xmlns:mc="http://schemas.openxmlformats.org/markup-compatibility/2006">
      <mc:Choice Requires="x14">
        <oleObject progId="Acrobat Document" dvAspect="DVASPECT_ICON" shapeId="40962" r:id="rId6">
          <objectPr defaultSize="0" r:id="rId7">
            <anchor moveWithCells="1">
              <from>
                <xdr:col>1</xdr:col>
                <xdr:colOff>1038225</xdr:colOff>
                <xdr:row>0</xdr:row>
                <xdr:rowOff>47625</xdr:rowOff>
              </from>
              <to>
                <xdr:col>1</xdr:col>
                <xdr:colOff>1952625</xdr:colOff>
                <xdr:row>4</xdr:row>
                <xdr:rowOff>85725</xdr:rowOff>
              </to>
            </anchor>
          </objectPr>
        </oleObject>
      </mc:Choice>
      <mc:Fallback>
        <oleObject progId="Acrobat Document" dvAspect="DVASPECT_ICON" shapeId="40962" r:id="rId6"/>
      </mc:Fallback>
    </mc:AlternateContent>
    <mc:AlternateContent xmlns:mc="http://schemas.openxmlformats.org/markup-compatibility/2006">
      <mc:Choice Requires="x14">
        <oleObject progId="Acrobat Document" dvAspect="DVASPECT_ICON" shapeId="40963" r:id="rId8">
          <objectPr defaultSize="0" r:id="rId9">
            <anchor moveWithCells="1">
              <from>
                <xdr:col>1</xdr:col>
                <xdr:colOff>2066925</xdr:colOff>
                <xdr:row>0</xdr:row>
                <xdr:rowOff>47625</xdr:rowOff>
              </from>
              <to>
                <xdr:col>1</xdr:col>
                <xdr:colOff>2981325</xdr:colOff>
                <xdr:row>4</xdr:row>
                <xdr:rowOff>85725</xdr:rowOff>
              </to>
            </anchor>
          </objectPr>
        </oleObject>
      </mc:Choice>
      <mc:Fallback>
        <oleObject progId="Acrobat Document" dvAspect="DVASPECT_ICON" shapeId="40963" r:id="rId8"/>
      </mc:Fallback>
    </mc:AlternateContent>
    <mc:AlternateContent xmlns:mc="http://schemas.openxmlformats.org/markup-compatibility/2006">
      <mc:Choice Requires="x14">
        <oleObject progId="Acrobat Document" dvAspect="DVASPECT_ICON" shapeId="40964" r:id="rId10">
          <objectPr defaultSize="0" r:id="rId11">
            <anchor moveWithCells="1">
              <from>
                <xdr:col>1</xdr:col>
                <xdr:colOff>3028950</xdr:colOff>
                <xdr:row>0</xdr:row>
                <xdr:rowOff>47625</xdr:rowOff>
              </from>
              <to>
                <xdr:col>1</xdr:col>
                <xdr:colOff>3943350</xdr:colOff>
                <xdr:row>4</xdr:row>
                <xdr:rowOff>85725</xdr:rowOff>
              </to>
            </anchor>
          </objectPr>
        </oleObject>
      </mc:Choice>
      <mc:Fallback>
        <oleObject progId="Acrobat Document" dvAspect="DVASPECT_ICON" shapeId="40964" r:id="rId10"/>
      </mc:Fallback>
    </mc:AlternateContent>
    <mc:AlternateContent xmlns:mc="http://schemas.openxmlformats.org/markup-compatibility/2006">
      <mc:Choice Requires="x14">
        <oleObject progId="Acrobat Document" dvAspect="DVASPECT_ICON" shapeId="40965" r:id="rId12">
          <objectPr defaultSize="0" r:id="rId13">
            <anchor moveWithCells="1">
              <from>
                <xdr:col>0</xdr:col>
                <xdr:colOff>114300</xdr:colOff>
                <xdr:row>5</xdr:row>
                <xdr:rowOff>19050</xdr:rowOff>
              </from>
              <to>
                <xdr:col>1</xdr:col>
                <xdr:colOff>904875</xdr:colOff>
                <xdr:row>9</xdr:row>
                <xdr:rowOff>57150</xdr:rowOff>
              </to>
            </anchor>
          </objectPr>
        </oleObject>
      </mc:Choice>
      <mc:Fallback>
        <oleObject progId="Acrobat Document" dvAspect="DVASPECT_ICON" shapeId="40965" r:id="rId12"/>
      </mc:Fallback>
    </mc:AlternateContent>
    <mc:AlternateContent xmlns:mc="http://schemas.openxmlformats.org/markup-compatibility/2006">
      <mc:Choice Requires="x14">
        <oleObject progId="Acrobat Document" dvAspect="DVASPECT_ICON" shapeId="40967" r:id="rId14">
          <objectPr defaultSize="0" r:id="rId15">
            <anchor moveWithCells="1">
              <from>
                <xdr:col>1</xdr:col>
                <xdr:colOff>2085975</xdr:colOff>
                <xdr:row>5</xdr:row>
                <xdr:rowOff>28575</xdr:rowOff>
              </from>
              <to>
                <xdr:col>1</xdr:col>
                <xdr:colOff>3000375</xdr:colOff>
                <xdr:row>9</xdr:row>
                <xdr:rowOff>66675</xdr:rowOff>
              </to>
            </anchor>
          </objectPr>
        </oleObject>
      </mc:Choice>
      <mc:Fallback>
        <oleObject progId="Acrobat Document" dvAspect="DVASPECT_ICON" shapeId="40967" r:id="rId14"/>
      </mc:Fallback>
    </mc:AlternateContent>
    <mc:AlternateContent xmlns:mc="http://schemas.openxmlformats.org/markup-compatibility/2006">
      <mc:Choice Requires="x14">
        <oleObject progId="Acrobat Document" dvAspect="DVASPECT_ICON" shapeId="40969" r:id="rId16">
          <objectPr defaultSize="0" r:id="rId17">
            <anchor moveWithCells="1">
              <from>
                <xdr:col>1</xdr:col>
                <xdr:colOff>1038225</xdr:colOff>
                <xdr:row>5</xdr:row>
                <xdr:rowOff>38100</xdr:rowOff>
              </from>
              <to>
                <xdr:col>1</xdr:col>
                <xdr:colOff>1952625</xdr:colOff>
                <xdr:row>9</xdr:row>
                <xdr:rowOff>76200</xdr:rowOff>
              </to>
            </anchor>
          </objectPr>
        </oleObject>
      </mc:Choice>
      <mc:Fallback>
        <oleObject progId="Acrobat Document" dvAspect="DVASPECT_ICON" shapeId="40969"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J32" sqref="J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1985</v>
      </c>
      <c r="B2" s="2357"/>
      <c r="C2" s="2357"/>
      <c r="D2" s="2357"/>
      <c r="E2" s="2357"/>
      <c r="F2" s="2358"/>
      <c r="G2" s="1072"/>
      <c r="H2" s="1072"/>
    </row>
    <row r="3" spans="1:8" ht="57" customHeight="1" x14ac:dyDescent="0.2">
      <c r="A3" s="2359" t="s">
        <v>1686</v>
      </c>
      <c r="B3" s="2360"/>
      <c r="C3" s="2360"/>
      <c r="D3" s="2360"/>
      <c r="E3" s="2360"/>
      <c r="F3" s="2361"/>
      <c r="G3" s="1072"/>
      <c r="H3" s="1072"/>
    </row>
    <row r="4" spans="1:8" ht="14.25" customHeight="1" x14ac:dyDescent="0.2">
      <c r="A4" s="2365" t="s">
        <v>1986</v>
      </c>
      <c r="B4" s="2366"/>
      <c r="C4" s="2366"/>
      <c r="D4" s="2366"/>
      <c r="E4" s="2366"/>
      <c r="F4" s="2367"/>
      <c r="G4" s="1072"/>
      <c r="H4" s="1072"/>
    </row>
    <row r="5" spans="1:8" ht="14.25" customHeight="1" x14ac:dyDescent="0.2">
      <c r="A5" s="2368" t="s">
        <v>1982</v>
      </c>
      <c r="B5" s="2369"/>
      <c r="C5" s="2369"/>
      <c r="D5" s="2369"/>
      <c r="E5" s="2369"/>
      <c r="F5" s="2370"/>
      <c r="G5" s="1072"/>
      <c r="H5" s="1072"/>
    </row>
    <row r="6" spans="1:8" s="1073" customFormat="1" ht="41.25" customHeight="1" x14ac:dyDescent="0.2">
      <c r="A6" s="2362" t="s">
        <v>1691</v>
      </c>
      <c r="B6" s="2363"/>
      <c r="C6" s="2363"/>
      <c r="D6" s="2363"/>
      <c r="E6" s="2363"/>
      <c r="F6" s="2364"/>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4465569</v>
      </c>
      <c r="C8" s="1809">
        <f>'Acct Summary 7-8'!D8</f>
        <v>679134</v>
      </c>
      <c r="D8" s="1809">
        <f>'Acct Summary 7-8'!F8</f>
        <v>392690</v>
      </c>
      <c r="E8" s="1809">
        <f>'Acct Summary 7-8'!I8</f>
        <v>3478</v>
      </c>
      <c r="F8" s="1809">
        <f>SUM(B8:E8)</f>
        <v>5540871</v>
      </c>
    </row>
    <row r="9" spans="1:8" s="1077" customFormat="1" ht="14.25" customHeight="1" thickBot="1" x14ac:dyDescent="0.25">
      <c r="A9" s="1076" t="s">
        <v>1369</v>
      </c>
      <c r="B9" s="1810">
        <f>'Acct Summary 7-8'!C17</f>
        <v>4075726</v>
      </c>
      <c r="C9" s="1810">
        <f>'Acct Summary 7-8'!D17</f>
        <v>611508</v>
      </c>
      <c r="D9" s="1810">
        <f>'Acct Summary 7-8'!F17</f>
        <v>297451</v>
      </c>
      <c r="E9" s="1809"/>
      <c r="F9" s="1809">
        <f>SUM(B9:E9)</f>
        <v>4984685</v>
      </c>
    </row>
    <row r="10" spans="1:8" s="1077" customFormat="1" ht="14.25" thickTop="1" thickBot="1" x14ac:dyDescent="0.25">
      <c r="A10" s="1078" t="s">
        <v>1370</v>
      </c>
      <c r="B10" s="1811">
        <f>(B8-B9)</f>
        <v>389843</v>
      </c>
      <c r="C10" s="1811">
        <f>(C8-C9)</f>
        <v>67626</v>
      </c>
      <c r="D10" s="1811">
        <f>(D8-D9)</f>
        <v>95239</v>
      </c>
      <c r="E10" s="1810">
        <f>(E8-E9)</f>
        <v>3478</v>
      </c>
      <c r="F10" s="1812">
        <f>SUM(F8-F9)</f>
        <v>556186</v>
      </c>
    </row>
    <row r="11" spans="1:8" s="1077" customFormat="1" ht="14.25" thickTop="1" thickBot="1" x14ac:dyDescent="0.25">
      <c r="A11" s="1079" t="s">
        <v>1983</v>
      </c>
      <c r="B11" s="1813">
        <f>'Acct Summary 7-8'!C81</f>
        <v>2202688</v>
      </c>
      <c r="C11" s="1813">
        <f>'Acct Summary 7-8'!D81</f>
        <v>210038</v>
      </c>
      <c r="D11" s="1813">
        <f>'Acct Summary 7-8'!F81</f>
        <v>274265</v>
      </c>
      <c r="E11" s="1813">
        <f>'Acct Summary 7-8'!I81</f>
        <v>10079</v>
      </c>
      <c r="F11" s="1814">
        <f>SUM(B11:E11)</f>
        <v>2697070</v>
      </c>
    </row>
    <row r="12" spans="1:8" ht="16.5" customHeight="1" thickTop="1" x14ac:dyDescent="0.2">
      <c r="A12" s="1080"/>
      <c r="B12" s="1081"/>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2"/>
      <c r="B13" s="1083"/>
      <c r="C13" s="2350"/>
      <c r="D13" s="2351"/>
      <c r="E13" s="2351"/>
      <c r="F13" s="2352"/>
      <c r="H13" s="1072"/>
    </row>
    <row r="14" spans="1:8" ht="19.5" customHeight="1" x14ac:dyDescent="0.2">
      <c r="A14" s="1082"/>
      <c r="B14" s="1083"/>
      <c r="C14" s="2350"/>
      <c r="D14" s="2351"/>
      <c r="E14" s="2351"/>
      <c r="F14" s="2352"/>
      <c r="H14" s="1072"/>
    </row>
    <row r="15" spans="1:8" ht="17.25" customHeight="1" x14ac:dyDescent="0.2">
      <c r="A15" s="1082"/>
      <c r="B15" s="1083"/>
      <c r="C15" s="2353"/>
      <c r="D15" s="2354"/>
      <c r="E15" s="2354"/>
      <c r="F15" s="2355"/>
      <c r="H15" s="1072"/>
    </row>
    <row r="16" spans="1:8" s="310" customFormat="1" ht="51.75" hidden="1" customHeight="1" x14ac:dyDescent="0.2">
      <c r="A16" s="2349" t="s">
        <v>1687</v>
      </c>
      <c r="B16" s="2349"/>
      <c r="C16" s="2349"/>
      <c r="D16" s="2349"/>
      <c r="E16" s="2349"/>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8" colorId="8" zoomScale="110" zoomScaleNormal="110" workbookViewId="0">
      <selection activeCell="J32" sqref="J32"/>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71" t="s">
        <v>665</v>
      </c>
      <c r="B3" s="2372"/>
      <c r="C3" s="2372"/>
      <c r="D3" s="2373"/>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2" t="s">
        <v>1504</v>
      </c>
      <c r="D7" s="2383"/>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4" t="s">
        <v>1008</v>
      </c>
      <c r="B15" s="2375"/>
      <c r="C15" s="2375"/>
      <c r="D15" s="2376"/>
    </row>
    <row r="16" spans="1:4" s="666" customFormat="1" ht="24" customHeight="1" x14ac:dyDescent="0.2">
      <c r="A16" s="2377" t="s">
        <v>663</v>
      </c>
      <c r="B16" s="2378"/>
      <c r="C16" s="2378"/>
      <c r="D16" s="2379"/>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6" t="s">
        <v>314</v>
      </c>
      <c r="D21" s="2387"/>
    </row>
    <row r="22" spans="1:10" ht="12.75" x14ac:dyDescent="0.2">
      <c r="A22" s="1137"/>
      <c r="B22" s="1138">
        <v>2</v>
      </c>
      <c r="C22" s="2384" t="s">
        <v>1524</v>
      </c>
      <c r="D22" s="2385"/>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str">
        <f>IF('Aud Quest 2'!B53="X",IF('Aud Quest 2'!F53&gt;"00/00/00 ","Enter Effective Date","ok"))</f>
        <v>ok</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8" t="s">
        <v>536</v>
      </c>
      <c r="D43" s="2389"/>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80" t="s">
        <v>784</v>
      </c>
      <c r="D56" s="2381"/>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80" t="s">
        <v>1696</v>
      </c>
      <c r="D70" s="2381"/>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ERROR</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29'!D33&gt;0,"OK","PLEASE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11018003026</v>
      </c>
    </row>
    <row r="3" spans="1:2" x14ac:dyDescent="0.2">
      <c r="A3" t="s">
        <v>956</v>
      </c>
      <c r="B3" s="138" t="str">
        <f>COVER!A15</f>
        <v>CUMBERLAND</v>
      </c>
    </row>
    <row r="4" spans="1:2" x14ac:dyDescent="0.2">
      <c r="A4" t="s">
        <v>1007</v>
      </c>
      <c r="B4" s="138" t="str">
        <f>COVER!A17</f>
        <v>Neoga CUSD 3</v>
      </c>
    </row>
    <row r="5" spans="1:2" x14ac:dyDescent="0.2">
      <c r="A5" t="s">
        <v>704</v>
      </c>
      <c r="B5" s="138" t="str">
        <f>COVER!A38</f>
        <v>BILL FRITCHER</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37257</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2203488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800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800</v>
      </c>
      <c r="C91" s="2" t="s">
        <v>573</v>
      </c>
      <c r="D91" s="2" t="str">
        <f t="shared" si="0"/>
        <v>Error?</v>
      </c>
    </row>
    <row r="92" spans="1:4" x14ac:dyDescent="0.2">
      <c r="A92" s="5">
        <v>31</v>
      </c>
      <c r="B92" s="138">
        <f>'Assets-Liab 5-6'!C39</f>
        <v>2202688</v>
      </c>
      <c r="D92" s="2" t="str">
        <f t="shared" si="0"/>
        <v>Error?</v>
      </c>
    </row>
    <row r="93" spans="1:4" x14ac:dyDescent="0.2">
      <c r="A93" s="5">
        <v>32</v>
      </c>
      <c r="B93" s="138">
        <f>'Assets-Liab 5-6'!C41</f>
        <v>2203488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210038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210038</v>
      </c>
      <c r="D123" s="2" t="str">
        <f t="shared" si="0"/>
        <v>Error?</v>
      </c>
    </row>
    <row r="124" spans="1:4" x14ac:dyDescent="0.2">
      <c r="A124" s="5">
        <v>63</v>
      </c>
      <c r="B124" s="138">
        <f>'Assets-Liab 5-6'!D41</f>
        <v>210038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56826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56826</v>
      </c>
      <c r="D140" s="2" t="str">
        <f t="shared" si="1"/>
        <v>Error?</v>
      </c>
    </row>
    <row r="141" spans="1:4" x14ac:dyDescent="0.2">
      <c r="A141" s="5">
        <v>80</v>
      </c>
      <c r="B141" s="138">
        <f>'Assets-Liab 5-6'!E41</f>
        <v>56826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275233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968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968</v>
      </c>
      <c r="C169" s="2" t="s">
        <v>573</v>
      </c>
      <c r="D169" s="2" t="str">
        <f t="shared" si="1"/>
        <v>Error?</v>
      </c>
    </row>
    <row r="170" spans="1:4" x14ac:dyDescent="0.2">
      <c r="A170" s="5">
        <v>109</v>
      </c>
      <c r="B170" s="138">
        <f>'Assets-Liab 5-6'!F39</f>
        <v>274265</v>
      </c>
      <c r="D170" s="2" t="str">
        <f t="shared" si="1"/>
        <v>Error?</v>
      </c>
    </row>
    <row r="171" spans="1:4" x14ac:dyDescent="0.2">
      <c r="A171" s="5">
        <v>110</v>
      </c>
      <c r="B171" s="138">
        <f>'Assets-Liab 5-6'!F41</f>
        <v>275233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33497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30006</v>
      </c>
      <c r="D189" s="2" t="str">
        <f t="shared" si="1"/>
        <v>Error?</v>
      </c>
    </row>
    <row r="190" spans="1:4" x14ac:dyDescent="0.2">
      <c r="A190" s="5">
        <v>129</v>
      </c>
      <c r="B190" s="138">
        <f>'Assets-Liab 5-6'!G41</f>
        <v>33497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324814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100372</v>
      </c>
      <c r="D212" s="2" t="str">
        <f t="shared" si="2"/>
        <v>Error?</v>
      </c>
    </row>
    <row r="213" spans="1:4" x14ac:dyDescent="0.2">
      <c r="A213" s="12">
        <v>152</v>
      </c>
      <c r="B213" s="138">
        <f>'Assets-Liab 5-6'!H41</f>
        <v>324814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262327</v>
      </c>
      <c r="D273" s="2" t="str">
        <f t="shared" si="3"/>
        <v>Error?</v>
      </c>
    </row>
    <row r="274" spans="1:4" x14ac:dyDescent="0.2">
      <c r="A274" s="5">
        <v>213</v>
      </c>
      <c r="B274" s="138">
        <f>'Assets-Liab 5-6'!M17</f>
        <v>14893410</v>
      </c>
      <c r="D274" s="2" t="str">
        <f t="shared" si="3"/>
        <v>Error?</v>
      </c>
    </row>
    <row r="275" spans="1:4" x14ac:dyDescent="0.2">
      <c r="A275" s="5">
        <v>214</v>
      </c>
      <c r="B275" s="138">
        <f>'Assets-Liab 5-6'!M18</f>
        <v>874827</v>
      </c>
      <c r="D275" s="2" t="str">
        <f t="shared" si="3"/>
        <v>Error?</v>
      </c>
    </row>
    <row r="276" spans="1:4" x14ac:dyDescent="0.2">
      <c r="A276" s="5">
        <v>215</v>
      </c>
      <c r="B276" s="138">
        <f>'Assets-Liab 5-6'!M19</f>
        <v>1295749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17343490</v>
      </c>
      <c r="C279" s="2" t="s">
        <v>573</v>
      </c>
      <c r="D279" s="2" t="str">
        <f t="shared" si="3"/>
        <v>Error?</v>
      </c>
    </row>
    <row r="280" spans="1:4" x14ac:dyDescent="0.2">
      <c r="A280" s="5">
        <v>219</v>
      </c>
      <c r="B280" s="138">
        <f>'Assets-Liab 5-6'!M40</f>
        <v>17343490</v>
      </c>
      <c r="D280" s="2" t="str">
        <f t="shared" si="3"/>
        <v>Error?</v>
      </c>
    </row>
    <row r="281" spans="1:4" x14ac:dyDescent="0.2">
      <c r="A281" s="5">
        <v>220</v>
      </c>
      <c r="B281" s="138">
        <f>'Assets-Liab 5-6'!M41</f>
        <v>17343490</v>
      </c>
      <c r="C281" s="2" t="s">
        <v>573</v>
      </c>
      <c r="D281" s="2" t="str">
        <f t="shared" si="3"/>
        <v>Error?</v>
      </c>
    </row>
    <row r="282" spans="1:4" x14ac:dyDescent="0.2">
      <c r="A282" s="5">
        <v>221</v>
      </c>
      <c r="B282" s="138">
        <f>'Assets-Liab 5-6'!N21</f>
        <v>56826</v>
      </c>
      <c r="D282" s="2" t="str">
        <f t="shared" si="3"/>
        <v>Error?</v>
      </c>
    </row>
    <row r="283" spans="1:4" x14ac:dyDescent="0.2">
      <c r="A283" s="5">
        <v>222</v>
      </c>
      <c r="B283" s="138">
        <f>'Assets-Liab 5-6'!N22</f>
        <v>1563239</v>
      </c>
      <c r="D283" s="2" t="str">
        <f t="shared" si="3"/>
        <v>Error?</v>
      </c>
    </row>
    <row r="284" spans="1:4" x14ac:dyDescent="0.2">
      <c r="A284" s="5">
        <v>223</v>
      </c>
      <c r="B284" s="138">
        <f>'Assets-Liab 5-6'!N23</f>
        <v>1620065</v>
      </c>
      <c r="C284" s="2" t="s">
        <v>573</v>
      </c>
      <c r="D284" s="2" t="str">
        <f t="shared" si="3"/>
        <v>Error?</v>
      </c>
    </row>
    <row r="285" spans="1:4" x14ac:dyDescent="0.2">
      <c r="A285" s="5">
        <v>224</v>
      </c>
      <c r="B285" s="138">
        <f>'Assets-Liab 5-6'!N36</f>
        <v>1620065</v>
      </c>
      <c r="D285" s="2" t="str">
        <f t="shared" si="3"/>
        <v>Error?</v>
      </c>
    </row>
    <row r="286" spans="1:4" x14ac:dyDescent="0.2">
      <c r="A286" s="10">
        <v>225</v>
      </c>
      <c r="D286" s="2" t="str">
        <f t="shared" si="3"/>
        <v>OK</v>
      </c>
    </row>
    <row r="287" spans="1:4" x14ac:dyDescent="0.2">
      <c r="A287" s="5">
        <v>226</v>
      </c>
      <c r="B287" s="138">
        <f>'Assets-Liab 5-6'!N37</f>
        <v>1620065</v>
      </c>
      <c r="C287" s="2" t="s">
        <v>573</v>
      </c>
      <c r="D287" s="2" t="str">
        <f t="shared" si="3"/>
        <v>Error?</v>
      </c>
    </row>
    <row r="288" spans="1:4" x14ac:dyDescent="0.2">
      <c r="A288" s="5">
        <v>227</v>
      </c>
      <c r="B288" s="138">
        <f>'Assets-Liab 5-6'!N41</f>
        <v>1620065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1789744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5685</v>
      </c>
      <c r="D717" s="2" t="str">
        <f t="shared" si="10"/>
        <v>Error?</v>
      </c>
    </row>
    <row r="718" spans="1:4" x14ac:dyDescent="0.2">
      <c r="A718" s="5">
        <v>657</v>
      </c>
      <c r="B718" s="138">
        <f>'Expenditures 15-22'!C14</f>
        <v>75250</v>
      </c>
      <c r="D718" s="2" t="str">
        <f t="shared" si="10"/>
        <v>Error?</v>
      </c>
    </row>
    <row r="719" spans="1:4" x14ac:dyDescent="0.2">
      <c r="A719" s="5">
        <v>658</v>
      </c>
      <c r="B719" s="138">
        <f>'Expenditures 15-22'!C15</f>
        <v>931</v>
      </c>
      <c r="D719" s="2" t="str">
        <f t="shared" si="10"/>
        <v>Error?</v>
      </c>
    </row>
    <row r="720" spans="1:4" x14ac:dyDescent="0.2">
      <c r="A720" s="5">
        <v>659</v>
      </c>
      <c r="B720" s="138">
        <f>'Expenditures 15-22'!C33</f>
        <v>2359677</v>
      </c>
      <c r="C720" s="2" t="s">
        <v>573</v>
      </c>
      <c r="D720" s="2" t="str">
        <f t="shared" si="10"/>
        <v>Error?</v>
      </c>
    </row>
    <row r="721" spans="1:4" x14ac:dyDescent="0.2">
      <c r="A721" s="5">
        <v>660</v>
      </c>
      <c r="B721" s="138">
        <f>'Expenditures 15-22'!C36</f>
        <v>35357</v>
      </c>
      <c r="D721" s="2" t="str">
        <f t="shared" si="10"/>
        <v>Error?</v>
      </c>
    </row>
    <row r="722" spans="1:4" x14ac:dyDescent="0.2">
      <c r="A722" s="5">
        <v>661</v>
      </c>
      <c r="B722" s="138">
        <f>'Expenditures 15-22'!C37</f>
        <v>72278</v>
      </c>
      <c r="D722" s="2" t="str">
        <f t="shared" si="10"/>
        <v>Error?</v>
      </c>
    </row>
    <row r="723" spans="1:4" x14ac:dyDescent="0.2">
      <c r="A723" s="5">
        <v>662</v>
      </c>
      <c r="B723" s="138">
        <f>'Expenditures 15-22'!C38</f>
        <v>26661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72436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206732</v>
      </c>
      <c r="C727" s="2" t="s">
        <v>573</v>
      </c>
      <c r="D727" s="2" t="str">
        <f t="shared" si="10"/>
        <v>Error?</v>
      </c>
    </row>
    <row r="728" spans="1:4" x14ac:dyDescent="0.2">
      <c r="A728" s="5">
        <v>667</v>
      </c>
      <c r="B728" s="138">
        <f>'Expenditures 15-22'!C44</f>
        <v>1275</v>
      </c>
      <c r="D728" s="2" t="str">
        <f t="shared" si="10"/>
        <v>Error?</v>
      </c>
    </row>
    <row r="729" spans="1:4" x14ac:dyDescent="0.2">
      <c r="A729" s="5">
        <v>668</v>
      </c>
      <c r="B729" s="138">
        <f>'Expenditures 15-22'!C45</f>
        <v>77347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78622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167986</v>
      </c>
      <c r="D733" s="2" t="str">
        <f t="shared" si="10"/>
        <v>Error?</v>
      </c>
    </row>
    <row r="734" spans="1:4" x14ac:dyDescent="0.2">
      <c r="A734" s="5">
        <v>673</v>
      </c>
      <c r="B734" s="138">
        <f>'Expenditures 15-22'!C53</f>
        <v>167986</v>
      </c>
      <c r="C734" s="2" t="s">
        <v>573</v>
      </c>
      <c r="D734" s="2" t="str">
        <f t="shared" si="10"/>
        <v>Error?</v>
      </c>
    </row>
    <row r="735" spans="1:4" x14ac:dyDescent="0.2">
      <c r="A735" s="5">
        <v>674</v>
      </c>
      <c r="B735" s="138">
        <f>'Expenditures 15-22'!C55</f>
        <v>317428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317428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46960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86417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133377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904145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3263822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99594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101</v>
      </c>
      <c r="D775" s="2" t="str">
        <f t="shared" si="11"/>
        <v>Error?</v>
      </c>
    </row>
    <row r="776" spans="1:4" x14ac:dyDescent="0.2">
      <c r="A776" s="5">
        <v>715</v>
      </c>
      <c r="B776" s="138">
        <f>'Expenditures 15-22'!D14</f>
        <v>2001</v>
      </c>
      <c r="D776" s="2" t="str">
        <f t="shared" si="11"/>
        <v>Error?</v>
      </c>
    </row>
    <row r="777" spans="1:4" x14ac:dyDescent="0.2">
      <c r="A777" s="5">
        <v>716</v>
      </c>
      <c r="B777" s="138">
        <f>'Expenditures 15-22'!D15</f>
        <v>144</v>
      </c>
      <c r="D777" s="2" t="str">
        <f t="shared" si="11"/>
        <v>Error?</v>
      </c>
    </row>
    <row r="778" spans="1:4" x14ac:dyDescent="0.2">
      <c r="A778" s="5">
        <v>717</v>
      </c>
      <c r="B778" s="138">
        <f>'Expenditures 15-22'!D33</f>
        <v>136562</v>
      </c>
      <c r="C778" s="2" t="s">
        <v>573</v>
      </c>
      <c r="D778" s="2" t="str">
        <f t="shared" si="11"/>
        <v>Error?</v>
      </c>
    </row>
    <row r="779" spans="1:4" x14ac:dyDescent="0.2">
      <c r="A779" s="5">
        <v>718</v>
      </c>
      <c r="B779" s="138">
        <f>'Expenditures 15-22'!D36</f>
        <v>9009</v>
      </c>
      <c r="D779" s="2" t="str">
        <f t="shared" si="11"/>
        <v>Error?</v>
      </c>
    </row>
    <row r="780" spans="1:4" x14ac:dyDescent="0.2">
      <c r="A780" s="5">
        <v>719</v>
      </c>
      <c r="B780" s="138">
        <f>'Expenditures 15-22'!D37</f>
        <v>6006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6242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21257</v>
      </c>
      <c r="C785" s="2" t="s">
        <v>573</v>
      </c>
      <c r="D785" s="2" t="str">
        <f t="shared" si="11"/>
        <v>Error?</v>
      </c>
    </row>
    <row r="786" spans="1:4" x14ac:dyDescent="0.2">
      <c r="A786" s="5">
        <v>725</v>
      </c>
      <c r="B786" s="138">
        <f>'Expenditures 15-22'!D44</f>
        <v>40</v>
      </c>
      <c r="D786" s="2" t="str">
        <f t="shared" si="11"/>
        <v>Error?</v>
      </c>
    </row>
    <row r="787" spans="1:4" x14ac:dyDescent="0.2">
      <c r="A787" s="5">
        <v>726</v>
      </c>
      <c r="B787" s="138">
        <f>'Expenditures 15-22'!D45</f>
        <v>5897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5937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1975</v>
      </c>
      <c r="D791" s="2" t="str">
        <f t="shared" si="11"/>
        <v>Error?</v>
      </c>
    </row>
    <row r="792" spans="1:4" x14ac:dyDescent="0.2">
      <c r="A792" s="5">
        <v>731</v>
      </c>
      <c r="B792" s="138">
        <f>'Expenditures 15-22'!D53</f>
        <v>1975</v>
      </c>
      <c r="C792" s="2" t="s">
        <v>573</v>
      </c>
      <c r="D792" s="2" t="str">
        <f t="shared" si="11"/>
        <v>Error?</v>
      </c>
    </row>
    <row r="793" spans="1:4" x14ac:dyDescent="0.2">
      <c r="A793" s="5">
        <v>732</v>
      </c>
      <c r="B793" s="138">
        <f>'Expenditures 15-22'!D55</f>
        <v>21587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21587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411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2122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2533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53289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189851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270</v>
      </c>
      <c r="D833" s="2" t="str">
        <f t="shared" si="12"/>
        <v>Error?</v>
      </c>
    </row>
    <row r="834" spans="1:4" x14ac:dyDescent="0.2">
      <c r="A834" s="5">
        <v>773</v>
      </c>
      <c r="B834" s="138">
        <f>'Expenditures 15-22'!E14</f>
        <v>27733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49066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1639</v>
      </c>
      <c r="D838" s="2" t="str">
        <f t="shared" si="12"/>
        <v>Error?</v>
      </c>
    </row>
    <row r="839" spans="1:4" x14ac:dyDescent="0.2">
      <c r="A839" s="5">
        <v>778</v>
      </c>
      <c r="B839" s="138">
        <f>'Expenditures 15-22'!E38</f>
        <v>474</v>
      </c>
      <c r="D839" s="2" t="str">
        <f t="shared" si="12"/>
        <v>Error?</v>
      </c>
    </row>
    <row r="840" spans="1:4" x14ac:dyDescent="0.2">
      <c r="A840" s="5">
        <v>779</v>
      </c>
      <c r="B840" s="138">
        <f>'Expenditures 15-22'!E39</f>
        <v>37234</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2232</v>
      </c>
      <c r="D842" s="2" t="str">
        <f t="shared" si="12"/>
        <v>Error?</v>
      </c>
    </row>
    <row r="843" spans="1:4" x14ac:dyDescent="0.2">
      <c r="A843" s="5">
        <v>782</v>
      </c>
      <c r="B843" s="138">
        <f>'Expenditures 15-22'!E42</f>
        <v>41579</v>
      </c>
      <c r="C843" s="2" t="s">
        <v>573</v>
      </c>
      <c r="D843" s="2" t="str">
        <f t="shared" si="12"/>
        <v>Error?</v>
      </c>
    </row>
    <row r="844" spans="1:4" x14ac:dyDescent="0.2">
      <c r="A844" s="5">
        <v>783</v>
      </c>
      <c r="B844" s="138">
        <f>'Expenditures 15-22'!E44</f>
        <v>15227</v>
      </c>
      <c r="D844" s="2" t="str">
        <f t="shared" si="12"/>
        <v>Error?</v>
      </c>
    </row>
    <row r="845" spans="1:4" x14ac:dyDescent="0.2">
      <c r="A845" s="5">
        <v>784</v>
      </c>
      <c r="B845" s="138">
        <f>'Expenditures 15-22'!E45</f>
        <v>34315</v>
      </c>
      <c r="D845" s="2" t="str">
        <f t="shared" si="12"/>
        <v>Error?</v>
      </c>
    </row>
    <row r="846" spans="1:4" x14ac:dyDescent="0.2">
      <c r="A846" s="5">
        <v>785</v>
      </c>
      <c r="B846" s="138">
        <f>'Expenditures 15-22'!E46</f>
        <v>14788</v>
      </c>
      <c r="D846" s="2" t="str">
        <f t="shared" si="12"/>
        <v>Error?</v>
      </c>
    </row>
    <row r="847" spans="1:4" x14ac:dyDescent="0.2">
      <c r="A847" s="5">
        <v>786</v>
      </c>
      <c r="B847" s="138">
        <f>'Expenditures 15-22'!E47</f>
        <v>64330</v>
      </c>
      <c r="C847" s="2" t="s">
        <v>573</v>
      </c>
      <c r="D847" s="2" t="str">
        <f t="shared" si="12"/>
        <v>Error?</v>
      </c>
    </row>
    <row r="848" spans="1:4" x14ac:dyDescent="0.2">
      <c r="A848" s="5">
        <v>787</v>
      </c>
      <c r="B848" s="138">
        <f>'Expenditures 15-22'!E49</f>
        <v>34151</v>
      </c>
      <c r="D848" s="2" t="str">
        <f t="shared" si="12"/>
        <v>Error?</v>
      </c>
    </row>
    <row r="849" spans="1:4" x14ac:dyDescent="0.2">
      <c r="A849" s="5">
        <v>788</v>
      </c>
      <c r="B849" s="138">
        <f>'Expenditures 15-22'!E50</f>
        <v>8667</v>
      </c>
      <c r="D849" s="2" t="str">
        <f t="shared" si="12"/>
        <v>Error?</v>
      </c>
    </row>
    <row r="850" spans="1:4" x14ac:dyDescent="0.2">
      <c r="A850" s="5">
        <v>789</v>
      </c>
      <c r="B850" s="138">
        <f>'Expenditures 15-22'!E53</f>
        <v>42818</v>
      </c>
      <c r="C850" s="2" t="s">
        <v>573</v>
      </c>
      <c r="D850" s="2" t="str">
        <f t="shared" si="12"/>
        <v>Error?</v>
      </c>
    </row>
    <row r="851" spans="1:4" x14ac:dyDescent="0.2">
      <c r="A851" s="5">
        <v>790</v>
      </c>
      <c r="B851" s="138">
        <f>'Expenditures 15-22'!E55</f>
        <v>275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4706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4726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153728</v>
      </c>
      <c r="C871" s="2" t="s">
        <v>573</v>
      </c>
      <c r="D871" s="2" t="str">
        <f t="shared" si="12"/>
        <v>Error?</v>
      </c>
    </row>
    <row r="872" spans="1:4" x14ac:dyDescent="0.2">
      <c r="A872" s="5">
        <v>811</v>
      </c>
      <c r="B872" s="138">
        <f>'Expenditures 15-22'!E75</f>
        <v>18415</v>
      </c>
      <c r="D872" s="2" t="str">
        <f t="shared" si="12"/>
        <v>Error?</v>
      </c>
    </row>
    <row r="873" spans="1:4" x14ac:dyDescent="0.2">
      <c r="A873" s="5">
        <v>812</v>
      </c>
      <c r="B873" s="138">
        <f>'Expenditures 15-22'!E114</f>
        <v>221209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18472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6299</v>
      </c>
      <c r="D891" s="2" t="str">
        <f t="shared" si="12"/>
        <v>Error?</v>
      </c>
    </row>
    <row r="892" spans="1:4" x14ac:dyDescent="0.2">
      <c r="A892" s="5">
        <v>831</v>
      </c>
      <c r="B892" s="138">
        <f>'Expenditures 15-22'!F14</f>
        <v>16625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134452</v>
      </c>
      <c r="C894" s="2" t="s">
        <v>573</v>
      </c>
      <c r="D894" s="2" t="str">
        <f t="shared" si="12"/>
        <v>Error?</v>
      </c>
    </row>
    <row r="895" spans="1:4" x14ac:dyDescent="0.2">
      <c r="A895" s="5">
        <v>834</v>
      </c>
      <c r="B895" s="138">
        <f>'Expenditures 15-22'!F36</f>
        <v>136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521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633</v>
      </c>
      <c r="D899" s="2" t="str">
        <f t="shared" si="13"/>
        <v>Error?</v>
      </c>
    </row>
    <row r="900" spans="1:4" x14ac:dyDescent="0.2">
      <c r="A900" s="5">
        <v>839</v>
      </c>
      <c r="B900" s="138">
        <f>'Expenditures 15-22'!F41</f>
        <v>2578</v>
      </c>
      <c r="D900" s="2" t="str">
        <f t="shared" si="13"/>
        <v>Error?</v>
      </c>
    </row>
    <row r="901" spans="1:4" x14ac:dyDescent="0.2">
      <c r="A901" s="5">
        <v>840</v>
      </c>
      <c r="B901" s="138">
        <f>'Expenditures 15-22'!F42</f>
        <v>3868</v>
      </c>
      <c r="C901" s="2" t="s">
        <v>573</v>
      </c>
      <c r="D901" s="2" t="str">
        <f t="shared" si="13"/>
        <v>Error?</v>
      </c>
    </row>
    <row r="902" spans="1:4" x14ac:dyDescent="0.2">
      <c r="A902" s="5">
        <v>841</v>
      </c>
      <c r="B902" s="138">
        <f>'Expenditures 15-22'!F44</f>
        <v>5410</v>
      </c>
      <c r="D902" s="2" t="str">
        <f t="shared" si="13"/>
        <v>Error?</v>
      </c>
    </row>
    <row r="903" spans="1:4" x14ac:dyDescent="0.2">
      <c r="A903" s="5">
        <v>842</v>
      </c>
      <c r="B903" s="138">
        <f>'Expenditures 15-22'!F45</f>
        <v>11833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17243</v>
      </c>
      <c r="C905" s="2" t="s">
        <v>573</v>
      </c>
      <c r="D905" s="2" t="str">
        <f t="shared" si="13"/>
        <v>Error?</v>
      </c>
    </row>
    <row r="906" spans="1:4" x14ac:dyDescent="0.2">
      <c r="A906" s="5">
        <v>845</v>
      </c>
      <c r="B906" s="138">
        <f>'Expenditures 15-22'!F49</f>
        <v>3597</v>
      </c>
      <c r="D906" s="2" t="str">
        <f t="shared" si="13"/>
        <v>Error?</v>
      </c>
    </row>
    <row r="907" spans="1:4" x14ac:dyDescent="0.2">
      <c r="A907" s="5">
        <v>846</v>
      </c>
      <c r="B907" s="138">
        <f>'Expenditures 15-22'!F50</f>
        <v>5416</v>
      </c>
      <c r="D907" s="2" t="str">
        <f t="shared" si="13"/>
        <v>Error?</v>
      </c>
    </row>
    <row r="908" spans="1:4" x14ac:dyDescent="0.2">
      <c r="A908" s="5">
        <v>847</v>
      </c>
      <c r="B908" s="138">
        <f>'Expenditures 15-22'!F53</f>
        <v>9013</v>
      </c>
      <c r="C908" s="2" t="s">
        <v>573</v>
      </c>
      <c r="D908" s="2" t="str">
        <f t="shared" si="13"/>
        <v>Error?</v>
      </c>
    </row>
    <row r="909" spans="1:4" x14ac:dyDescent="0.2">
      <c r="A909" s="5">
        <v>848</v>
      </c>
      <c r="B909" s="138">
        <f>'Expenditures 15-22'!F55</f>
        <v>833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833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1190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113742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114932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145889</v>
      </c>
      <c r="C929" s="2" t="s">
        <v>573</v>
      </c>
      <c r="D929" s="2" t="str">
        <f t="shared" si="13"/>
        <v>Error?</v>
      </c>
    </row>
    <row r="930" spans="1:4" x14ac:dyDescent="0.2">
      <c r="A930" s="5">
        <v>869</v>
      </c>
      <c r="B930" s="138">
        <f>'Expenditures 15-22'!F75</f>
        <v>98</v>
      </c>
      <c r="D930" s="2" t="str">
        <f t="shared" si="13"/>
        <v>Error?</v>
      </c>
    </row>
    <row r="931" spans="1:4" x14ac:dyDescent="0.2">
      <c r="A931" s="5">
        <v>870</v>
      </c>
      <c r="B931" s="138">
        <f>'Expenditures 15-22'!F114</f>
        <v>280439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19833</v>
      </c>
      <c r="D949" s="2" t="str">
        <f t="shared" si="13"/>
        <v>Error?</v>
      </c>
    </row>
    <row r="950" spans="1:4" x14ac:dyDescent="0.2">
      <c r="A950" s="5">
        <v>889</v>
      </c>
      <c r="B950" s="138">
        <f>'Expenditures 15-22'!G14</f>
        <v>7437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61623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13148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13148</v>
      </c>
      <c r="C963" s="2" t="s">
        <v>573</v>
      </c>
      <c r="D963" s="2" t="str">
        <f t="shared" si="14"/>
        <v>Error?</v>
      </c>
    </row>
    <row r="964" spans="1:4" x14ac:dyDescent="0.2">
      <c r="A964" s="5">
        <v>903</v>
      </c>
      <c r="B964" s="138">
        <f>'Expenditures 15-22'!G49</f>
        <v>13384</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13384</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26532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88155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500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500</v>
      </c>
      <c r="C1021" s="2" t="s">
        <v>573</v>
      </c>
      <c r="D1021" s="2" t="str">
        <f t="shared" si="14"/>
        <v>Error?</v>
      </c>
    </row>
    <row r="1022" spans="1:4" x14ac:dyDescent="0.2">
      <c r="A1022" s="5">
        <v>961</v>
      </c>
      <c r="B1022" s="138">
        <f>'Expenditures 15-22'!H49</f>
        <v>20832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20832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1061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1218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22550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8600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32250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1933459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32188</v>
      </c>
      <c r="C1105" s="2" t="s">
        <v>573</v>
      </c>
      <c r="D1105" s="2" t="str">
        <f t="shared" si="16"/>
        <v>Error?</v>
      </c>
    </row>
    <row r="1106" spans="1:4" x14ac:dyDescent="0.2">
      <c r="A1106" s="5">
        <v>1045</v>
      </c>
      <c r="B1106" s="138">
        <f>'Expenditures 15-22'!K14</f>
        <v>129046</v>
      </c>
      <c r="C1106" s="2" t="s">
        <v>573</v>
      </c>
      <c r="D1106" s="2" t="str">
        <f t="shared" si="16"/>
        <v>Error?</v>
      </c>
    </row>
    <row r="1107" spans="1:4" x14ac:dyDescent="0.2">
      <c r="A1107" s="5">
        <v>1046</v>
      </c>
      <c r="B1107" s="138">
        <f>'Expenditures 15-22'!K15</f>
        <v>1075</v>
      </c>
      <c r="C1107" s="2" t="s">
        <v>573</v>
      </c>
      <c r="D1107" s="2" t="str">
        <f t="shared" si="16"/>
        <v>Error?</v>
      </c>
    </row>
    <row r="1108" spans="1:4" x14ac:dyDescent="0.2">
      <c r="A1108" s="5">
        <v>1047</v>
      </c>
      <c r="B1108" s="138">
        <f>'Expenditures 15-22'!K33</f>
        <v>2742480</v>
      </c>
      <c r="C1108" s="2" t="s">
        <v>573</v>
      </c>
      <c r="D1108" s="2" t="str">
        <f t="shared" si="16"/>
        <v>Error?</v>
      </c>
    </row>
    <row r="1109" spans="1:4" x14ac:dyDescent="0.2">
      <c r="A1109" s="5">
        <v>1048</v>
      </c>
      <c r="B1109" s="138">
        <f>'Expenditures 15-22'!K36</f>
        <v>44502</v>
      </c>
      <c r="C1109" s="2" t="s">
        <v>573</v>
      </c>
      <c r="D1109" s="2" t="str">
        <f t="shared" si="16"/>
        <v>Error?</v>
      </c>
    </row>
    <row r="1110" spans="1:4" x14ac:dyDescent="0.2">
      <c r="A1110" s="5">
        <v>1049</v>
      </c>
      <c r="B1110" s="138">
        <f>'Expenditures 15-22'!K37</f>
        <v>79923</v>
      </c>
      <c r="C1110" s="2" t="s">
        <v>573</v>
      </c>
      <c r="D1110" s="2" t="str">
        <f t="shared" si="16"/>
        <v>Error?</v>
      </c>
    </row>
    <row r="1111" spans="1:4" x14ac:dyDescent="0.2">
      <c r="A1111" s="5">
        <v>1050</v>
      </c>
      <c r="B1111" s="138">
        <f>'Expenditures 15-22'!K38</f>
        <v>27656</v>
      </c>
      <c r="C1111" s="2" t="s">
        <v>573</v>
      </c>
      <c r="D1111" s="2" t="str">
        <f t="shared" si="16"/>
        <v>Error?</v>
      </c>
    </row>
    <row r="1112" spans="1:4" x14ac:dyDescent="0.2">
      <c r="A1112" s="5">
        <v>1051</v>
      </c>
      <c r="B1112" s="138">
        <f>'Expenditures 15-22'!K39</f>
        <v>37234</v>
      </c>
      <c r="C1112" s="2" t="s">
        <v>573</v>
      </c>
      <c r="D1112" s="2" t="str">
        <f t="shared" si="16"/>
        <v>Error?</v>
      </c>
    </row>
    <row r="1113" spans="1:4" x14ac:dyDescent="0.2">
      <c r="A1113" s="5">
        <v>1052</v>
      </c>
      <c r="B1113" s="138">
        <f>'Expenditures 15-22'!K40</f>
        <v>79311</v>
      </c>
      <c r="C1113" s="2" t="s">
        <v>573</v>
      </c>
      <c r="D1113" s="2" t="str">
        <f t="shared" si="16"/>
        <v>Error?</v>
      </c>
    </row>
    <row r="1114" spans="1:4" x14ac:dyDescent="0.2">
      <c r="A1114" s="5">
        <v>1053</v>
      </c>
      <c r="B1114" s="138">
        <f>'Expenditures 15-22'!K41</f>
        <v>4810</v>
      </c>
      <c r="C1114" s="2" t="s">
        <v>573</v>
      </c>
      <c r="D1114" s="2" t="str">
        <f t="shared" si="16"/>
        <v>Error?</v>
      </c>
    </row>
    <row r="1115" spans="1:4" x14ac:dyDescent="0.2">
      <c r="A1115" s="5">
        <v>1054</v>
      </c>
      <c r="B1115" s="138">
        <f>'Expenditures 15-22'!K42</f>
        <v>273436</v>
      </c>
      <c r="C1115" s="2" t="s">
        <v>573</v>
      </c>
      <c r="D1115" s="2" t="str">
        <f t="shared" si="16"/>
        <v>Error?</v>
      </c>
    </row>
    <row r="1116" spans="1:4" x14ac:dyDescent="0.2">
      <c r="A1116" s="5">
        <v>1055</v>
      </c>
      <c r="B1116" s="138">
        <f>'Expenditures 15-22'!K44</f>
        <v>22452</v>
      </c>
      <c r="C1116" s="2" t="s">
        <v>573</v>
      </c>
      <c r="D1116" s="2" t="str">
        <f t="shared" si="16"/>
        <v>Error?</v>
      </c>
    </row>
    <row r="1117" spans="1:4" x14ac:dyDescent="0.2">
      <c r="A1117" s="5">
        <v>1056</v>
      </c>
      <c r="B1117" s="138">
        <f>'Expenditures 15-22'!K45</f>
        <v>142540</v>
      </c>
      <c r="C1117" s="2" t="s">
        <v>573</v>
      </c>
      <c r="D1117" s="2" t="str">
        <f t="shared" si="16"/>
        <v>Error?</v>
      </c>
    </row>
    <row r="1118" spans="1:4" x14ac:dyDescent="0.2">
      <c r="A1118" s="5">
        <v>1057</v>
      </c>
      <c r="B1118" s="138">
        <f>'Expenditures 15-22'!K46</f>
        <v>14788</v>
      </c>
      <c r="C1118" s="2" t="s">
        <v>573</v>
      </c>
      <c r="D1118" s="2" t="str">
        <f t="shared" si="16"/>
        <v>Error?</v>
      </c>
    </row>
    <row r="1119" spans="1:4" x14ac:dyDescent="0.2">
      <c r="A1119" s="5">
        <v>1058</v>
      </c>
      <c r="B1119" s="138">
        <f>'Expenditures 15-22'!K47</f>
        <v>179780</v>
      </c>
      <c r="C1119" s="2" t="s">
        <v>573</v>
      </c>
      <c r="D1119" s="2" t="str">
        <f t="shared" si="16"/>
        <v>Error?</v>
      </c>
    </row>
    <row r="1120" spans="1:4" x14ac:dyDescent="0.2">
      <c r="A1120" s="5">
        <v>1059</v>
      </c>
      <c r="B1120" s="138">
        <f>'Expenditures 15-22'!K49</f>
        <v>71964</v>
      </c>
      <c r="C1120" s="2" t="s">
        <v>573</v>
      </c>
      <c r="D1120" s="2" t="str">
        <f t="shared" si="16"/>
        <v>Error?</v>
      </c>
    </row>
    <row r="1121" spans="1:4" x14ac:dyDescent="0.2">
      <c r="A1121" s="5">
        <v>1060</v>
      </c>
      <c r="B1121" s="138">
        <f>'Expenditures 15-22'!K50</f>
        <v>184044</v>
      </c>
      <c r="C1121" s="2" t="s">
        <v>573</v>
      </c>
      <c r="D1121" s="2" t="str">
        <f t="shared" si="16"/>
        <v>Error?</v>
      </c>
    </row>
    <row r="1122" spans="1:4" x14ac:dyDescent="0.2">
      <c r="A1122" s="5">
        <v>1061</v>
      </c>
      <c r="B1122" s="138">
        <f>'Expenditures 15-22'!K53</f>
        <v>256008</v>
      </c>
      <c r="C1122" s="2" t="s">
        <v>573</v>
      </c>
      <c r="D1122" s="2" t="str">
        <f t="shared" si="16"/>
        <v>Error?</v>
      </c>
    </row>
    <row r="1123" spans="1:4" x14ac:dyDescent="0.2">
      <c r="A1123" s="5">
        <v>1062</v>
      </c>
      <c r="B1123" s="138">
        <f>'Expenditures 15-22'!K55</f>
        <v>340123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340123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49642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207144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256786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1306133</v>
      </c>
      <c r="C1143" s="2" t="s">
        <v>573</v>
      </c>
      <c r="D1143" s="2" t="str">
        <f t="shared" si="16"/>
        <v>Error?</v>
      </c>
    </row>
    <row r="1144" spans="1:4" x14ac:dyDescent="0.2">
      <c r="A1144" s="5">
        <v>1083</v>
      </c>
      <c r="B1144" s="138">
        <f>'Expenditures 15-22'!K75</f>
        <v>18513</v>
      </c>
      <c r="C1144" s="2" t="s">
        <v>573</v>
      </c>
      <c r="D1144" s="2" t="str">
        <f t="shared" si="16"/>
        <v>Error?</v>
      </c>
    </row>
    <row r="1145" spans="1:4" x14ac:dyDescent="0.2">
      <c r="A1145" s="5">
        <v>1084</v>
      </c>
      <c r="B1145" s="138">
        <f>'Expenditures 15-22'!K102</f>
        <v>8600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4075726</v>
      </c>
      <c r="C1152" s="2" t="s">
        <v>573</v>
      </c>
      <c r="D1152" s="2" t="str">
        <f t="shared" si="17"/>
        <v>Error?</v>
      </c>
    </row>
    <row r="1153" spans="1:4" x14ac:dyDescent="0.2">
      <c r="A1153" s="5">
        <v>1092</v>
      </c>
      <c r="B1153" s="138">
        <f>'Expenditures 15-22'!K115</f>
        <v>389843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227259</v>
      </c>
      <c r="D1221" s="2" t="str">
        <f t="shared" si="18"/>
        <v>Error?</v>
      </c>
    </row>
    <row r="1222" spans="1:4" x14ac:dyDescent="0.2">
      <c r="A1222" s="10">
        <v>1161</v>
      </c>
      <c r="D1222" s="2" t="str">
        <f t="shared" si="18"/>
        <v>OK</v>
      </c>
    </row>
    <row r="1223" spans="1:4" x14ac:dyDescent="0.2">
      <c r="A1223" s="5">
        <v>1162</v>
      </c>
      <c r="B1223" s="138">
        <f>'Expenditures 15-22'!C127</f>
        <v>227259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227259</v>
      </c>
      <c r="C1225" s="2" t="s">
        <v>573</v>
      </c>
      <c r="D1225" s="2" t="str">
        <f t="shared" si="18"/>
        <v>Error?</v>
      </c>
    </row>
    <row r="1226" spans="1:4" x14ac:dyDescent="0.2">
      <c r="A1226" s="5">
        <v>1165</v>
      </c>
      <c r="B1226" s="138">
        <f>'Expenditures 15-22'!C151</f>
        <v>227259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13992</v>
      </c>
      <c r="D1229" s="2" t="str">
        <f t="shared" si="18"/>
        <v>Error?</v>
      </c>
    </row>
    <row r="1230" spans="1:4" x14ac:dyDescent="0.2">
      <c r="A1230" s="10">
        <v>1169</v>
      </c>
      <c r="D1230" s="2" t="str">
        <f t="shared" si="18"/>
        <v>OK</v>
      </c>
    </row>
    <row r="1231" spans="1:4" x14ac:dyDescent="0.2">
      <c r="A1231" s="5">
        <v>1170</v>
      </c>
      <c r="B1231" s="138">
        <f>'Expenditures 15-22'!D127</f>
        <v>13992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13992</v>
      </c>
      <c r="C1233" s="2" t="s">
        <v>573</v>
      </c>
      <c r="D1233" s="2" t="str">
        <f t="shared" si="18"/>
        <v>Error?</v>
      </c>
    </row>
    <row r="1234" spans="1:4" x14ac:dyDescent="0.2">
      <c r="A1234" s="5">
        <v>1173</v>
      </c>
      <c r="B1234" s="138">
        <f>'Expenditures 15-22'!D151</f>
        <v>13992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122343</v>
      </c>
      <c r="D1237" s="2" t="str">
        <f t="shared" si="18"/>
        <v>Error?</v>
      </c>
    </row>
    <row r="1238" spans="1:4" x14ac:dyDescent="0.2">
      <c r="A1238" s="10">
        <v>1177</v>
      </c>
      <c r="D1238" s="2" t="str">
        <f t="shared" si="18"/>
        <v>OK</v>
      </c>
    </row>
    <row r="1239" spans="1:4" x14ac:dyDescent="0.2">
      <c r="A1239" s="5">
        <v>1178</v>
      </c>
      <c r="B1239" s="138">
        <f>'Expenditures 15-22'!E127</f>
        <v>122343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122343</v>
      </c>
      <c r="C1241" s="2" t="s">
        <v>573</v>
      </c>
      <c r="D1241" s="2" t="str">
        <f t="shared" si="18"/>
        <v>Error?</v>
      </c>
    </row>
    <row r="1242" spans="1:4" x14ac:dyDescent="0.2">
      <c r="A1242" s="5">
        <v>1181</v>
      </c>
      <c r="B1242" s="138">
        <f>'Expenditures 15-22'!E151</f>
        <v>122343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184044</v>
      </c>
      <c r="D1245" s="2" t="str">
        <f t="shared" si="18"/>
        <v>Error?</v>
      </c>
    </row>
    <row r="1246" spans="1:4" x14ac:dyDescent="0.2">
      <c r="A1246" s="10">
        <v>1185</v>
      </c>
      <c r="D1246" s="2" t="str">
        <f t="shared" si="18"/>
        <v>OK</v>
      </c>
    </row>
    <row r="1247" spans="1:4" x14ac:dyDescent="0.2">
      <c r="A1247" s="5">
        <v>1186</v>
      </c>
      <c r="B1247" s="138">
        <f>'Expenditures 15-22'!F127</f>
        <v>184044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184044</v>
      </c>
      <c r="C1249" s="2" t="s">
        <v>573</v>
      </c>
      <c r="D1249" s="2" t="str">
        <f t="shared" si="18"/>
        <v>Error?</v>
      </c>
    </row>
    <row r="1250" spans="1:4" x14ac:dyDescent="0.2">
      <c r="A1250" s="5">
        <v>1189</v>
      </c>
      <c r="B1250" s="138">
        <f>'Expenditures 15-22'!F151</f>
        <v>184044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63870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63870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63870</v>
      </c>
      <c r="C1258" s="2" t="s">
        <v>573</v>
      </c>
      <c r="D1258" s="2" t="str">
        <f t="shared" si="18"/>
        <v>Error?</v>
      </c>
    </row>
    <row r="1259" spans="1:4" x14ac:dyDescent="0.2">
      <c r="A1259" s="5">
        <v>1198</v>
      </c>
      <c r="B1259" s="138">
        <f>'Expenditures 15-22'!G151</f>
        <v>63870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611508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611508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611508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611508</v>
      </c>
      <c r="C1288" s="2" t="s">
        <v>573</v>
      </c>
      <c r="D1288" s="2" t="str">
        <f t="shared" si="19"/>
        <v>Error?</v>
      </c>
    </row>
    <row r="1289" spans="1:4" x14ac:dyDescent="0.2">
      <c r="A1289" s="5">
        <v>1228</v>
      </c>
      <c r="B1289" s="138">
        <f>'Expenditures 15-22'!K152</f>
        <v>67626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33891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389884</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424275</v>
      </c>
      <c r="C1317" s="2" t="s">
        <v>573</v>
      </c>
      <c r="D1317" s="2" t="str">
        <f t="shared" si="19"/>
        <v>Error?</v>
      </c>
    </row>
    <row r="1318" spans="1:4" x14ac:dyDescent="0.2">
      <c r="A1318" s="5">
        <v>1257</v>
      </c>
      <c r="B1318" s="138">
        <f>'Expenditures 15-22'!H174</f>
        <v>424275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33891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389884</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424275</v>
      </c>
      <c r="C1331" s="2" t="s">
        <v>573</v>
      </c>
      <c r="D1331" s="2" t="str">
        <f t="shared" si="19"/>
        <v>Error?</v>
      </c>
    </row>
    <row r="1332" spans="1:4" x14ac:dyDescent="0.2">
      <c r="A1332" s="5">
        <v>1271</v>
      </c>
      <c r="B1332" s="138">
        <f>'Expenditures 15-22'!K174</f>
        <v>424275</v>
      </c>
      <c r="C1332" s="2" t="s">
        <v>573</v>
      </c>
      <c r="D1332" s="2" t="str">
        <f t="shared" si="19"/>
        <v>Error?</v>
      </c>
    </row>
    <row r="1333" spans="1:4" x14ac:dyDescent="0.2">
      <c r="A1333" s="5">
        <v>1272</v>
      </c>
      <c r="B1333" s="138">
        <f>'Expenditures 15-22'!K175</f>
        <v>-21158</v>
      </c>
      <c r="C1333" s="2" t="s">
        <v>573</v>
      </c>
      <c r="D1333" s="2" t="str">
        <f t="shared" si="19"/>
        <v>Error?</v>
      </c>
    </row>
    <row r="1334" spans="1:4" x14ac:dyDescent="0.2">
      <c r="A1334" s="10">
        <v>1273</v>
      </c>
      <c r="D1334" s="2" t="str">
        <f t="shared" si="19"/>
        <v>OK</v>
      </c>
    </row>
    <row r="1335" spans="1:4" x14ac:dyDescent="0.2">
      <c r="A1335" s="5">
        <v>1274</v>
      </c>
      <c r="B1335" s="138">
        <f>'Expenditures 15-22'!C182</f>
        <v>121336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121336</v>
      </c>
      <c r="C1339" s="2" t="s">
        <v>573</v>
      </c>
      <c r="D1339" s="2" t="str">
        <f t="shared" si="19"/>
        <v>Error?</v>
      </c>
    </row>
    <row r="1340" spans="1:4" x14ac:dyDescent="0.2">
      <c r="A1340" s="5">
        <v>1279</v>
      </c>
      <c r="B1340" s="138">
        <f>'Expenditures 15-22'!C210</f>
        <v>121336</v>
      </c>
      <c r="C1340" s="2" t="s">
        <v>573</v>
      </c>
      <c r="D1340" s="2" t="str">
        <f t="shared" si="19"/>
        <v>Error?</v>
      </c>
    </row>
    <row r="1341" spans="1:4" x14ac:dyDescent="0.2">
      <c r="A1341" s="5">
        <v>1280</v>
      </c>
      <c r="B1341" s="138">
        <f>'Expenditures 15-22'!D182</f>
        <v>9245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9245</v>
      </c>
      <c r="C1345" s="2" t="s">
        <v>573</v>
      </c>
      <c r="D1345" s="2" t="str">
        <f t="shared" si="20"/>
        <v>Error?</v>
      </c>
    </row>
    <row r="1346" spans="1:4" x14ac:dyDescent="0.2">
      <c r="A1346" s="5">
        <v>1285</v>
      </c>
      <c r="B1346" s="138">
        <f>'Expenditures 15-22'!D210</f>
        <v>9245</v>
      </c>
      <c r="C1346" s="2" t="s">
        <v>573</v>
      </c>
      <c r="D1346" s="2" t="str">
        <f t="shared" si="20"/>
        <v>Error?</v>
      </c>
    </row>
    <row r="1347" spans="1:4" x14ac:dyDescent="0.2">
      <c r="A1347" s="5">
        <v>1286</v>
      </c>
      <c r="B1347" s="138">
        <f>'Expenditures 15-22'!E182</f>
        <v>71176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71176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71176</v>
      </c>
      <c r="C1353" s="2" t="s">
        <v>573</v>
      </c>
      <c r="D1353" s="2" t="str">
        <f t="shared" si="20"/>
        <v>Error?</v>
      </c>
    </row>
    <row r="1354" spans="1:4" x14ac:dyDescent="0.2">
      <c r="A1354" s="5">
        <v>1293</v>
      </c>
      <c r="B1354" s="138">
        <f>'Expenditures 15-22'!F182</f>
        <v>45734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45734</v>
      </c>
      <c r="C1358" s="2" t="s">
        <v>573</v>
      </c>
      <c r="D1358" s="2" t="str">
        <f t="shared" si="20"/>
        <v>Error?</v>
      </c>
    </row>
    <row r="1359" spans="1:4" x14ac:dyDescent="0.2">
      <c r="A1359" s="5">
        <v>1298</v>
      </c>
      <c r="B1359" s="138">
        <f>'Expenditures 15-22'!F210</f>
        <v>45734</v>
      </c>
      <c r="C1359" s="2" t="s">
        <v>573</v>
      </c>
      <c r="D1359" s="2" t="str">
        <f t="shared" si="20"/>
        <v>Error?</v>
      </c>
    </row>
    <row r="1360" spans="1:4" x14ac:dyDescent="0.2">
      <c r="A1360" s="5">
        <v>1299</v>
      </c>
      <c r="B1360" s="138">
        <f>'Expenditures 15-22'!G182</f>
        <v>49785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49785</v>
      </c>
      <c r="C1364" s="2" t="s">
        <v>573</v>
      </c>
      <c r="D1364" s="2" t="str">
        <f t="shared" si="20"/>
        <v>Error?</v>
      </c>
    </row>
    <row r="1365" spans="1:4" x14ac:dyDescent="0.2">
      <c r="A1365" s="5">
        <v>1304</v>
      </c>
      <c r="B1365" s="138">
        <f>'Expenditures 15-22'!G210</f>
        <v>49785</v>
      </c>
      <c r="C1365" s="2" t="s">
        <v>573</v>
      </c>
      <c r="D1365" s="2" t="str">
        <f t="shared" si="20"/>
        <v>Error?</v>
      </c>
    </row>
    <row r="1366" spans="1:4" x14ac:dyDescent="0.2">
      <c r="A1366" s="5">
        <v>1305</v>
      </c>
      <c r="B1366" s="138">
        <f>'Expenditures 15-22'!H182</f>
        <v>175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175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175</v>
      </c>
      <c r="C1376" s="2" t="s">
        <v>573</v>
      </c>
      <c r="D1376" s="2" t="str">
        <f t="shared" si="20"/>
        <v>Error?</v>
      </c>
    </row>
    <row r="1377" spans="1:4" x14ac:dyDescent="0.2">
      <c r="A1377" s="5">
        <v>1316</v>
      </c>
      <c r="B1377" s="138">
        <f>'Expenditures 15-22'!K182</f>
        <v>297451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297451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297451</v>
      </c>
      <c r="C1388" s="2" t="s">
        <v>573</v>
      </c>
      <c r="D1388" s="2" t="str">
        <f t="shared" si="20"/>
        <v>Error?</v>
      </c>
    </row>
    <row r="1389" spans="1:4" x14ac:dyDescent="0.2">
      <c r="A1389" s="5">
        <v>1328</v>
      </c>
      <c r="B1389" s="138">
        <f>'Expenditures 15-22'!K211</f>
        <v>95239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82</v>
      </c>
      <c r="D1407" s="2" t="str">
        <f t="shared" ref="D1407:D1470" si="21">IF(ISBLANK(B1407),"OK",IF(A1407-B1407=0,"OK","Error?"))</f>
        <v>Error?</v>
      </c>
    </row>
    <row r="1408" spans="1:4" x14ac:dyDescent="0.2">
      <c r="A1408" s="5">
        <v>1347</v>
      </c>
      <c r="B1408" s="138">
        <f>'Expenditures 15-22'!D223</f>
        <v>3856</v>
      </c>
      <c r="D1408" s="2" t="str">
        <f t="shared" si="21"/>
        <v>Error?</v>
      </c>
    </row>
    <row r="1409" spans="1:4" x14ac:dyDescent="0.2">
      <c r="A1409" s="5">
        <v>1348</v>
      </c>
      <c r="B1409" s="138">
        <f>'Expenditures 15-22'!D224</f>
        <v>25</v>
      </c>
      <c r="D1409" s="2" t="str">
        <f t="shared" si="21"/>
        <v>Error?</v>
      </c>
    </row>
    <row r="1410" spans="1:4" x14ac:dyDescent="0.2">
      <c r="A1410" s="5">
        <v>1349</v>
      </c>
      <c r="B1410" s="138">
        <f>'Expenditures 15-22'!D229</f>
        <v>75805</v>
      </c>
      <c r="C1410" s="2" t="s">
        <v>573</v>
      </c>
      <c r="D1410" s="2" t="str">
        <f t="shared" si="21"/>
        <v>Error?</v>
      </c>
    </row>
    <row r="1411" spans="1:4" x14ac:dyDescent="0.2">
      <c r="A1411" s="5">
        <v>1350</v>
      </c>
      <c r="B1411" s="138">
        <f>'Expenditures 15-22'!D232</f>
        <v>656</v>
      </c>
      <c r="D1411" s="2" t="str">
        <f t="shared" si="21"/>
        <v>Error?</v>
      </c>
    </row>
    <row r="1412" spans="1:4" x14ac:dyDescent="0.2">
      <c r="A1412" s="5">
        <v>1351</v>
      </c>
      <c r="B1412" s="138">
        <f>'Expenditures 15-22'!D233</f>
        <v>980</v>
      </c>
      <c r="D1412" s="2" t="str">
        <f t="shared" si="21"/>
        <v>Error?</v>
      </c>
    </row>
    <row r="1413" spans="1:4" x14ac:dyDescent="0.2">
      <c r="A1413" s="5">
        <v>1352</v>
      </c>
      <c r="B1413" s="138">
        <f>'Expenditures 15-22'!D234</f>
        <v>6590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1185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9411</v>
      </c>
      <c r="C1417" s="2" t="s">
        <v>573</v>
      </c>
      <c r="D1417" s="2" t="str">
        <f t="shared" si="21"/>
        <v>Error?</v>
      </c>
    </row>
    <row r="1418" spans="1:4" x14ac:dyDescent="0.2">
      <c r="A1418" s="5">
        <v>1357</v>
      </c>
      <c r="B1418" s="138">
        <f>'Expenditures 15-22'!D240</f>
        <v>18</v>
      </c>
      <c r="D1418" s="2" t="str">
        <f t="shared" si="21"/>
        <v>Error?</v>
      </c>
    </row>
    <row r="1419" spans="1:4" x14ac:dyDescent="0.2">
      <c r="A1419" s="5">
        <v>1358</v>
      </c>
      <c r="B1419" s="138">
        <f>'Expenditures 15-22'!D241</f>
        <v>3760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3778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9540</v>
      </c>
      <c r="D1423" s="2" t="str">
        <f t="shared" si="21"/>
        <v>Error?</v>
      </c>
    </row>
    <row r="1424" spans="1:4" x14ac:dyDescent="0.2">
      <c r="A1424" s="5">
        <v>1363</v>
      </c>
      <c r="B1424" s="138">
        <f>'Expenditures 15-22'!D257</f>
        <v>9540</v>
      </c>
      <c r="C1424" s="2" t="s">
        <v>573</v>
      </c>
      <c r="D1424" s="2" t="str">
        <f t="shared" si="21"/>
        <v>Error?</v>
      </c>
    </row>
    <row r="1425" spans="1:4" x14ac:dyDescent="0.2">
      <c r="A1425" s="5">
        <v>1364</v>
      </c>
      <c r="B1425" s="138">
        <f>'Expenditures 15-22'!D259</f>
        <v>17104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17104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8026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41303</v>
      </c>
      <c r="D1431" s="2" t="str">
        <f t="shared" si="21"/>
        <v>Error?</v>
      </c>
    </row>
    <row r="1432" spans="1:4" x14ac:dyDescent="0.2">
      <c r="A1432" s="5">
        <v>1371</v>
      </c>
      <c r="B1432" s="138">
        <f>'Expenditures 15-22'!D267</f>
        <v>18248</v>
      </c>
      <c r="D1432" s="2" t="str">
        <f t="shared" si="21"/>
        <v>Error?</v>
      </c>
    </row>
    <row r="1433" spans="1:4" x14ac:dyDescent="0.2">
      <c r="A1433" s="5">
        <v>1372</v>
      </c>
      <c r="B1433" s="138">
        <f>'Expenditures 15-22'!D268</f>
        <v>15840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83417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123250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199055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82</v>
      </c>
      <c r="C1471" s="2" t="s">
        <v>573</v>
      </c>
      <c r="D1471" s="2" t="str">
        <f t="shared" ref="D1471:D1534" si="22">IF(ISBLANK(B1471),"OK",IF(A1471-B1471=0,"OK","Error?"))</f>
        <v>Error?</v>
      </c>
    </row>
    <row r="1472" spans="1:4" x14ac:dyDescent="0.2">
      <c r="A1472" s="5">
        <v>1411</v>
      </c>
      <c r="B1472" s="138">
        <f>'Expenditures 15-22'!K223</f>
        <v>3856</v>
      </c>
      <c r="C1472" s="2" t="s">
        <v>573</v>
      </c>
      <c r="D1472" s="2" t="str">
        <f t="shared" si="22"/>
        <v>Error?</v>
      </c>
    </row>
    <row r="1473" spans="1:4" x14ac:dyDescent="0.2">
      <c r="A1473" s="5">
        <v>1412</v>
      </c>
      <c r="B1473" s="138">
        <f>'Expenditures 15-22'!K224</f>
        <v>25</v>
      </c>
      <c r="C1473" s="2" t="s">
        <v>573</v>
      </c>
      <c r="D1473" s="2" t="str">
        <f t="shared" si="22"/>
        <v>Error?</v>
      </c>
    </row>
    <row r="1474" spans="1:4" x14ac:dyDescent="0.2">
      <c r="A1474" s="5">
        <v>1413</v>
      </c>
      <c r="B1474" s="138">
        <f>'Expenditures 15-22'!K229</f>
        <v>75805</v>
      </c>
      <c r="C1474" s="2" t="s">
        <v>573</v>
      </c>
      <c r="D1474" s="2" t="str">
        <f t="shared" si="22"/>
        <v>Error?</v>
      </c>
    </row>
    <row r="1475" spans="1:4" x14ac:dyDescent="0.2">
      <c r="A1475" s="5">
        <v>1414</v>
      </c>
      <c r="B1475" s="138">
        <f>'Expenditures 15-22'!K232</f>
        <v>656</v>
      </c>
      <c r="C1475" s="2" t="s">
        <v>573</v>
      </c>
      <c r="D1475" s="2" t="str">
        <f t="shared" si="22"/>
        <v>Error?</v>
      </c>
    </row>
    <row r="1476" spans="1:4" x14ac:dyDescent="0.2">
      <c r="A1476" s="5">
        <v>1415</v>
      </c>
      <c r="B1476" s="138">
        <f>'Expenditures 15-22'!K233</f>
        <v>980</v>
      </c>
      <c r="C1476" s="2" t="s">
        <v>573</v>
      </c>
      <c r="D1476" s="2" t="str">
        <f t="shared" si="22"/>
        <v>Error?</v>
      </c>
    </row>
    <row r="1477" spans="1:4" x14ac:dyDescent="0.2">
      <c r="A1477" s="5">
        <v>1416</v>
      </c>
      <c r="B1477" s="138">
        <f>'Expenditures 15-22'!K234</f>
        <v>6590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1185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9411</v>
      </c>
      <c r="C1481" s="2" t="s">
        <v>573</v>
      </c>
      <c r="D1481" s="2" t="str">
        <f t="shared" si="22"/>
        <v>Error?</v>
      </c>
    </row>
    <row r="1482" spans="1:4" x14ac:dyDescent="0.2">
      <c r="A1482" s="5">
        <v>1421</v>
      </c>
      <c r="B1482" s="138">
        <f>'Expenditures 15-22'!K240</f>
        <v>18</v>
      </c>
      <c r="C1482" s="2" t="s">
        <v>573</v>
      </c>
      <c r="D1482" s="2" t="str">
        <f t="shared" si="22"/>
        <v>Error?</v>
      </c>
    </row>
    <row r="1483" spans="1:4" x14ac:dyDescent="0.2">
      <c r="A1483" s="5">
        <v>1422</v>
      </c>
      <c r="B1483" s="138">
        <f>'Expenditures 15-22'!K241</f>
        <v>3760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3778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9540</v>
      </c>
      <c r="C1487" s="2" t="s">
        <v>573</v>
      </c>
      <c r="D1487" s="2" t="str">
        <f t="shared" si="22"/>
        <v>Error?</v>
      </c>
    </row>
    <row r="1488" spans="1:4" x14ac:dyDescent="0.2">
      <c r="A1488" s="5">
        <v>1427</v>
      </c>
      <c r="B1488" s="138">
        <f>'Expenditures 15-22'!K257</f>
        <v>9540</v>
      </c>
      <c r="C1488" s="2" t="s">
        <v>573</v>
      </c>
      <c r="D1488" s="2" t="str">
        <f t="shared" si="22"/>
        <v>Error?</v>
      </c>
    </row>
    <row r="1489" spans="1:4" x14ac:dyDescent="0.2">
      <c r="A1489" s="5">
        <v>1428</v>
      </c>
      <c r="B1489" s="138">
        <f>'Expenditures 15-22'!K259</f>
        <v>17104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17104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8026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41303</v>
      </c>
      <c r="C1495" s="2" t="s">
        <v>573</v>
      </c>
      <c r="D1495" s="2" t="str">
        <f t="shared" si="22"/>
        <v>Error?</v>
      </c>
    </row>
    <row r="1496" spans="1:4" x14ac:dyDescent="0.2">
      <c r="A1496" s="5">
        <v>1435</v>
      </c>
      <c r="B1496" s="138">
        <f>'Expenditures 15-22'!K267</f>
        <v>18248</v>
      </c>
      <c r="C1496" s="2" t="s">
        <v>573</v>
      </c>
      <c r="D1496" s="2" t="str">
        <f t="shared" si="22"/>
        <v>Error?</v>
      </c>
    </row>
    <row r="1497" spans="1:4" x14ac:dyDescent="0.2">
      <c r="A1497" s="5">
        <v>1436</v>
      </c>
      <c r="B1497" s="138">
        <f>'Expenditures 15-22'!K268</f>
        <v>15840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83417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123250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199055</v>
      </c>
      <c r="C1517" s="2" t="s">
        <v>573</v>
      </c>
      <c r="D1517" s="2" t="str">
        <f t="shared" si="22"/>
        <v>Error?</v>
      </c>
    </row>
    <row r="1518" spans="1:4" x14ac:dyDescent="0.2">
      <c r="A1518" s="5">
        <v>1457</v>
      </c>
      <c r="B1518" s="138">
        <f>'Expenditures 15-22'!K296</f>
        <v>15008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372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372</v>
      </c>
      <c r="C1541" s="2" t="s">
        <v>573</v>
      </c>
      <c r="D1541" s="2" t="str">
        <f t="shared" si="23"/>
        <v>Error?</v>
      </c>
    </row>
    <row r="1542" spans="1:4" x14ac:dyDescent="0.2">
      <c r="A1542" s="5">
        <v>1481</v>
      </c>
      <c r="B1542" s="138">
        <f>'Expenditures 15-22'!F312</f>
        <v>372</v>
      </c>
      <c r="C1542" s="2" t="s">
        <v>573</v>
      </c>
      <c r="D1542" s="2" t="str">
        <f t="shared" si="23"/>
        <v>Error?</v>
      </c>
    </row>
    <row r="1543" spans="1:4" x14ac:dyDescent="0.2">
      <c r="A1543" s="5">
        <v>1482</v>
      </c>
      <c r="B1543" s="138">
        <f>'Expenditures 15-22'!G301</f>
        <v>198606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198606</v>
      </c>
      <c r="C1547" s="2" t="s">
        <v>573</v>
      </c>
      <c r="D1547" s="2" t="str">
        <f t="shared" si="23"/>
        <v>Error?</v>
      </c>
    </row>
    <row r="1548" spans="1:4" x14ac:dyDescent="0.2">
      <c r="A1548" s="5">
        <v>1487</v>
      </c>
      <c r="B1548" s="138">
        <f>'Expenditures 15-22'!G312</f>
        <v>198606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198978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198978</v>
      </c>
      <c r="C1559" s="2" t="s">
        <v>573</v>
      </c>
      <c r="D1559" s="2" t="str">
        <f t="shared" si="23"/>
        <v>Error?</v>
      </c>
    </row>
    <row r="1560" spans="1:4" x14ac:dyDescent="0.2">
      <c r="A1560" s="5">
        <v>1499</v>
      </c>
      <c r="B1560" s="138">
        <f>'Expenditures 15-22'!K312</f>
        <v>198978</v>
      </c>
      <c r="C1560" s="2" t="s">
        <v>573</v>
      </c>
      <c r="D1560" s="2" t="str">
        <f t="shared" si="23"/>
        <v>Error?</v>
      </c>
    </row>
    <row r="1561" spans="1:4" x14ac:dyDescent="0.2">
      <c r="A1561" s="5">
        <v>1500</v>
      </c>
      <c r="B1561" s="138">
        <f>'Expenditures 15-22'!K313</f>
        <v>-18287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1846420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2202688</v>
      </c>
      <c r="C1630" s="2" t="s">
        <v>573</v>
      </c>
      <c r="D1630" s="2" t="str">
        <f t="shared" si="24"/>
        <v>Error?</v>
      </c>
    </row>
    <row r="1631" spans="1:4" x14ac:dyDescent="0.2">
      <c r="A1631" s="5">
        <v>1570</v>
      </c>
      <c r="B1631" s="138">
        <f>'Acct Summary 7-8'!D79</f>
        <v>141762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210038</v>
      </c>
      <c r="C1644" s="2" t="s">
        <v>573</v>
      </c>
      <c r="D1644" s="2" t="str">
        <f t="shared" si="24"/>
        <v>Error?</v>
      </c>
    </row>
    <row r="1645" spans="1:4" x14ac:dyDescent="0.2">
      <c r="A1645" s="5">
        <v>1584</v>
      </c>
      <c r="B1645" s="138">
        <f>'Acct Summary 7-8'!E79</f>
        <v>44409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56826</v>
      </c>
      <c r="C1658" s="2" t="s">
        <v>573</v>
      </c>
      <c r="D1658" s="2" t="str">
        <f t="shared" si="24"/>
        <v>Error?</v>
      </c>
    </row>
    <row r="1659" spans="1:4" x14ac:dyDescent="0.2">
      <c r="A1659" s="5">
        <v>1598</v>
      </c>
      <c r="B1659" s="138">
        <f>'Acct Summary 7-8'!F79</f>
        <v>179026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274265</v>
      </c>
      <c r="C1672" s="2" t="s">
        <v>573</v>
      </c>
      <c r="D1672" s="2" t="str">
        <f t="shared" si="25"/>
        <v>Error?</v>
      </c>
    </row>
    <row r="1673" spans="1:4" x14ac:dyDescent="0.2">
      <c r="A1673" s="5">
        <v>1612</v>
      </c>
      <c r="B1673" s="138">
        <f>'Acct Summary 7-8'!G79</f>
        <v>18489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33497</v>
      </c>
      <c r="C1686" s="2" t="s">
        <v>573</v>
      </c>
      <c r="D1686" s="2" t="str">
        <f t="shared" si="25"/>
        <v>Error?</v>
      </c>
    </row>
    <row r="1687" spans="1:4" x14ac:dyDescent="0.2">
      <c r="A1687" s="5">
        <v>1626</v>
      </c>
      <c r="B1687" s="138">
        <f>'Acct Summary 7-8'!H79</f>
        <v>243001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324814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1600292</v>
      </c>
      <c r="C1744" s="2" t="s">
        <v>573</v>
      </c>
      <c r="D1744" s="2" t="str">
        <f t="shared" si="26"/>
        <v>Error?</v>
      </c>
    </row>
    <row r="1745" spans="1:5" x14ac:dyDescent="0.2">
      <c r="A1745" s="5">
        <v>1684</v>
      </c>
      <c r="B1745" s="138">
        <f>'Tax Sched 23'!B5</f>
        <v>305775</v>
      </c>
      <c r="C1745" s="2" t="s">
        <v>573</v>
      </c>
      <c r="D1745" s="2" t="str">
        <f t="shared" si="26"/>
        <v>Error?</v>
      </c>
    </row>
    <row r="1746" spans="1:5" x14ac:dyDescent="0.2">
      <c r="A1746" s="5">
        <v>1685</v>
      </c>
      <c r="B1746" s="138">
        <f>'Tax Sched 23'!B6</f>
        <v>394108</v>
      </c>
      <c r="C1746" s="2" t="s">
        <v>573</v>
      </c>
      <c r="D1746" s="2" t="str">
        <f t="shared" si="26"/>
        <v>Error?</v>
      </c>
    </row>
    <row r="1747" spans="1:5" x14ac:dyDescent="0.2">
      <c r="A1747" s="5">
        <v>1686</v>
      </c>
      <c r="B1747" s="138">
        <f>'Tax Sched 23'!B7</f>
        <v>78583</v>
      </c>
      <c r="C1747" s="2" t="s">
        <v>573</v>
      </c>
      <c r="D1747" s="2" t="str">
        <f t="shared" si="26"/>
        <v>Error?</v>
      </c>
    </row>
    <row r="1748" spans="1:5" x14ac:dyDescent="0.2">
      <c r="A1748" s="5">
        <v>1687</v>
      </c>
      <c r="B1748" s="138">
        <f>'Tax Sched 23'!B8</f>
        <v>87139</v>
      </c>
      <c r="C1748" s="2" t="s">
        <v>573</v>
      </c>
      <c r="D1748" s="2" t="str">
        <f t="shared" si="26"/>
        <v>Error?</v>
      </c>
    </row>
    <row r="1749" spans="1:5" x14ac:dyDescent="0.2">
      <c r="A1749" s="5">
        <v>1688</v>
      </c>
      <c r="B1749" s="138">
        <f>'Tax Sched 23'!B10</f>
        <v>3333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102045</v>
      </c>
      <c r="C1752" s="2" t="s">
        <v>573</v>
      </c>
      <c r="D1752" s="2" t="str">
        <f t="shared" si="26"/>
        <v>Error?</v>
      </c>
    </row>
    <row r="1753" spans="1:5" x14ac:dyDescent="0.2">
      <c r="A1753" s="5">
        <v>1692</v>
      </c>
      <c r="B1753" s="138">
        <f>'Tax Sched 23'!B12</f>
        <v>6075</v>
      </c>
      <c r="C1753" s="2" t="s">
        <v>573</v>
      </c>
      <c r="D1753" s="2" t="str">
        <f t="shared" si="26"/>
        <v>Error?</v>
      </c>
    </row>
    <row r="1754" spans="1:5" x14ac:dyDescent="0.2">
      <c r="A1754" s="5">
        <v>1693</v>
      </c>
      <c r="B1754" s="138">
        <f>'Tax Sched 23'!B14</f>
        <v>21858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2687637</v>
      </c>
      <c r="C1759" s="2" t="s">
        <v>573</v>
      </c>
      <c r="D1759" s="2" t="str">
        <f t="shared" si="26"/>
        <v>Error?</v>
      </c>
    </row>
    <row r="1760" spans="1:5" x14ac:dyDescent="0.2">
      <c r="A1760" s="5">
        <v>1699</v>
      </c>
      <c r="B1760" s="138">
        <f>'Tax Sched 23'!D4</f>
        <v>1582548</v>
      </c>
      <c r="C1760" s="2" t="s">
        <v>573</v>
      </c>
      <c r="D1760" s="2" t="str">
        <f t="shared" si="26"/>
        <v>Error?</v>
      </c>
    </row>
    <row r="1761" spans="1:5" x14ac:dyDescent="0.2">
      <c r="A1761" s="5">
        <v>1700</v>
      </c>
      <c r="B1761" s="138">
        <f>'Tax Sched 23'!D5</f>
        <v>302318</v>
      </c>
      <c r="C1761" s="2" t="s">
        <v>573</v>
      </c>
      <c r="D1761" s="2" t="str">
        <f t="shared" si="26"/>
        <v>Error?</v>
      </c>
    </row>
    <row r="1762" spans="1:5" s="8" customFormat="1" x14ac:dyDescent="0.2">
      <c r="A1762" s="5">
        <v>1701</v>
      </c>
      <c r="B1762" s="138">
        <f>'Tax Sched 23'!D6</f>
        <v>390343</v>
      </c>
      <c r="C1762" s="2" t="s">
        <v>573</v>
      </c>
      <c r="D1762" s="2" t="str">
        <f t="shared" si="26"/>
        <v>Error?</v>
      </c>
      <c r="E1762" s="9"/>
    </row>
    <row r="1763" spans="1:5" x14ac:dyDescent="0.2">
      <c r="A1763" s="5">
        <v>1702</v>
      </c>
      <c r="B1763" s="138">
        <f>'Tax Sched 23'!D7</f>
        <v>77694</v>
      </c>
      <c r="C1763" s="2" t="s">
        <v>573</v>
      </c>
      <c r="D1763" s="2" t="str">
        <f t="shared" si="26"/>
        <v>Error?</v>
      </c>
    </row>
    <row r="1764" spans="1:5" x14ac:dyDescent="0.2">
      <c r="A1764" s="5">
        <v>1703</v>
      </c>
      <c r="B1764" s="138">
        <f>'Tax Sched 23'!D8</f>
        <v>86034</v>
      </c>
      <c r="C1764" s="2" t="s">
        <v>573</v>
      </c>
      <c r="D1764" s="2" t="str">
        <f t="shared" si="26"/>
        <v>Error?</v>
      </c>
    </row>
    <row r="1765" spans="1:5" x14ac:dyDescent="0.2">
      <c r="A1765" s="5">
        <v>1704</v>
      </c>
      <c r="B1765" s="138">
        <f>'Tax Sched 23'!D10</f>
        <v>3295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100992</v>
      </c>
      <c r="C1768" s="2" t="s">
        <v>573</v>
      </c>
      <c r="D1768" s="2" t="str">
        <f t="shared" si="26"/>
        <v>Error?</v>
      </c>
    </row>
    <row r="1769" spans="1:5" x14ac:dyDescent="0.2">
      <c r="A1769" s="5">
        <v>1708</v>
      </c>
      <c r="B1769" s="138">
        <f>'Tax Sched 23'!D12</f>
        <v>6006</v>
      </c>
      <c r="C1769" s="2" t="s">
        <v>573</v>
      </c>
      <c r="D1769" s="2" t="str">
        <f t="shared" si="26"/>
        <v>Error?</v>
      </c>
    </row>
    <row r="1770" spans="1:5" x14ac:dyDescent="0.2">
      <c r="A1770" s="5">
        <v>1709</v>
      </c>
      <c r="B1770" s="138">
        <f>'Tax Sched 23'!D14</f>
        <v>21611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2658079</v>
      </c>
      <c r="C1775" s="2" t="s">
        <v>573</v>
      </c>
      <c r="D1775" s="2" t="str">
        <f t="shared" si="26"/>
        <v>Error?</v>
      </c>
    </row>
    <row r="1776" spans="1:5" x14ac:dyDescent="0.2">
      <c r="A1776" s="5">
        <v>1715</v>
      </c>
      <c r="B1776" s="138">
        <f>'Tax Sched 23'!C4</f>
        <v>17744</v>
      </c>
      <c r="D1776" s="2" t="str">
        <f t="shared" si="26"/>
        <v>Error?</v>
      </c>
    </row>
    <row r="1777" spans="1:4" x14ac:dyDescent="0.2">
      <c r="A1777" s="5">
        <v>1716</v>
      </c>
      <c r="B1777" s="138">
        <f>'Tax Sched 23'!C5</f>
        <v>3457</v>
      </c>
      <c r="D1777" s="2" t="str">
        <f t="shared" si="26"/>
        <v>Error?</v>
      </c>
    </row>
    <row r="1778" spans="1:4" x14ac:dyDescent="0.2">
      <c r="A1778" s="5">
        <v>1717</v>
      </c>
      <c r="B1778" s="138">
        <f>'Tax Sched 23'!C6</f>
        <v>3765</v>
      </c>
      <c r="D1778" s="2" t="str">
        <f t="shared" si="26"/>
        <v>Error?</v>
      </c>
    </row>
    <row r="1779" spans="1:4" x14ac:dyDescent="0.2">
      <c r="A1779" s="5">
        <v>1718</v>
      </c>
      <c r="B1779" s="138">
        <f>'Tax Sched 23'!C7</f>
        <v>889</v>
      </c>
      <c r="D1779" s="2" t="str">
        <f t="shared" si="26"/>
        <v>Error?</v>
      </c>
    </row>
    <row r="1780" spans="1:4" x14ac:dyDescent="0.2">
      <c r="A1780" s="5">
        <v>1719</v>
      </c>
      <c r="B1780" s="138">
        <f>'Tax Sched 23'!C8</f>
        <v>1105</v>
      </c>
      <c r="D1780" s="2" t="str">
        <f t="shared" si="26"/>
        <v>Error?</v>
      </c>
    </row>
    <row r="1781" spans="1:4" x14ac:dyDescent="0.2">
      <c r="A1781" s="5">
        <v>1720</v>
      </c>
      <c r="B1781" s="138">
        <f>'Tax Sched 23'!C10</f>
        <v>38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1053</v>
      </c>
      <c r="D1784" s="2" t="str">
        <f t="shared" si="26"/>
        <v>Error?</v>
      </c>
    </row>
    <row r="1785" spans="1:4" x14ac:dyDescent="0.2">
      <c r="A1785" s="5">
        <v>1724</v>
      </c>
      <c r="B1785" s="138">
        <f>'Tax Sched 23'!C12</f>
        <v>69</v>
      </c>
      <c r="D1785" s="2" t="str">
        <f t="shared" si="26"/>
        <v>Error?</v>
      </c>
    </row>
    <row r="1786" spans="1:4" x14ac:dyDescent="0.2">
      <c r="A1786" s="5">
        <v>1725</v>
      </c>
      <c r="B1786" s="138">
        <f>'Tax Sched 23'!C14</f>
        <v>247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29558</v>
      </c>
      <c r="C1791" s="2" t="s">
        <v>573</v>
      </c>
      <c r="D1791" s="2" t="str">
        <f t="shared" ref="D1791:D1854" si="27">IF(ISBLANK(B1791),"OK",IF(A1791-B1791=0,"OK","Error?"))</f>
        <v>Error?</v>
      </c>
    </row>
    <row r="1792" spans="1:4" x14ac:dyDescent="0.2">
      <c r="A1792" s="5">
        <v>1731</v>
      </c>
      <c r="B1792" s="138">
        <f>'Tax Sched 23'!F4</f>
        <v>1606352</v>
      </c>
      <c r="C1792" s="2" t="s">
        <v>573</v>
      </c>
      <c r="D1792" s="2" t="str">
        <f t="shared" si="27"/>
        <v>Error?</v>
      </c>
    </row>
    <row r="1793" spans="1:4" x14ac:dyDescent="0.2">
      <c r="A1793" s="5">
        <v>1732</v>
      </c>
      <c r="B1793" s="138">
        <f>'Tax Sched 23'!F5</f>
        <v>312983</v>
      </c>
      <c r="C1793" s="2" t="s">
        <v>573</v>
      </c>
      <c r="D1793" s="2" t="str">
        <f t="shared" si="27"/>
        <v>Error?</v>
      </c>
    </row>
    <row r="1794" spans="1:4" x14ac:dyDescent="0.2">
      <c r="A1794" s="5">
        <v>1733</v>
      </c>
      <c r="B1794" s="138">
        <f>'Tax Sched 23'!F6</f>
        <v>339975</v>
      </c>
      <c r="C1794" s="2" t="s">
        <v>573</v>
      </c>
      <c r="D1794" s="2" t="str">
        <f t="shared" si="27"/>
        <v>Error?</v>
      </c>
    </row>
    <row r="1795" spans="1:4" x14ac:dyDescent="0.2">
      <c r="A1795" s="5">
        <v>1734</v>
      </c>
      <c r="B1795" s="138">
        <f>'Tax Sched 23'!F7</f>
        <v>80434</v>
      </c>
      <c r="C1795" s="2" t="s">
        <v>573</v>
      </c>
      <c r="D1795" s="2" t="str">
        <f t="shared" si="27"/>
        <v>Error?</v>
      </c>
    </row>
    <row r="1796" spans="1:4" x14ac:dyDescent="0.2">
      <c r="A1796" s="5">
        <v>1735</v>
      </c>
      <c r="B1796" s="138">
        <f>'Tax Sched 23'!F8</f>
        <v>100010</v>
      </c>
      <c r="C1796" s="2" t="s">
        <v>573</v>
      </c>
      <c r="D1796" s="2" t="str">
        <f t="shared" si="27"/>
        <v>Error?</v>
      </c>
    </row>
    <row r="1797" spans="1:4" x14ac:dyDescent="0.2">
      <c r="A1797" s="5">
        <v>1736</v>
      </c>
      <c r="B1797" s="138">
        <f>'Tax Sched 23'!F10</f>
        <v>3390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95332</v>
      </c>
      <c r="C1800" s="2" t="s">
        <v>573</v>
      </c>
      <c r="D1800" s="2" t="str">
        <f t="shared" si="27"/>
        <v>Error?</v>
      </c>
    </row>
    <row r="1801" spans="1:4" x14ac:dyDescent="0.2">
      <c r="A1801" s="5">
        <v>1740</v>
      </c>
      <c r="B1801" s="138">
        <f>'Tax Sched 23'!F12</f>
        <v>6209</v>
      </c>
      <c r="C1801" s="2" t="s">
        <v>573</v>
      </c>
      <c r="D1801" s="2" t="str">
        <f t="shared" si="27"/>
        <v>Error?</v>
      </c>
    </row>
    <row r="1802" spans="1:4" x14ac:dyDescent="0.2">
      <c r="A1802" s="5">
        <v>1741</v>
      </c>
      <c r="B1802" s="138">
        <f>'Tax Sched 23'!F14</f>
        <v>22367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2674913</v>
      </c>
      <c r="C1807" s="2" t="s">
        <v>573</v>
      </c>
      <c r="D1807" s="2" t="str">
        <f t="shared" si="27"/>
        <v>Error?</v>
      </c>
    </row>
    <row r="1808" spans="1:4" x14ac:dyDescent="0.2">
      <c r="A1808" s="5">
        <v>1747</v>
      </c>
      <c r="B1808" s="138">
        <f>'Tax Sched 23'!E4</f>
        <v>1624096</v>
      </c>
      <c r="D1808" s="2" t="str">
        <f t="shared" si="27"/>
        <v>Error?</v>
      </c>
    </row>
    <row r="1809" spans="1:4" x14ac:dyDescent="0.2">
      <c r="A1809" s="5">
        <v>1748</v>
      </c>
      <c r="B1809" s="138">
        <f>'Tax Sched 23'!E5</f>
        <v>316440</v>
      </c>
      <c r="D1809" s="2" t="str">
        <f t="shared" si="27"/>
        <v>Error?</v>
      </c>
    </row>
    <row r="1810" spans="1:4" x14ac:dyDescent="0.2">
      <c r="A1810" s="5">
        <v>1749</v>
      </c>
      <c r="B1810" s="138">
        <f>'Tax Sched 23'!E6</f>
        <v>343740</v>
      </c>
      <c r="D1810" s="2" t="str">
        <f t="shared" si="27"/>
        <v>Error?</v>
      </c>
    </row>
    <row r="1811" spans="1:4" x14ac:dyDescent="0.2">
      <c r="A1811" s="5">
        <v>1750</v>
      </c>
      <c r="B1811" s="138">
        <f>'Tax Sched 23'!E7</f>
        <v>81323</v>
      </c>
      <c r="D1811" s="2" t="str">
        <f t="shared" si="27"/>
        <v>Error?</v>
      </c>
    </row>
    <row r="1812" spans="1:4" x14ac:dyDescent="0.2">
      <c r="A1812" s="5">
        <v>1751</v>
      </c>
      <c r="B1812" s="138">
        <f>'Tax Sched 23'!E8</f>
        <v>101115</v>
      </c>
      <c r="D1812" s="2" t="str">
        <f t="shared" si="27"/>
        <v>Error?</v>
      </c>
    </row>
    <row r="1813" spans="1:4" x14ac:dyDescent="0.2">
      <c r="A1813" s="5">
        <v>1752</v>
      </c>
      <c r="B1813" s="138">
        <f>'Tax Sched 23'!E10</f>
        <v>3428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96385</v>
      </c>
      <c r="D1816" s="2" t="str">
        <f t="shared" si="27"/>
        <v>Error?</v>
      </c>
    </row>
    <row r="1817" spans="1:4" x14ac:dyDescent="0.2">
      <c r="A1817" s="5">
        <v>1756</v>
      </c>
      <c r="B1817" s="138">
        <f>'Tax Sched 23'!E12</f>
        <v>6278</v>
      </c>
      <c r="D1817" s="2" t="str">
        <f t="shared" si="27"/>
        <v>Error?</v>
      </c>
    </row>
    <row r="1818" spans="1:4" x14ac:dyDescent="0.2">
      <c r="A1818" s="5">
        <v>1757</v>
      </c>
      <c r="B1818" s="138">
        <f>'Tax Sched 23'!E14</f>
        <v>22614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2704471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2009949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21858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21858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21858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262327</v>
      </c>
      <c r="D2008" s="2" t="str">
        <f t="shared" si="30"/>
        <v>Error?</v>
      </c>
    </row>
    <row r="2009" spans="1:4" x14ac:dyDescent="0.2">
      <c r="A2009" s="5">
        <v>1948</v>
      </c>
      <c r="B2009" s="138">
        <f>'Cap Outlay Deprec 26'!C8</f>
        <v>15066298</v>
      </c>
      <c r="D2009" s="2" t="str">
        <f t="shared" si="30"/>
        <v>Error?</v>
      </c>
    </row>
    <row r="2010" spans="1:4" x14ac:dyDescent="0.2">
      <c r="A2010" s="5">
        <v>1949</v>
      </c>
      <c r="B2010" s="138">
        <f>'Cap Outlay Deprec 26'!C10</f>
        <v>862967</v>
      </c>
      <c r="D2010" s="2" t="str">
        <f t="shared" si="30"/>
        <v>Error?</v>
      </c>
    </row>
    <row r="2011" spans="1:4" x14ac:dyDescent="0.2">
      <c r="A2011" s="5">
        <v>1950</v>
      </c>
      <c r="B2011" s="138">
        <f>'Cap Outlay Deprec 26'!C12</f>
        <v>853622</v>
      </c>
      <c r="D2011" s="2" t="str">
        <f t="shared" si="30"/>
        <v>Error?</v>
      </c>
    </row>
    <row r="2012" spans="1:4" x14ac:dyDescent="0.2">
      <c r="A2012" s="5">
        <v>1951</v>
      </c>
      <c r="B2012" s="138">
        <f>'Cap Outlay Deprec 26'!C13</f>
        <v>348515</v>
      </c>
      <c r="D2012" s="2" t="str">
        <f t="shared" si="30"/>
        <v>Error?</v>
      </c>
    </row>
    <row r="2013" spans="1:4" x14ac:dyDescent="0.2">
      <c r="A2013" s="5">
        <v>1952</v>
      </c>
      <c r="B2013" s="138">
        <f>'Cap Outlay Deprec 26'!C16</f>
        <v>17435213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172625</v>
      </c>
      <c r="D2016" s="2" t="str">
        <f t="shared" si="30"/>
        <v>Error?</v>
      </c>
    </row>
    <row r="2017" spans="1:4" x14ac:dyDescent="0.2">
      <c r="A2017" s="5">
        <v>1956</v>
      </c>
      <c r="B2017" s="138">
        <f>'Cap Outlay Deprec 26'!D12</f>
        <v>202698</v>
      </c>
      <c r="D2017" s="2" t="str">
        <f t="shared" si="30"/>
        <v>Error?</v>
      </c>
    </row>
    <row r="2018" spans="1:4" x14ac:dyDescent="0.2">
      <c r="A2018" s="5">
        <v>1957</v>
      </c>
      <c r="B2018" s="138">
        <f>'Cap Outlay Deprec 26'!D13</f>
        <v>49785</v>
      </c>
      <c r="D2018" s="2" t="str">
        <f t="shared" si="30"/>
        <v>Error?</v>
      </c>
    </row>
    <row r="2019" spans="1:4" x14ac:dyDescent="0.2">
      <c r="A2019" s="5">
        <v>1958</v>
      </c>
      <c r="B2019" s="138">
        <f>'Cap Outlay Deprec 26'!D16</f>
        <v>430389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172888</v>
      </c>
      <c r="D2021" s="2" t="str">
        <f t="shared" si="30"/>
        <v>Error?</v>
      </c>
    </row>
    <row r="2022" spans="1:4" x14ac:dyDescent="0.2">
      <c r="A2022" s="5">
        <v>1961</v>
      </c>
      <c r="B2022" s="138">
        <f>'Cap Outlay Deprec 26'!E10</f>
        <v>160765</v>
      </c>
      <c r="D2022" s="2" t="str">
        <f t="shared" si="30"/>
        <v>Error?</v>
      </c>
    </row>
    <row r="2023" spans="1:4" x14ac:dyDescent="0.2">
      <c r="A2023" s="5">
        <v>1962</v>
      </c>
      <c r="B2023" s="138">
        <f>'Cap Outlay Deprec 26'!E12</f>
        <v>98608</v>
      </c>
      <c r="D2023" s="2" t="str">
        <f t="shared" si="30"/>
        <v>Error?</v>
      </c>
    </row>
    <row r="2024" spans="1:4" x14ac:dyDescent="0.2">
      <c r="A2024" s="5">
        <v>1963</v>
      </c>
      <c r="B2024" s="138">
        <f>'Cap Outlay Deprec 26'!E13</f>
        <v>65159</v>
      </c>
      <c r="D2024" s="2" t="str">
        <f t="shared" si="30"/>
        <v>Error?</v>
      </c>
    </row>
    <row r="2025" spans="1:4" x14ac:dyDescent="0.2">
      <c r="A2025" s="5">
        <v>1964</v>
      </c>
      <c r="B2025" s="138">
        <f>'Cap Outlay Deprec 26'!E16</f>
        <v>522112</v>
      </c>
      <c r="C2025" s="2" t="s">
        <v>573</v>
      </c>
      <c r="D2025" s="2" t="str">
        <f t="shared" si="30"/>
        <v>Error?</v>
      </c>
    </row>
    <row r="2026" spans="1:4" x14ac:dyDescent="0.2">
      <c r="A2026" s="5">
        <v>1965</v>
      </c>
      <c r="B2026" s="138">
        <f>'Cap Outlay Deprec 26'!F5</f>
        <v>262327</v>
      </c>
      <c r="C2026" s="2" t="s">
        <v>573</v>
      </c>
      <c r="D2026" s="2" t="str">
        <f t="shared" si="30"/>
        <v>Error?</v>
      </c>
    </row>
    <row r="2027" spans="1:4" x14ac:dyDescent="0.2">
      <c r="A2027" s="5">
        <v>1966</v>
      </c>
      <c r="B2027" s="138">
        <f>'Cap Outlay Deprec 26'!F8</f>
        <v>14893410</v>
      </c>
      <c r="C2027" s="2" t="s">
        <v>573</v>
      </c>
      <c r="D2027" s="2" t="str">
        <f t="shared" si="30"/>
        <v>Error?</v>
      </c>
    </row>
    <row r="2028" spans="1:4" x14ac:dyDescent="0.2">
      <c r="A2028" s="5">
        <v>1967</v>
      </c>
      <c r="B2028" s="138">
        <f>'Cap Outlay Deprec 26'!F10</f>
        <v>874827</v>
      </c>
      <c r="C2028" s="2" t="s">
        <v>573</v>
      </c>
      <c r="D2028" s="2" t="str">
        <f t="shared" si="30"/>
        <v>Error?</v>
      </c>
    </row>
    <row r="2029" spans="1:4" x14ac:dyDescent="0.2">
      <c r="A2029" s="5">
        <v>1968</v>
      </c>
      <c r="B2029" s="138">
        <f>'Cap Outlay Deprec 26'!F12</f>
        <v>957712</v>
      </c>
      <c r="C2029" s="2" t="s">
        <v>573</v>
      </c>
      <c r="D2029" s="2" t="str">
        <f t="shared" si="30"/>
        <v>Error?</v>
      </c>
    </row>
    <row r="2030" spans="1:4" x14ac:dyDescent="0.2">
      <c r="A2030" s="5">
        <v>1969</v>
      </c>
      <c r="B2030" s="138">
        <f>'Cap Outlay Deprec 26'!F13</f>
        <v>333141</v>
      </c>
      <c r="C2030" s="2" t="s">
        <v>573</v>
      </c>
      <c r="D2030" s="2" t="str">
        <f t="shared" si="30"/>
        <v>Error?</v>
      </c>
    </row>
    <row r="2031" spans="1:4" x14ac:dyDescent="0.2">
      <c r="A2031" s="5">
        <v>1970</v>
      </c>
      <c r="B2031" s="138">
        <f>'Cap Outlay Deprec 26'!F16</f>
        <v>17343490</v>
      </c>
      <c r="C2031" s="2" t="s">
        <v>573</v>
      </c>
      <c r="D2031" s="2" t="str">
        <f t="shared" si="30"/>
        <v>Error?</v>
      </c>
    </row>
    <row r="2032" spans="1:4" x14ac:dyDescent="0.2">
      <c r="A2032" s="10">
        <v>1971</v>
      </c>
      <c r="D2032" s="2" t="str">
        <f t="shared" si="30"/>
        <v>OK</v>
      </c>
    </row>
    <row r="2033" spans="1:4" x14ac:dyDescent="0.2">
      <c r="A2033" s="5">
        <v>1972</v>
      </c>
      <c r="B2033" s="138">
        <f>'Cap Outlay Deprec 26'!H8</f>
        <v>5699152</v>
      </c>
      <c r="D2033" s="2" t="str">
        <f t="shared" si="30"/>
        <v>Error?</v>
      </c>
    </row>
    <row r="2034" spans="1:4" x14ac:dyDescent="0.2">
      <c r="A2034" s="5">
        <v>1973</v>
      </c>
      <c r="B2034" s="138">
        <f>'Cap Outlay Deprec 26'!H10</f>
        <v>346231</v>
      </c>
      <c r="D2034" s="2" t="str">
        <f t="shared" si="30"/>
        <v>Error?</v>
      </c>
    </row>
    <row r="2035" spans="1:4" x14ac:dyDescent="0.2">
      <c r="A2035" s="5">
        <v>1974</v>
      </c>
      <c r="B2035" s="138">
        <f>'Cap Outlay Deprec 26'!H12</f>
        <v>458705</v>
      </c>
      <c r="D2035" s="2" t="str">
        <f t="shared" si="30"/>
        <v>Error?</v>
      </c>
    </row>
    <row r="2036" spans="1:4" x14ac:dyDescent="0.2">
      <c r="A2036" s="5">
        <v>1975</v>
      </c>
      <c r="B2036" s="138">
        <f>'Cap Outlay Deprec 26'!H13</f>
        <v>318832</v>
      </c>
      <c r="D2036" s="2" t="str">
        <f t="shared" si="30"/>
        <v>Error?</v>
      </c>
    </row>
    <row r="2037" spans="1:4" x14ac:dyDescent="0.2">
      <c r="A2037" s="5">
        <v>1976</v>
      </c>
      <c r="B2037" s="138">
        <f>'Cap Outlay Deprec 26'!H16</f>
        <v>6831386</v>
      </c>
      <c r="C2037" s="2" t="s">
        <v>573</v>
      </c>
      <c r="D2037" s="2" t="str">
        <f t="shared" si="30"/>
        <v>Error?</v>
      </c>
    </row>
    <row r="2038" spans="1:4" x14ac:dyDescent="0.2">
      <c r="A2038" s="10">
        <v>1977</v>
      </c>
      <c r="D2038" s="2" t="str">
        <f t="shared" si="30"/>
        <v>OK</v>
      </c>
    </row>
    <row r="2039" spans="1:4" x14ac:dyDescent="0.2">
      <c r="A2039" s="5">
        <v>1978</v>
      </c>
      <c r="B2039" s="138">
        <f>'Cap Outlay Deprec 26'!I8</f>
        <v>268944</v>
      </c>
      <c r="D2039" s="2" t="str">
        <f t="shared" si="30"/>
        <v>Error?</v>
      </c>
    </row>
    <row r="2040" spans="1:4" x14ac:dyDescent="0.2">
      <c r="A2040" s="5">
        <v>1979</v>
      </c>
      <c r="B2040" s="138">
        <f>'Cap Outlay Deprec 26'!I10</f>
        <v>50065</v>
      </c>
      <c r="D2040" s="2" t="str">
        <f t="shared" si="30"/>
        <v>Error?</v>
      </c>
    </row>
    <row r="2041" spans="1:4" x14ac:dyDescent="0.2">
      <c r="A2041" s="5">
        <v>1980</v>
      </c>
      <c r="B2041" s="138">
        <f>'Cap Outlay Deprec 26'!I12</f>
        <v>95771</v>
      </c>
      <c r="D2041" s="2" t="str">
        <f t="shared" si="30"/>
        <v>Error?</v>
      </c>
    </row>
    <row r="2042" spans="1:4" x14ac:dyDescent="0.2">
      <c r="A2042" s="5">
        <v>1981</v>
      </c>
      <c r="B2042" s="138">
        <f>'Cap Outlay Deprec 26'!I13</f>
        <v>17671</v>
      </c>
      <c r="D2042" s="2" t="str">
        <f t="shared" si="30"/>
        <v>Error?</v>
      </c>
    </row>
    <row r="2043" spans="1:4" x14ac:dyDescent="0.2">
      <c r="A2043" s="5">
        <v>1982</v>
      </c>
      <c r="B2043" s="138">
        <f>'Cap Outlay Deprec 26'!I16</f>
        <v>433641</v>
      </c>
      <c r="C2043" s="2" t="s">
        <v>573</v>
      </c>
      <c r="D2043" s="2" t="str">
        <f t="shared" si="30"/>
        <v>Error?</v>
      </c>
    </row>
    <row r="2044" spans="1:4" x14ac:dyDescent="0.2">
      <c r="A2044" s="10">
        <v>1983</v>
      </c>
      <c r="D2044" s="2" t="str">
        <f t="shared" si="30"/>
        <v>OK</v>
      </c>
    </row>
    <row r="2045" spans="1:4" x14ac:dyDescent="0.2">
      <c r="A2045" s="5">
        <v>1984</v>
      </c>
      <c r="B2045" s="138">
        <f>'Cap Outlay Deprec 26'!J8</f>
        <v>86156</v>
      </c>
      <c r="D2045" s="2" t="str">
        <f t="shared" si="30"/>
        <v>Error?</v>
      </c>
    </row>
    <row r="2046" spans="1:4" x14ac:dyDescent="0.2">
      <c r="A2046" s="5">
        <v>1985</v>
      </c>
      <c r="B2046" s="138">
        <f>'Cap Outlay Deprec 26'!J10</f>
        <v>50404</v>
      </c>
      <c r="D2046" s="2" t="str">
        <f t="shared" si="30"/>
        <v>Error?</v>
      </c>
    </row>
    <row r="2047" spans="1:4" x14ac:dyDescent="0.2">
      <c r="A2047" s="5">
        <v>1986</v>
      </c>
      <c r="B2047" s="138">
        <f>'Cap Outlay Deprec 26'!J12</f>
        <v>98608</v>
      </c>
      <c r="D2047" s="2" t="str">
        <f t="shared" ref="D2047:D2110" si="31">IF(ISBLANK(B2047),"OK",IF(A2047-B2047=0,"OK","Error?"))</f>
        <v>Error?</v>
      </c>
    </row>
    <row r="2048" spans="1:4" x14ac:dyDescent="0.2">
      <c r="A2048" s="5">
        <v>1987</v>
      </c>
      <c r="B2048" s="138">
        <f>'Cap Outlay Deprec 26'!J13</f>
        <v>65159</v>
      </c>
      <c r="D2048" s="2" t="str">
        <f t="shared" si="31"/>
        <v>Error?</v>
      </c>
    </row>
    <row r="2049" spans="1:4" x14ac:dyDescent="0.2">
      <c r="A2049" s="5">
        <v>1988</v>
      </c>
      <c r="B2049" s="138">
        <f>'Cap Outlay Deprec 26'!J16</f>
        <v>300327</v>
      </c>
      <c r="C2049" s="2" t="s">
        <v>573</v>
      </c>
      <c r="D2049" s="2" t="str">
        <f t="shared" si="31"/>
        <v>Error?</v>
      </c>
    </row>
    <row r="2050" spans="1:4" x14ac:dyDescent="0.2">
      <c r="A2050" s="10">
        <v>1989</v>
      </c>
      <c r="D2050" s="2" t="str">
        <f t="shared" si="31"/>
        <v>OK</v>
      </c>
    </row>
    <row r="2051" spans="1:4" x14ac:dyDescent="0.2">
      <c r="A2051" s="5">
        <v>1990</v>
      </c>
      <c r="B2051" s="138">
        <f>'Cap Outlay Deprec 26'!K8</f>
        <v>5881940</v>
      </c>
      <c r="C2051" s="2" t="s">
        <v>573</v>
      </c>
      <c r="D2051" s="2" t="str">
        <f t="shared" si="31"/>
        <v>Error?</v>
      </c>
    </row>
    <row r="2052" spans="1:4" x14ac:dyDescent="0.2">
      <c r="A2052" s="5">
        <v>1991</v>
      </c>
      <c r="B2052" s="138">
        <f>'Cap Outlay Deprec 26'!K10</f>
        <v>345892</v>
      </c>
      <c r="C2052" s="2" t="s">
        <v>573</v>
      </c>
      <c r="D2052" s="2" t="str">
        <f t="shared" si="31"/>
        <v>Error?</v>
      </c>
    </row>
    <row r="2053" spans="1:4" x14ac:dyDescent="0.2">
      <c r="A2053" s="5">
        <v>1992</v>
      </c>
      <c r="B2053" s="138">
        <f>'Cap Outlay Deprec 26'!K12</f>
        <v>455868</v>
      </c>
      <c r="C2053" s="2" t="s">
        <v>573</v>
      </c>
      <c r="D2053" s="2" t="str">
        <f t="shared" si="31"/>
        <v>Error?</v>
      </c>
    </row>
    <row r="2054" spans="1:4" x14ac:dyDescent="0.2">
      <c r="A2054" s="5">
        <v>1993</v>
      </c>
      <c r="B2054" s="138">
        <f>'Cap Outlay Deprec 26'!K13</f>
        <v>271344</v>
      </c>
      <c r="C2054" s="2" t="s">
        <v>573</v>
      </c>
      <c r="D2054" s="2" t="str">
        <f t="shared" si="31"/>
        <v>Error?</v>
      </c>
    </row>
    <row r="2055" spans="1:4" x14ac:dyDescent="0.2">
      <c r="A2055" s="5">
        <v>1994</v>
      </c>
      <c r="B2055" s="138">
        <f>'Cap Outlay Deprec 26'!K16</f>
        <v>6964700</v>
      </c>
      <c r="C2055" s="2" t="s">
        <v>573</v>
      </c>
      <c r="D2055" s="2" t="str">
        <f t="shared" si="31"/>
        <v>Error?</v>
      </c>
    </row>
    <row r="2056" spans="1:4" x14ac:dyDescent="0.2">
      <c r="A2056" s="5">
        <v>1995</v>
      </c>
      <c r="B2056" s="138">
        <f>'Cap Outlay Deprec 26'!L5</f>
        <v>262327</v>
      </c>
      <c r="C2056" s="2" t="s">
        <v>573</v>
      </c>
      <c r="D2056" s="2" t="str">
        <f t="shared" si="31"/>
        <v>Error?</v>
      </c>
    </row>
    <row r="2057" spans="1:4" x14ac:dyDescent="0.2">
      <c r="A2057" s="5">
        <v>1996</v>
      </c>
      <c r="B2057" s="138">
        <f>'Cap Outlay Deprec 26'!L8</f>
        <v>9011470</v>
      </c>
      <c r="C2057" s="2" t="s">
        <v>573</v>
      </c>
      <c r="D2057" s="2" t="str">
        <f t="shared" si="31"/>
        <v>Error?</v>
      </c>
    </row>
    <row r="2058" spans="1:4" x14ac:dyDescent="0.2">
      <c r="A2058" s="5">
        <v>1997</v>
      </c>
      <c r="B2058" s="138">
        <f>'Cap Outlay Deprec 26'!L10</f>
        <v>528935</v>
      </c>
      <c r="C2058" s="2" t="s">
        <v>573</v>
      </c>
      <c r="D2058" s="2" t="str">
        <f t="shared" si="31"/>
        <v>Error?</v>
      </c>
    </row>
    <row r="2059" spans="1:4" x14ac:dyDescent="0.2">
      <c r="A2059" s="5">
        <v>1998</v>
      </c>
      <c r="B2059" s="138">
        <f>'Cap Outlay Deprec 26'!L12</f>
        <v>501844</v>
      </c>
      <c r="C2059" s="2" t="s">
        <v>573</v>
      </c>
      <c r="D2059" s="2" t="str">
        <f t="shared" si="31"/>
        <v>Error?</v>
      </c>
    </row>
    <row r="2060" spans="1:4" x14ac:dyDescent="0.2">
      <c r="A2060" s="5">
        <v>1999</v>
      </c>
      <c r="B2060" s="138">
        <f>'Cap Outlay Deprec 26'!L13</f>
        <v>61797</v>
      </c>
      <c r="C2060" s="2" t="s">
        <v>573</v>
      </c>
      <c r="D2060" s="2" t="str">
        <f t="shared" si="31"/>
        <v>Error?</v>
      </c>
    </row>
    <row r="2061" spans="1:4" x14ac:dyDescent="0.2">
      <c r="A2061" s="5">
        <v>2000</v>
      </c>
      <c r="B2061" s="138">
        <f>'Cap Outlay Deprec 26'!L16</f>
        <v>10378790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2948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2948</v>
      </c>
      <c r="C2088" s="2" t="s">
        <v>573</v>
      </c>
      <c r="D2088" s="2" t="str">
        <f t="shared" si="31"/>
        <v>Error?</v>
      </c>
    </row>
    <row r="2089" spans="1:4" x14ac:dyDescent="0.2">
      <c r="A2089" s="5">
        <v>2028</v>
      </c>
      <c r="B2089" s="138">
        <f>'Expenditures 15-22'!K92</f>
        <v>5652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3491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224442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2085752</v>
      </c>
      <c r="C2551" s="2" t="s">
        <v>573</v>
      </c>
      <c r="D2551" s="2" t="str">
        <f t="shared" si="38"/>
        <v>Error?</v>
      </c>
    </row>
    <row r="2552" spans="1:4" x14ac:dyDescent="0.2">
      <c r="A2552" s="10">
        <v>2491</v>
      </c>
      <c r="D2552" s="2" t="str">
        <f t="shared" si="38"/>
        <v>OK</v>
      </c>
    </row>
    <row r="2553" spans="1:4" x14ac:dyDescent="0.2">
      <c r="A2553" s="5">
        <v>2492</v>
      </c>
      <c r="B2553" s="138">
        <f>'Acct Summary 7-8'!C6</f>
        <v>1925291</v>
      </c>
      <c r="C2553" s="2" t="s">
        <v>573</v>
      </c>
      <c r="D2553" s="2" t="str">
        <f t="shared" si="38"/>
        <v>Error?</v>
      </c>
    </row>
    <row r="2554" spans="1:4" x14ac:dyDescent="0.2">
      <c r="A2554" s="5">
        <v>2493</v>
      </c>
      <c r="B2554" s="138">
        <f>'Acct Summary 7-8'!C7</f>
        <v>454526</v>
      </c>
      <c r="C2554" s="2" t="s">
        <v>573</v>
      </c>
      <c r="D2554" s="2" t="str">
        <f t="shared" si="38"/>
        <v>Error?</v>
      </c>
    </row>
    <row r="2555" spans="1:4" x14ac:dyDescent="0.2">
      <c r="A2555" s="5">
        <v>2494</v>
      </c>
      <c r="B2555" s="138">
        <f>'Acct Summary 7-8'!C8</f>
        <v>4465569</v>
      </c>
      <c r="C2555" s="2" t="s">
        <v>573</v>
      </c>
      <c r="D2555" s="2" t="str">
        <f t="shared" si="38"/>
        <v>Error?</v>
      </c>
    </row>
    <row r="2556" spans="1:4" x14ac:dyDescent="0.2">
      <c r="A2556" s="5">
        <v>2495</v>
      </c>
      <c r="B2556" s="138">
        <f>'Acct Summary 7-8'!C12</f>
        <v>2742480</v>
      </c>
      <c r="C2556" s="2" t="s">
        <v>573</v>
      </c>
      <c r="D2556" s="2" t="str">
        <f t="shared" si="38"/>
        <v>Error?</v>
      </c>
    </row>
    <row r="2557" spans="1:4" x14ac:dyDescent="0.2">
      <c r="A2557" s="5">
        <v>2496</v>
      </c>
      <c r="B2557" s="138">
        <f>'Acct Summary 7-8'!C13</f>
        <v>1306133</v>
      </c>
      <c r="C2557" s="2" t="s">
        <v>573</v>
      </c>
      <c r="D2557" s="2" t="str">
        <f t="shared" si="38"/>
        <v>Error?</v>
      </c>
    </row>
    <row r="2558" spans="1:4" x14ac:dyDescent="0.2">
      <c r="A2558" s="5">
        <v>2497</v>
      </c>
      <c r="B2558" s="138">
        <f>'Acct Summary 7-8'!C14</f>
        <v>18513</v>
      </c>
      <c r="C2558" s="2" t="s">
        <v>573</v>
      </c>
      <c r="D2558" s="2" t="str">
        <f t="shared" si="38"/>
        <v>Error?</v>
      </c>
    </row>
    <row r="2559" spans="1:4" x14ac:dyDescent="0.2">
      <c r="A2559" s="5">
        <v>2498</v>
      </c>
      <c r="B2559" s="138">
        <f>'Acct Summary 7-8'!C15</f>
        <v>8600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4075726</v>
      </c>
      <c r="C2561" s="2" t="s">
        <v>573</v>
      </c>
      <c r="D2561" s="2" t="str">
        <f t="shared" si="39"/>
        <v>Error?</v>
      </c>
    </row>
    <row r="2562" spans="1:4" x14ac:dyDescent="0.2">
      <c r="A2562" s="5">
        <v>2501</v>
      </c>
      <c r="B2562" s="138">
        <f>'Acct Summary 7-8'!C20</f>
        <v>389843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312304</v>
      </c>
      <c r="C2564" s="2" t="s">
        <v>573</v>
      </c>
      <c r="D2564" s="2" t="str">
        <f t="shared" si="39"/>
        <v>Error?</v>
      </c>
    </row>
    <row r="2565" spans="1:4" x14ac:dyDescent="0.2">
      <c r="A2565" s="10">
        <v>2504</v>
      </c>
      <c r="D2565" s="2" t="str">
        <f t="shared" si="39"/>
        <v>OK</v>
      </c>
    </row>
    <row r="2566" spans="1:4" x14ac:dyDescent="0.2">
      <c r="A2566" s="5">
        <v>2505</v>
      </c>
      <c r="B2566" s="138">
        <f>'Acct Summary 7-8'!D6</f>
        <v>366830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679134</v>
      </c>
      <c r="C2568" s="2" t="s">
        <v>573</v>
      </c>
      <c r="D2568" s="2" t="str">
        <f t="shared" si="39"/>
        <v>Error?</v>
      </c>
    </row>
    <row r="2569" spans="1:4" x14ac:dyDescent="0.2">
      <c r="A2569" s="5">
        <v>2508</v>
      </c>
      <c r="B2569" s="138">
        <f>'Acct Summary 7-8'!D13</f>
        <v>611508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611508</v>
      </c>
      <c r="C2573" s="2" t="s">
        <v>573</v>
      </c>
      <c r="D2573" s="2" t="str">
        <f t="shared" si="39"/>
        <v>Error?</v>
      </c>
    </row>
    <row r="2574" spans="1:4" x14ac:dyDescent="0.2">
      <c r="A2574" s="5">
        <v>2513</v>
      </c>
      <c r="B2574" s="138">
        <f>'Acct Summary 7-8'!D20</f>
        <v>67626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101259</v>
      </c>
      <c r="C2591" s="2" t="s">
        <v>573</v>
      </c>
      <c r="D2591" s="2" t="str">
        <f t="shared" si="39"/>
        <v>Error?</v>
      </c>
    </row>
    <row r="2592" spans="1:4" x14ac:dyDescent="0.2">
      <c r="A2592" s="10">
        <v>2531</v>
      </c>
      <c r="D2592" s="2" t="str">
        <f t="shared" si="39"/>
        <v>OK</v>
      </c>
    </row>
    <row r="2593" spans="1:4" x14ac:dyDescent="0.2">
      <c r="A2593" s="5">
        <v>2532</v>
      </c>
      <c r="B2593" s="138">
        <f>'Acct Summary 7-8'!F6</f>
        <v>291431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392690</v>
      </c>
      <c r="C2595" s="2" t="s">
        <v>573</v>
      </c>
      <c r="D2595" s="2" t="str">
        <f t="shared" si="39"/>
        <v>Error?</v>
      </c>
    </row>
    <row r="2596" spans="1:4" x14ac:dyDescent="0.2">
      <c r="A2596" s="5">
        <v>2535</v>
      </c>
      <c r="B2596" s="138">
        <f>'Acct Summary 7-8'!F13</f>
        <v>297451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297451</v>
      </c>
      <c r="C2600" s="2" t="s">
        <v>573</v>
      </c>
      <c r="D2600" s="2" t="str">
        <f t="shared" si="39"/>
        <v>Error?</v>
      </c>
    </row>
    <row r="2601" spans="1:4" x14ac:dyDescent="0.2">
      <c r="A2601" s="5">
        <v>2540</v>
      </c>
      <c r="B2601" s="138">
        <f>'Acct Summary 7-8'!F20</f>
        <v>95239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178399</v>
      </c>
      <c r="C2603" s="2" t="s">
        <v>573</v>
      </c>
      <c r="D2603" s="2" t="str">
        <f t="shared" si="39"/>
        <v>Error?</v>
      </c>
    </row>
    <row r="2604" spans="1:4" x14ac:dyDescent="0.2">
      <c r="A2604" s="5">
        <v>2543</v>
      </c>
      <c r="B2604" s="138">
        <f>'Acct Summary 7-8'!G6</f>
        <v>35664</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214063</v>
      </c>
      <c r="C2606" s="2" t="s">
        <v>573</v>
      </c>
      <c r="D2606" s="2" t="str">
        <f t="shared" si="39"/>
        <v>Error?</v>
      </c>
    </row>
    <row r="2607" spans="1:4" x14ac:dyDescent="0.2">
      <c r="A2607" s="5">
        <v>2546</v>
      </c>
      <c r="B2607" s="138">
        <f>'Acct Summary 7-8'!G12</f>
        <v>75805</v>
      </c>
      <c r="C2607" s="2" t="s">
        <v>573</v>
      </c>
      <c r="D2607" s="2" t="str">
        <f t="shared" si="39"/>
        <v>Error?</v>
      </c>
    </row>
    <row r="2608" spans="1:4" x14ac:dyDescent="0.2">
      <c r="A2608" s="5">
        <v>2547</v>
      </c>
      <c r="B2608" s="138">
        <f>'Acct Summary 7-8'!G13</f>
        <v>123250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199055</v>
      </c>
      <c r="C2612" s="2" t="s">
        <v>573</v>
      </c>
      <c r="D2612" s="2" t="str">
        <f t="shared" si="39"/>
        <v>Error?</v>
      </c>
    </row>
    <row r="2613" spans="1:4" x14ac:dyDescent="0.2">
      <c r="A2613" s="5">
        <v>2552</v>
      </c>
      <c r="B2613" s="138">
        <f>'Acct Summary 7-8'!G20</f>
        <v>15008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403117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403117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424275</v>
      </c>
      <c r="C2634" s="2" t="s">
        <v>573</v>
      </c>
      <c r="D2634" s="2" t="str">
        <f t="shared" si="40"/>
        <v>Error?</v>
      </c>
    </row>
    <row r="2635" spans="1:4" x14ac:dyDescent="0.2">
      <c r="A2635" s="5">
        <v>2574</v>
      </c>
      <c r="B2635" s="138">
        <f>'Acct Summary 7-8'!E17</f>
        <v>424275</v>
      </c>
      <c r="C2635" s="2" t="s">
        <v>573</v>
      </c>
      <c r="D2635" s="2" t="str">
        <f t="shared" si="40"/>
        <v>Error?</v>
      </c>
    </row>
    <row r="2636" spans="1:4" x14ac:dyDescent="0.2">
      <c r="A2636" s="5">
        <v>2575</v>
      </c>
      <c r="B2636" s="138">
        <f>'Acct Summary 7-8'!E20</f>
        <v>-21158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180691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180691</v>
      </c>
      <c r="C2658" s="2" t="s">
        <v>573</v>
      </c>
      <c r="D2658" s="2" t="str">
        <f t="shared" si="40"/>
        <v>Error?</v>
      </c>
    </row>
    <row r="2659" spans="1:4" x14ac:dyDescent="0.2">
      <c r="A2659" s="5">
        <v>2598</v>
      </c>
      <c r="B2659" s="138">
        <f>'Acct Summary 7-8'!H13</f>
        <v>198978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198978</v>
      </c>
      <c r="C2661" s="2" t="s">
        <v>573</v>
      </c>
      <c r="D2661" s="2" t="str">
        <f t="shared" si="40"/>
        <v>Error?</v>
      </c>
    </row>
    <row r="2662" spans="1:4" x14ac:dyDescent="0.2">
      <c r="A2662" s="5">
        <v>2601</v>
      </c>
      <c r="B2662" s="138">
        <f>'Acct Summary 7-8'!H20</f>
        <v>-18287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5281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10079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40144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184672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10079</v>
      </c>
      <c r="D2912" s="2" t="str">
        <f t="shared" si="44"/>
        <v>Error?</v>
      </c>
    </row>
    <row r="2913" spans="1:4" x14ac:dyDescent="0.2">
      <c r="A2913" s="5">
        <v>2852</v>
      </c>
      <c r="B2913" s="138">
        <f>'Assets-Liab 5-6'!I41</f>
        <v>10079</v>
      </c>
      <c r="C2913" s="2" t="s">
        <v>573</v>
      </c>
      <c r="D2913" s="2" t="str">
        <f t="shared" si="44"/>
        <v>Error?</v>
      </c>
    </row>
    <row r="2914" spans="1:4" x14ac:dyDescent="0.2">
      <c r="A2914" s="5">
        <v>2853</v>
      </c>
      <c r="B2914" s="138">
        <f>'Assets-Liab 5-6'!L33</f>
        <v>184672</v>
      </c>
      <c r="D2914" s="2" t="str">
        <f t="shared" si="44"/>
        <v>Error?</v>
      </c>
    </row>
    <row r="2915" spans="1:4" x14ac:dyDescent="0.2">
      <c r="A2915" s="10">
        <v>2854</v>
      </c>
      <c r="D2915" s="2" t="str">
        <f t="shared" si="44"/>
        <v>OK</v>
      </c>
    </row>
    <row r="2916" spans="1:4" x14ac:dyDescent="0.2">
      <c r="A2916" s="5">
        <v>2855</v>
      </c>
      <c r="B2916" s="138">
        <f>'Assets-Liab 5-6'!L34</f>
        <v>184672</v>
      </c>
      <c r="C2916" s="2" t="s">
        <v>573</v>
      </c>
      <c r="D2916" s="2" t="str">
        <f t="shared" si="44"/>
        <v>Error?</v>
      </c>
    </row>
    <row r="2917" spans="1:4" x14ac:dyDescent="0.2">
      <c r="A2917" s="5">
        <v>2856</v>
      </c>
      <c r="B2917" s="138">
        <f>'Assets-Liab 5-6'!L41</f>
        <v>184672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2948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2948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56783</v>
      </c>
      <c r="D3055" s="2" t="str">
        <f t="shared" si="46"/>
        <v>Error?</v>
      </c>
    </row>
    <row r="3056" spans="1:4" x14ac:dyDescent="0.2">
      <c r="A3056" s="5">
        <v>2995</v>
      </c>
      <c r="B3056" s="138">
        <f>'Expenditures 15-22'!D10</f>
        <v>3854</v>
      </c>
      <c r="D3056" s="2" t="str">
        <f t="shared" si="46"/>
        <v>Error?</v>
      </c>
    </row>
    <row r="3057" spans="1:4" x14ac:dyDescent="0.2">
      <c r="A3057" s="5">
        <v>2996</v>
      </c>
      <c r="B3057" s="138">
        <f>'Expenditures 15-22'!E10</f>
        <v>4739</v>
      </c>
      <c r="D3057" s="2" t="str">
        <f t="shared" si="46"/>
        <v>Error?</v>
      </c>
    </row>
    <row r="3058" spans="1:4" x14ac:dyDescent="0.2">
      <c r="A3058" s="5">
        <v>2997</v>
      </c>
      <c r="B3058" s="138">
        <f>'Expenditures 15-22'!F10</f>
        <v>92187</v>
      </c>
      <c r="D3058" s="2" t="str">
        <f t="shared" si="46"/>
        <v>Error?</v>
      </c>
    </row>
    <row r="3059" spans="1:4" x14ac:dyDescent="0.2">
      <c r="A3059" s="5">
        <v>2998</v>
      </c>
      <c r="B3059" s="138">
        <f>'Expenditures 15-22'!G10</f>
        <v>21353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178916</v>
      </c>
      <c r="C3062" s="2" t="s">
        <v>573</v>
      </c>
      <c r="D3062" s="2" t="str">
        <f t="shared" si="46"/>
        <v>Error?</v>
      </c>
    </row>
    <row r="3063" spans="1:4" x14ac:dyDescent="0.2">
      <c r="A3063" s="10">
        <v>3002</v>
      </c>
      <c r="D3063" s="2" t="str">
        <f t="shared" si="46"/>
        <v>OK</v>
      </c>
    </row>
    <row r="3064" spans="1:4" x14ac:dyDescent="0.2">
      <c r="A3064" s="5">
        <v>3003</v>
      </c>
      <c r="B3064" s="138">
        <f>'Expenditures 15-22'!D219</f>
        <v>2067</v>
      </c>
      <c r="D3064" s="2" t="str">
        <f t="shared" si="46"/>
        <v>Error?</v>
      </c>
    </row>
    <row r="3065" spans="1:4" x14ac:dyDescent="0.2">
      <c r="A3065" s="5">
        <v>3004</v>
      </c>
      <c r="B3065" s="138">
        <f>'Expenditures 15-22'!K219</f>
        <v>2067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3478</v>
      </c>
      <c r="C3225" s="2" t="s">
        <v>573</v>
      </c>
      <c r="D3225" s="2" t="str">
        <f t="shared" si="49"/>
        <v>Error?</v>
      </c>
    </row>
    <row r="3226" spans="1:4" x14ac:dyDescent="0.2">
      <c r="A3226" s="5">
        <v>3165</v>
      </c>
      <c r="B3226" s="138">
        <f>'Acct Summary 7-8'!I8</f>
        <v>3478</v>
      </c>
      <c r="C3226" s="2" t="s">
        <v>573</v>
      </c>
      <c r="D3226" s="2" t="str">
        <f t="shared" si="49"/>
        <v>Error?</v>
      </c>
    </row>
    <row r="3227" spans="1:4" x14ac:dyDescent="0.2">
      <c r="A3227" s="5">
        <v>3166</v>
      </c>
      <c r="B3227" s="138">
        <f>'Acct Summary 7-8'!I20</f>
        <v>3478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467</v>
      </c>
      <c r="D3230" s="2" t="str">
        <f t="shared" si="49"/>
        <v>Error?</v>
      </c>
    </row>
    <row r="3231" spans="1:4" x14ac:dyDescent="0.2">
      <c r="A3231" s="5">
        <v>3170</v>
      </c>
      <c r="B3231" s="138">
        <f>'Acct Summary 7-8'!C76</f>
        <v>33575</v>
      </c>
      <c r="C3231" s="2" t="s">
        <v>573</v>
      </c>
      <c r="D3231" s="2" t="str">
        <f t="shared" si="49"/>
        <v>Error?</v>
      </c>
    </row>
    <row r="3232" spans="1:4" x14ac:dyDescent="0.2">
      <c r="A3232" s="5">
        <v>3171</v>
      </c>
      <c r="B3232" s="138">
        <f>'Acct Summary 7-8'!C77</f>
        <v>-33575</v>
      </c>
      <c r="C3232" s="2" t="s">
        <v>573</v>
      </c>
      <c r="D3232" s="2" t="str">
        <f t="shared" si="49"/>
        <v>Error?</v>
      </c>
    </row>
    <row r="3233" spans="1:4" x14ac:dyDescent="0.2">
      <c r="A3233" s="5">
        <v>3172</v>
      </c>
      <c r="B3233" s="138">
        <f>'Acct Summary 7-8'!C78</f>
        <v>356268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650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650</v>
      </c>
      <c r="C3238" s="2" t="s">
        <v>573</v>
      </c>
      <c r="D3238" s="2" t="str">
        <f t="shared" si="49"/>
        <v>Error?</v>
      </c>
    </row>
    <row r="3239" spans="1:4" x14ac:dyDescent="0.2">
      <c r="A3239" s="5">
        <v>3178</v>
      </c>
      <c r="B3239" s="138">
        <f>'Acct Summary 7-8'!D78</f>
        <v>68276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95239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15008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19025</v>
      </c>
      <c r="D3273" s="2" t="str">
        <f t="shared" si="50"/>
        <v>Error?</v>
      </c>
    </row>
    <row r="3274" spans="1:4" x14ac:dyDescent="0.2">
      <c r="A3274" s="5">
        <v>3213</v>
      </c>
      <c r="B3274" s="138">
        <f>'Acct Summary 7-8'!E44</f>
        <v>33575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33575</v>
      </c>
      <c r="C3277" s="2" t="s">
        <v>573</v>
      </c>
      <c r="D3277" s="2" t="str">
        <f t="shared" si="50"/>
        <v>Error?</v>
      </c>
    </row>
    <row r="3278" spans="1:4" x14ac:dyDescent="0.2">
      <c r="A3278" s="5">
        <v>3217</v>
      </c>
      <c r="B3278" s="138">
        <f>'Acct Summary 7-8'!E78</f>
        <v>12417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100100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100100</v>
      </c>
      <c r="C3299" s="2" t="s">
        <v>573</v>
      </c>
      <c r="D3299" s="2" t="str">
        <f t="shared" si="50"/>
        <v>Error?</v>
      </c>
    </row>
    <row r="3300" spans="1:4" x14ac:dyDescent="0.2">
      <c r="A3300" s="5">
        <v>3239</v>
      </c>
      <c r="B3300" s="138">
        <f>'Acct Summary 7-8'!H78</f>
        <v>81813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3478</v>
      </c>
      <c r="C3320" s="2" t="s">
        <v>573</v>
      </c>
      <c r="D3320" s="2" t="str">
        <f t="shared" si="50"/>
        <v>Error?</v>
      </c>
    </row>
    <row r="3321" spans="1:4" x14ac:dyDescent="0.2">
      <c r="A3321" s="5">
        <v>3260</v>
      </c>
      <c r="B3321" s="138">
        <f>'Acct Summary 7-8'!I79</f>
        <v>6601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10079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409380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28098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439418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24379</v>
      </c>
      <c r="D3387" s="2" t="str">
        <f t="shared" si="51"/>
        <v>Error?</v>
      </c>
    </row>
    <row r="3388" spans="1:4" x14ac:dyDescent="0.2">
      <c r="A3388" s="5">
        <v>3327</v>
      </c>
      <c r="B3388" s="138">
        <f>'Expenditures 15-22'!D217</f>
        <v>45100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24379</v>
      </c>
      <c r="C3390" s="2" t="s">
        <v>573</v>
      </c>
      <c r="D3390" s="2" t="str">
        <f t="shared" si="51"/>
        <v>Error?</v>
      </c>
    </row>
    <row r="3391" spans="1:4" x14ac:dyDescent="0.2">
      <c r="A3391" s="5">
        <v>3330</v>
      </c>
      <c r="B3391" s="138">
        <f>'Expenditures 15-22'!K217</f>
        <v>45100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2203488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210038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56826</v>
      </c>
      <c r="D3417" s="2" t="str">
        <f t="shared" si="52"/>
        <v>Error?</v>
      </c>
    </row>
    <row r="3418" spans="1:4" x14ac:dyDescent="0.2">
      <c r="A3418" s="10">
        <v>3357</v>
      </c>
      <c r="D3418" s="2" t="str">
        <f t="shared" si="52"/>
        <v>OK</v>
      </c>
    </row>
    <row r="3419" spans="1:4" x14ac:dyDescent="0.2">
      <c r="A3419" s="5">
        <v>3358</v>
      </c>
      <c r="B3419" s="138">
        <f>'Assets-Liab 5-6'!F4</f>
        <v>275233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33497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324814</v>
      </c>
      <c r="D3425" s="2" t="str">
        <f t="shared" si="52"/>
        <v>Error?</v>
      </c>
    </row>
    <row r="3426" spans="1:4" x14ac:dyDescent="0.2">
      <c r="A3426" s="10">
        <v>3365</v>
      </c>
      <c r="D3426" s="2" t="str">
        <f t="shared" si="52"/>
        <v>OK</v>
      </c>
    </row>
    <row r="3427" spans="1:4" x14ac:dyDescent="0.2">
      <c r="A3427" s="5">
        <v>3366</v>
      </c>
      <c r="B3427" s="138">
        <f>'Assets-Liab 5-6'!I4</f>
        <v>10079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144528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85322</v>
      </c>
      <c r="C3446" s="2" t="s">
        <v>573</v>
      </c>
      <c r="D3446" s="2" t="str">
        <f t="shared" si="52"/>
        <v>Error?</v>
      </c>
    </row>
    <row r="3447" spans="1:4" x14ac:dyDescent="0.2">
      <c r="A3447" s="5">
        <v>3386</v>
      </c>
      <c r="B3447" s="138">
        <f>'Tax Sched 23'!D16</f>
        <v>84166</v>
      </c>
      <c r="C3447" s="2" t="s">
        <v>573</v>
      </c>
      <c r="D3447" s="2" t="str">
        <f t="shared" si="52"/>
        <v>Error?</v>
      </c>
    </row>
    <row r="3448" spans="1:4" x14ac:dyDescent="0.2">
      <c r="A3448" s="5">
        <v>3387</v>
      </c>
      <c r="B3448" s="138">
        <f>'Tax Sched 23'!C16</f>
        <v>1156</v>
      </c>
      <c r="D3448" s="2" t="str">
        <f t="shared" si="52"/>
        <v>Error?</v>
      </c>
    </row>
    <row r="3449" spans="1:4" x14ac:dyDescent="0.2">
      <c r="A3449" s="5">
        <v>3388</v>
      </c>
      <c r="B3449" s="138">
        <f>'Tax Sched 23'!F16</f>
        <v>104681</v>
      </c>
      <c r="C3449" s="2" t="s">
        <v>573</v>
      </c>
      <c r="D3449" s="2" t="str">
        <f t="shared" si="52"/>
        <v>Error?</v>
      </c>
    </row>
    <row r="3450" spans="1:4" x14ac:dyDescent="0.2">
      <c r="A3450" s="5">
        <v>3389</v>
      </c>
      <c r="B3450" s="138">
        <f>'Tax Sched 23'!E16</f>
        <v>105837</v>
      </c>
      <c r="D3450" s="2" t="str">
        <f t="shared" si="52"/>
        <v>Error?</v>
      </c>
    </row>
    <row r="3451" spans="1:4" x14ac:dyDescent="0.2">
      <c r="A3451" s="5">
        <v>3390</v>
      </c>
      <c r="B3451" s="138">
        <f>'Cap Outlay Deprec 26'!C15</f>
        <v>24692</v>
      </c>
      <c r="D3451" s="2" t="str">
        <f t="shared" si="52"/>
        <v>Error?</v>
      </c>
    </row>
    <row r="3452" spans="1:4" x14ac:dyDescent="0.2">
      <c r="A3452" s="5">
        <v>3391</v>
      </c>
      <c r="B3452" s="138">
        <f>'Cap Outlay Deprec 26'!D15</f>
        <v>5281</v>
      </c>
      <c r="D3452" s="2" t="str">
        <f t="shared" si="52"/>
        <v>Error?</v>
      </c>
    </row>
    <row r="3453" spans="1:4" x14ac:dyDescent="0.2">
      <c r="A3453" s="5">
        <v>3392</v>
      </c>
      <c r="B3453" s="138">
        <f>'Cap Outlay Deprec 26'!E15</f>
        <v>24692</v>
      </c>
      <c r="D3453" s="2" t="str">
        <f t="shared" si="52"/>
        <v>Error?</v>
      </c>
    </row>
    <row r="3454" spans="1:4" x14ac:dyDescent="0.2">
      <c r="A3454" s="5">
        <v>3393</v>
      </c>
      <c r="B3454" s="138">
        <f>'Cap Outlay Deprec 26'!F15</f>
        <v>5281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5281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650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100100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79600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79600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79600</v>
      </c>
      <c r="D3567" s="2" t="str">
        <f t="shared" si="54"/>
        <v>Error?</v>
      </c>
    </row>
    <row r="3568" spans="1:4" x14ac:dyDescent="0.2">
      <c r="A3568" s="5">
        <v>3507</v>
      </c>
      <c r="B3568" s="138">
        <f>'Assets-Liab 5-6'!K41</f>
        <v>79600</v>
      </c>
      <c r="C3568" s="2" t="s">
        <v>573</v>
      </c>
      <c r="D3568" s="2" t="str">
        <f t="shared" si="54"/>
        <v>Error?</v>
      </c>
    </row>
    <row r="3569" spans="1:4" x14ac:dyDescent="0.2">
      <c r="A3569" s="5">
        <v>3508</v>
      </c>
      <c r="B3569" s="138">
        <f>'Acct Summary 7-8'!K4</f>
        <v>7153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7153</v>
      </c>
      <c r="C3571" s="2" t="s">
        <v>573</v>
      </c>
      <c r="D3571" s="2" t="str">
        <f t="shared" si="54"/>
        <v>Error?</v>
      </c>
    </row>
    <row r="3572" spans="1:4" x14ac:dyDescent="0.2">
      <c r="A3572" s="5">
        <v>3511</v>
      </c>
      <c r="B3572" s="138">
        <f>'Acct Summary 7-8'!K13</f>
        <v>13649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13649</v>
      </c>
      <c r="C3575" s="2" t="s">
        <v>573</v>
      </c>
      <c r="D3575" s="2" t="str">
        <f t="shared" si="54"/>
        <v>Error?</v>
      </c>
    </row>
    <row r="3576" spans="1:4" x14ac:dyDescent="0.2">
      <c r="A3576" s="5">
        <v>3515</v>
      </c>
      <c r="B3576" s="138">
        <f>'Acct Summary 7-8'!K20</f>
        <v>-6496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-6496</v>
      </c>
      <c r="C3588" s="2" t="s">
        <v>573</v>
      </c>
      <c r="D3588" s="2" t="str">
        <f t="shared" si="55"/>
        <v>Error?</v>
      </c>
    </row>
    <row r="3589" spans="1:4" x14ac:dyDescent="0.2">
      <c r="A3589" s="5">
        <v>3528</v>
      </c>
      <c r="B3589" s="138">
        <f>'Acct Summary 7-8'!K79</f>
        <v>86096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79600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8368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8368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8368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5281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5281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5281</v>
      </c>
      <c r="C3649" s="2" t="s">
        <v>573</v>
      </c>
      <c r="D3649" s="2" t="str">
        <f t="shared" si="56"/>
        <v>Error?</v>
      </c>
    </row>
    <row r="3650" spans="1:4" x14ac:dyDescent="0.2">
      <c r="A3650" s="5">
        <v>3589</v>
      </c>
      <c r="B3650" s="138">
        <f>'Expenditures 15-22'!G367</f>
        <v>5281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13649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13649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13649</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13649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-6496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3107</v>
      </c>
      <c r="C3725" s="2" t="s">
        <v>573</v>
      </c>
      <c r="D3725" s="2" t="str">
        <f t="shared" si="57"/>
        <v>Error?</v>
      </c>
    </row>
    <row r="3726" spans="1:4" x14ac:dyDescent="0.2">
      <c r="A3726" s="5">
        <v>3665</v>
      </c>
      <c r="B3726" s="138">
        <f>'Tax Sched 23'!D13</f>
        <v>3072</v>
      </c>
      <c r="C3726" s="2" t="s">
        <v>573</v>
      </c>
      <c r="D3726" s="2" t="str">
        <f t="shared" si="57"/>
        <v>Error?</v>
      </c>
    </row>
    <row r="3727" spans="1:4" x14ac:dyDescent="0.2">
      <c r="A3727" s="5">
        <v>3666</v>
      </c>
      <c r="B3727" s="138">
        <f>'Tax Sched 23'!C13</f>
        <v>35</v>
      </c>
      <c r="D3727" s="2" t="str">
        <f t="shared" si="57"/>
        <v>Error?</v>
      </c>
    </row>
    <row r="3728" spans="1:4" x14ac:dyDescent="0.2">
      <c r="A3728" s="5">
        <v>3667</v>
      </c>
      <c r="B3728" s="138">
        <f>'Tax Sched 23'!F13</f>
        <v>3180</v>
      </c>
      <c r="C3728" s="2" t="s">
        <v>573</v>
      </c>
      <c r="D3728" s="2" t="str">
        <f t="shared" si="57"/>
        <v>Error?</v>
      </c>
    </row>
    <row r="3729" spans="1:4" x14ac:dyDescent="0.2">
      <c r="A3729" s="5">
        <v>3668</v>
      </c>
      <c r="B3729" s="138">
        <f>'Tax Sched 23'!E13</f>
        <v>3215</v>
      </c>
      <c r="D3729" s="2" t="str">
        <f t="shared" si="57"/>
        <v>Error?</v>
      </c>
    </row>
    <row r="3730" spans="1:4" x14ac:dyDescent="0.2">
      <c r="A3730" s="5">
        <v>3669</v>
      </c>
      <c r="B3730" s="138">
        <f>'ICR Computation 30'!E10</f>
        <v>112062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1867451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6333020</v>
      </c>
      <c r="C4122" s="2" t="s">
        <v>573</v>
      </c>
      <c r="D4122" s="2" t="str">
        <f t="shared" si="63"/>
        <v>Error?</v>
      </c>
    </row>
    <row r="4123" spans="1:4" x14ac:dyDescent="0.2">
      <c r="A4123" s="5">
        <v>4062</v>
      </c>
      <c r="B4123" s="138">
        <f>'Acct Summary 7-8'!D10</f>
        <v>679134</v>
      </c>
      <c r="C4123" s="2" t="s">
        <v>573</v>
      </c>
      <c r="D4123" s="2" t="str">
        <f t="shared" si="63"/>
        <v>Error?</v>
      </c>
    </row>
    <row r="4124" spans="1:4" x14ac:dyDescent="0.2">
      <c r="A4124" s="5">
        <v>4063</v>
      </c>
      <c r="B4124" s="138">
        <f>'Acct Summary 7-8'!E10</f>
        <v>403117</v>
      </c>
      <c r="C4124" s="2" t="s">
        <v>573</v>
      </c>
      <c r="D4124" s="2" t="str">
        <f t="shared" si="63"/>
        <v>Error?</v>
      </c>
    </row>
    <row r="4125" spans="1:4" x14ac:dyDescent="0.2">
      <c r="A4125" s="5">
        <v>4064</v>
      </c>
      <c r="B4125" s="138">
        <f>'Acct Summary 7-8'!F10</f>
        <v>392690</v>
      </c>
      <c r="C4125" s="2" t="s">
        <v>573</v>
      </c>
      <c r="D4125" s="2" t="str">
        <f t="shared" si="63"/>
        <v>Error?</v>
      </c>
    </row>
    <row r="4126" spans="1:4" x14ac:dyDescent="0.2">
      <c r="A4126" s="5">
        <v>4065</v>
      </c>
      <c r="B4126" s="138">
        <f>'Acct Summary 7-8'!G10</f>
        <v>214063</v>
      </c>
      <c r="C4126" s="2" t="s">
        <v>573</v>
      </c>
      <c r="D4126" s="2" t="str">
        <f t="shared" si="63"/>
        <v>Error?</v>
      </c>
    </row>
    <row r="4127" spans="1:4" x14ac:dyDescent="0.2">
      <c r="A4127" s="5">
        <v>4066</v>
      </c>
      <c r="B4127" s="138">
        <f>'Acct Summary 7-8'!H10</f>
        <v>180691</v>
      </c>
      <c r="C4127" s="2" t="s">
        <v>573</v>
      </c>
      <c r="D4127" s="2" t="str">
        <f t="shared" si="63"/>
        <v>Error?</v>
      </c>
    </row>
    <row r="4128" spans="1:4" x14ac:dyDescent="0.2">
      <c r="A4128" s="5">
        <v>4067</v>
      </c>
      <c r="B4128" s="138">
        <f>'Acct Summary 7-8'!I10</f>
        <v>3478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7153</v>
      </c>
      <c r="C4130" s="2" t="s">
        <v>573</v>
      </c>
      <c r="D4130" s="2" t="str">
        <f t="shared" si="63"/>
        <v>Error?</v>
      </c>
    </row>
    <row r="4131" spans="1:4" x14ac:dyDescent="0.2">
      <c r="A4131" s="5">
        <v>4070</v>
      </c>
      <c r="B4131" s="138">
        <f>'Acct Summary 7-8'!C18</f>
        <v>1867451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5943177</v>
      </c>
      <c r="C4136" s="2" t="s">
        <v>573</v>
      </c>
      <c r="D4136" s="2" t="str">
        <f t="shared" si="63"/>
        <v>Error?</v>
      </c>
    </row>
    <row r="4137" spans="1:4" x14ac:dyDescent="0.2">
      <c r="A4137" s="5">
        <v>4076</v>
      </c>
      <c r="B4137" s="138">
        <f>'Acct Summary 7-8'!D19</f>
        <v>611508</v>
      </c>
      <c r="C4137" s="2" t="s">
        <v>573</v>
      </c>
      <c r="D4137" s="2" t="str">
        <f t="shared" si="63"/>
        <v>Error?</v>
      </c>
    </row>
    <row r="4138" spans="1:4" x14ac:dyDescent="0.2">
      <c r="A4138" s="5">
        <v>4077</v>
      </c>
      <c r="B4138" s="138">
        <f>'Acct Summary 7-8'!E19</f>
        <v>424275</v>
      </c>
      <c r="C4138" s="2" t="s">
        <v>573</v>
      </c>
      <c r="D4138" s="2" t="str">
        <f t="shared" si="63"/>
        <v>Error?</v>
      </c>
    </row>
    <row r="4139" spans="1:4" x14ac:dyDescent="0.2">
      <c r="A4139" s="5">
        <v>4078</v>
      </c>
      <c r="B4139" s="138">
        <f>'Acct Summary 7-8'!F19</f>
        <v>297451</v>
      </c>
      <c r="C4139" s="2" t="s">
        <v>573</v>
      </c>
      <c r="D4139" s="2" t="str">
        <f t="shared" si="63"/>
        <v>Error?</v>
      </c>
    </row>
    <row r="4140" spans="1:4" x14ac:dyDescent="0.2">
      <c r="A4140" s="5">
        <v>4079</v>
      </c>
      <c r="B4140" s="138">
        <f>'Acct Summary 7-8'!G19</f>
        <v>199055</v>
      </c>
      <c r="C4140" s="2" t="s">
        <v>573</v>
      </c>
      <c r="D4140" s="2" t="str">
        <f t="shared" si="63"/>
        <v>Error?</v>
      </c>
    </row>
    <row r="4141" spans="1:4" x14ac:dyDescent="0.2">
      <c r="A4141" s="5">
        <v>4080</v>
      </c>
      <c r="B4141" s="138">
        <f>'Acct Summary 7-8'!H19</f>
        <v>198978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13649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1620065</v>
      </c>
      <c r="C4171" s="2" t="s">
        <v>573</v>
      </c>
      <c r="D4171" s="2" t="str">
        <f t="shared" si="64"/>
        <v>Error?</v>
      </c>
    </row>
    <row r="4172" spans="1:4" x14ac:dyDescent="0.2">
      <c r="A4172" s="5">
        <v>4111</v>
      </c>
      <c r="B4172" s="138">
        <f>'Short-Term Long-Term Debt 24'!J49</f>
        <v>1563239</v>
      </c>
      <c r="C4172" s="2" t="s">
        <v>573</v>
      </c>
      <c r="D4172" s="2" t="str">
        <f t="shared" si="64"/>
        <v>Error?</v>
      </c>
    </row>
    <row r="4173" spans="1:4" x14ac:dyDescent="0.2">
      <c r="A4173" s="5">
        <v>4112</v>
      </c>
      <c r="B4173" s="138">
        <f>'Short-Term Long-Term Debt 24'!H49</f>
        <v>389884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2364.2799999999997</v>
      </c>
      <c r="C4265" s="2" t="s">
        <v>573</v>
      </c>
      <c r="D4265" s="2" t="str">
        <f t="shared" si="65"/>
        <v>Error?</v>
      </c>
      <c r="E4265" s="128"/>
    </row>
    <row r="4266" spans="1:5" x14ac:dyDescent="0.2">
      <c r="A4266" s="12">
        <v>4205</v>
      </c>
      <c r="B4266" s="138">
        <f>('FP Info 3'!F10)*100000</f>
        <v>460.65000000000003</v>
      </c>
      <c r="C4266" s="2" t="s">
        <v>573</v>
      </c>
      <c r="D4266" s="2" t="str">
        <f t="shared" si="65"/>
        <v>Error?</v>
      </c>
      <c r="E4266" s="128"/>
    </row>
    <row r="4267" spans="1:5" x14ac:dyDescent="0.2">
      <c r="A4267" s="12">
        <v>4206</v>
      </c>
      <c r="B4267" s="138">
        <f>('FP Info 3'!H10)*100000</f>
        <v>118.38000000000001</v>
      </c>
      <c r="C4267" s="2" t="s">
        <v>573</v>
      </c>
      <c r="D4267" s="2" t="str">
        <f t="shared" si="65"/>
        <v>Error?</v>
      </c>
      <c r="E4267" s="128"/>
    </row>
    <row r="4268" spans="1:5" x14ac:dyDescent="0.2">
      <c r="A4268" s="12">
        <v>4207</v>
      </c>
      <c r="B4268" s="138">
        <f>('FP Info 3'!J10)*100000</f>
        <v>2943</v>
      </c>
      <c r="C4268" s="2" t="s">
        <v>573</v>
      </c>
      <c r="D4268" s="2" t="str">
        <f t="shared" si="65"/>
        <v>Error?</v>
      </c>
    </row>
    <row r="4269" spans="1:5" x14ac:dyDescent="0.2">
      <c r="A4269" s="12">
        <v>4208</v>
      </c>
      <c r="B4269" s="138">
        <f>'FP Info 3'!J16</f>
        <v>2697070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12203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21480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4146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15326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19732</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t="str">
        <f>'Revenues 9-14'!H265</f>
        <v xml:space="preserve"> </v>
      </c>
      <c r="D4865" s="2" t="e">
        <f t="shared" si="75"/>
        <v>#VALUE!</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73282154</v>
      </c>
      <c r="D4995" s="2" t="str">
        <f t="shared" si="77"/>
        <v>Error?</v>
      </c>
    </row>
    <row r="4996" spans="1:4" x14ac:dyDescent="0.2">
      <c r="A4996" s="12">
        <v>4935</v>
      </c>
      <c r="B4996" s="138">
        <f>'FP Info 3'!H31</f>
        <v>10112937.252</v>
      </c>
      <c r="D4996" s="2" t="str">
        <f t="shared" si="77"/>
        <v>Error?</v>
      </c>
    </row>
    <row r="4997" spans="1:4" x14ac:dyDescent="0.2">
      <c r="A4997" s="12">
        <v>4936</v>
      </c>
      <c r="B4997" s="138">
        <f>'FP Info 3'!H37</f>
        <v>1620065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3107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1600292</v>
      </c>
      <c r="D5061" s="2" t="str">
        <f t="shared" si="78"/>
        <v>Error?</v>
      </c>
    </row>
    <row r="5062" spans="1:4" x14ac:dyDescent="0.2">
      <c r="A5062" s="10">
        <v>5001</v>
      </c>
      <c r="D5062" s="2" t="str">
        <f t="shared" si="78"/>
        <v>OK</v>
      </c>
    </row>
    <row r="5063" spans="1:4" x14ac:dyDescent="0.2">
      <c r="A5063" s="5">
        <v>5002</v>
      </c>
      <c r="B5063" s="138">
        <f>'Revenues 9-14'!C7</f>
        <v>21858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1625257</v>
      </c>
      <c r="C5066" s="2" t="s">
        <v>573</v>
      </c>
      <c r="D5066" s="2" t="str">
        <f t="shared" si="78"/>
        <v>Error?</v>
      </c>
    </row>
    <row r="5067" spans="1:4" x14ac:dyDescent="0.2">
      <c r="A5067" s="5">
        <v>5006</v>
      </c>
      <c r="B5067" s="138">
        <f>'Revenues 9-14'!C14</f>
        <v>3860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153625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157485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34011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34011</v>
      </c>
      <c r="C5090" s="2" t="s">
        <v>573</v>
      </c>
      <c r="D5090" s="2" t="str">
        <f t="shared" si="78"/>
        <v>Error?</v>
      </c>
    </row>
    <row r="5091" spans="1:4" x14ac:dyDescent="0.2">
      <c r="A5091" s="5">
        <v>5030</v>
      </c>
      <c r="B5091" s="138">
        <f>'Revenues 9-14'!C70</f>
        <v>6130</v>
      </c>
      <c r="D5091" s="2" t="str">
        <f t="shared" si="78"/>
        <v>Error?</v>
      </c>
    </row>
    <row r="5092" spans="1:4" x14ac:dyDescent="0.2">
      <c r="A5092" s="5">
        <v>5031</v>
      </c>
      <c r="B5092" s="138">
        <f>'Revenues 9-14'!C71</f>
        <v>16575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5098</v>
      </c>
      <c r="D5094" s="2" t="str">
        <f t="shared" si="78"/>
        <v>Error?</v>
      </c>
    </row>
    <row r="5095" spans="1:4" x14ac:dyDescent="0.2">
      <c r="A5095" s="5">
        <v>5034</v>
      </c>
      <c r="B5095" s="138">
        <f>'Revenues 9-14'!C74</f>
        <v>5980</v>
      </c>
      <c r="D5095" s="2" t="str">
        <f t="shared" si="78"/>
        <v>Error?</v>
      </c>
    </row>
    <row r="5096" spans="1:4" x14ac:dyDescent="0.2">
      <c r="A5096" s="5">
        <v>5035</v>
      </c>
      <c r="B5096" s="138">
        <f>'Revenues 9-14'!C75</f>
        <v>87410</v>
      </c>
      <c r="C5096" s="2" t="s">
        <v>573</v>
      </c>
      <c r="D5096" s="2" t="str">
        <f t="shared" si="78"/>
        <v>Error?</v>
      </c>
    </row>
    <row r="5097" spans="1:4" x14ac:dyDescent="0.2">
      <c r="A5097" s="5">
        <v>5036</v>
      </c>
      <c r="B5097" s="138">
        <f>'Revenues 9-14'!C77</f>
        <v>27088</v>
      </c>
      <c r="D5097" s="2" t="str">
        <f t="shared" si="78"/>
        <v>Error?</v>
      </c>
    </row>
    <row r="5098" spans="1:4" x14ac:dyDescent="0.2">
      <c r="A5098" s="5">
        <v>5037</v>
      </c>
      <c r="B5098" s="138">
        <f>'Revenues 9-14'!C78</f>
        <v>2546</v>
      </c>
      <c r="D5098" s="2" t="str">
        <f t="shared" si="78"/>
        <v>Error?</v>
      </c>
    </row>
    <row r="5099" spans="1:4" x14ac:dyDescent="0.2">
      <c r="A5099" s="5">
        <v>5038</v>
      </c>
      <c r="B5099" s="138">
        <f>'Revenues 9-14'!C79</f>
        <v>38085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v>
      </c>
      <c r="D5101" s="2" t="str">
        <f t="shared" si="78"/>
        <v>Error?</v>
      </c>
    </row>
    <row r="5102" spans="1:4" x14ac:dyDescent="0.2">
      <c r="A5102" s="5">
        <v>5041</v>
      </c>
      <c r="B5102" s="138">
        <f>'Revenues 9-14'!C82</f>
        <v>67751</v>
      </c>
      <c r="C5102" s="2" t="s">
        <v>573</v>
      </c>
      <c r="D5102" s="2" t="str">
        <f t="shared" si="78"/>
        <v>Error?</v>
      </c>
    </row>
    <row r="5103" spans="1:4" x14ac:dyDescent="0.2">
      <c r="A5103" s="5">
        <v>5042</v>
      </c>
      <c r="B5103" s="138">
        <f>'Revenues 9-14'!C84</f>
        <v>21467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158</v>
      </c>
      <c r="D5111" s="2" t="str">
        <f t="shared" si="78"/>
        <v>Error?</v>
      </c>
    </row>
    <row r="5112" spans="1:4" x14ac:dyDescent="0.2">
      <c r="A5112" s="5">
        <v>5051</v>
      </c>
      <c r="B5112" s="138">
        <f>'Revenues 9-14'!C93</f>
        <v>21625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37142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20426</v>
      </c>
      <c r="D5116" s="2" t="str">
        <f t="shared" si="78"/>
        <v>Error?</v>
      </c>
    </row>
    <row r="5117" spans="1:4" x14ac:dyDescent="0.2">
      <c r="A5117" s="5">
        <v>5056</v>
      </c>
      <c r="B5117" s="138">
        <f>'Revenues 9-14'!C105</f>
        <v>4310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24260</v>
      </c>
      <c r="D5119" s="2" t="str">
        <f t="shared" ref="D5119:D5182" si="79">IF(ISBLANK(B5119),"OK",IF(A5119-B5119=0,"OK","Error?"))</f>
        <v>Error?</v>
      </c>
    </row>
    <row r="5120" spans="1:4" x14ac:dyDescent="0.2">
      <c r="A5120" s="5">
        <v>5059</v>
      </c>
      <c r="B5120" s="138">
        <f>'Revenues 9-14'!C108</f>
        <v>92213</v>
      </c>
      <c r="C5120" s="2" t="s">
        <v>573</v>
      </c>
      <c r="D5120" s="2" t="str">
        <f t="shared" si="79"/>
        <v>Error?</v>
      </c>
    </row>
    <row r="5121" spans="1:4" x14ac:dyDescent="0.2">
      <c r="A5121" s="5">
        <v>5060</v>
      </c>
      <c r="B5121" s="138">
        <f>'Revenues 9-14'!C109</f>
        <v>2085752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1862684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1862684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7942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7942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32758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43194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2616</v>
      </c>
      <c r="D5167" s="2" t="str">
        <f t="shared" si="79"/>
        <v>Error?</v>
      </c>
    </row>
    <row r="5168" spans="1:4" x14ac:dyDescent="0.2">
      <c r="A5168" s="5">
        <v>5107</v>
      </c>
      <c r="B5168" s="138">
        <f>'Revenues 9-14'!C148</f>
        <v>8105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62607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1925291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19732</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126158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34889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161047</v>
      </c>
      <c r="C5246" s="2" t="s">
        <v>573</v>
      </c>
      <c r="D5246" s="2" t="str">
        <f t="shared" si="80"/>
        <v>Error?</v>
      </c>
    </row>
    <row r="5247" spans="1:4" x14ac:dyDescent="0.2">
      <c r="A5247" s="5">
        <v>5186</v>
      </c>
      <c r="B5247" s="138">
        <f>'Revenues 9-14'!C200</f>
        <v>212363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4146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212363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8229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8229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434794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454526</v>
      </c>
      <c r="C5326" s="2" t="s">
        <v>573</v>
      </c>
      <c r="D5326" s="2" t="str">
        <f t="shared" si="82"/>
        <v>Error?</v>
      </c>
    </row>
    <row r="5327" spans="1:5" x14ac:dyDescent="0.2">
      <c r="A5327" s="5">
        <v>5266</v>
      </c>
      <c r="B5327" s="138">
        <f>'Revenues 9-14'!C268</f>
        <v>4465569</v>
      </c>
      <c r="C5327" s="2" t="s">
        <v>573</v>
      </c>
      <c r="D5327" s="2" t="str">
        <f t="shared" si="82"/>
        <v>Error?</v>
      </c>
    </row>
    <row r="5328" spans="1:5" x14ac:dyDescent="0.2">
      <c r="A5328" s="5">
        <v>5267</v>
      </c>
      <c r="B5328" s="138">
        <f>'Revenues 9-14'!D5</f>
        <v>305775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305775</v>
      </c>
      <c r="C5334" s="2" t="s">
        <v>573</v>
      </c>
      <c r="D5334" s="2" t="str">
        <f t="shared" si="82"/>
        <v>Error?</v>
      </c>
    </row>
    <row r="5335" spans="1:4" x14ac:dyDescent="0.2">
      <c r="A5335" s="5">
        <v>5274</v>
      </c>
      <c r="B5335" s="138">
        <f>'Revenues 9-14'!D14</f>
        <v>726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726</v>
      </c>
      <c r="C5339" s="2" t="s">
        <v>573</v>
      </c>
      <c r="D5339" s="2" t="str">
        <f t="shared" si="82"/>
        <v>Error?</v>
      </c>
    </row>
    <row r="5340" spans="1:4" x14ac:dyDescent="0.2">
      <c r="A5340" s="5">
        <v>5279</v>
      </c>
      <c r="B5340" s="138">
        <f>'Revenues 9-14'!D65</f>
        <v>5738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5738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v>
      </c>
      <c r="D5354" s="2" t="str">
        <f t="shared" si="82"/>
        <v>Error?</v>
      </c>
    </row>
    <row r="5355" spans="1:4" x14ac:dyDescent="0.2">
      <c r="A5355" s="5">
        <v>5294</v>
      </c>
      <c r="B5355" s="138">
        <f>'Revenues 9-14'!D108</f>
        <v>65</v>
      </c>
      <c r="C5355" s="2" t="s">
        <v>573</v>
      </c>
      <c r="D5355" s="2" t="str">
        <f t="shared" si="82"/>
        <v>Error?</v>
      </c>
    </row>
    <row r="5356" spans="1:4" x14ac:dyDescent="0.2">
      <c r="A5356" s="5">
        <v>5295</v>
      </c>
      <c r="B5356" s="138">
        <f>'Revenues 9-14'!D109</f>
        <v>312304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366830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366830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366830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679134</v>
      </c>
      <c r="C5508" s="2" t="s">
        <v>573</v>
      </c>
      <c r="D5508" s="2" t="str">
        <f t="shared" si="85"/>
        <v>Error?</v>
      </c>
    </row>
    <row r="5509" spans="1:4" x14ac:dyDescent="0.2">
      <c r="A5509" s="5">
        <v>5448</v>
      </c>
      <c r="B5509" s="138">
        <f>'Revenues 9-14'!E5</f>
        <v>394108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394108</v>
      </c>
      <c r="C5513" s="2" t="s">
        <v>573</v>
      </c>
      <c r="D5513" s="2" t="str">
        <f t="shared" si="85"/>
        <v>Error?</v>
      </c>
    </row>
    <row r="5514" spans="1:4" x14ac:dyDescent="0.2">
      <c r="A5514" s="5">
        <v>5453</v>
      </c>
      <c r="B5514" s="138">
        <f>'Revenues 9-14'!E14</f>
        <v>935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7081</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8016</v>
      </c>
      <c r="C5518" s="2" t="s">
        <v>573</v>
      </c>
      <c r="D5518" s="2" t="str">
        <f t="shared" si="85"/>
        <v>Error?</v>
      </c>
    </row>
    <row r="5519" spans="1:4" x14ac:dyDescent="0.2">
      <c r="A5519" s="5">
        <v>5458</v>
      </c>
      <c r="B5519" s="138">
        <f>'Revenues 9-14'!E65</f>
        <v>993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993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403117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403117</v>
      </c>
      <c r="C5552" s="2" t="s">
        <v>573</v>
      </c>
      <c r="D5552" s="2" t="str">
        <f t="shared" si="85"/>
        <v>Error?</v>
      </c>
    </row>
    <row r="5553" spans="1:4" x14ac:dyDescent="0.2">
      <c r="A5553" s="5">
        <v>5492</v>
      </c>
      <c r="B5553" s="138">
        <f>'Revenues 9-14'!F5</f>
        <v>78583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78583</v>
      </c>
      <c r="C5557" s="2" t="s">
        <v>573</v>
      </c>
      <c r="D5557" s="2" t="str">
        <f t="shared" si="85"/>
        <v>Error?</v>
      </c>
    </row>
    <row r="5558" spans="1:4" x14ac:dyDescent="0.2">
      <c r="A5558" s="5">
        <v>5497</v>
      </c>
      <c r="B5558" s="138">
        <f>'Revenues 9-14'!F14</f>
        <v>187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187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2689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2689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19800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19800</v>
      </c>
      <c r="C5587" s="2" t="s">
        <v>573</v>
      </c>
      <c r="D5587" s="2" t="str">
        <f t="shared" si="86"/>
        <v>Error?</v>
      </c>
    </row>
    <row r="5588" spans="1:4" x14ac:dyDescent="0.2">
      <c r="A5588" s="5">
        <v>5527</v>
      </c>
      <c r="B5588" s="138">
        <f>'Revenues 9-14'!F109</f>
        <v>101259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122277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122277</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87523</v>
      </c>
      <c r="D5615" s="2" t="str">
        <f t="shared" si="86"/>
        <v>Error?</v>
      </c>
    </row>
    <row r="5616" spans="1:4" x14ac:dyDescent="0.2">
      <c r="A5616" s="10">
        <v>5555</v>
      </c>
      <c r="D5616" s="2" t="str">
        <f t="shared" si="86"/>
        <v>OK</v>
      </c>
    </row>
    <row r="5617" spans="1:5" x14ac:dyDescent="0.2">
      <c r="A5617" s="5">
        <v>5556</v>
      </c>
      <c r="B5617" s="138">
        <f>'Revenues 9-14'!F153</f>
        <v>58816</v>
      </c>
      <c r="D5617" s="2" t="str">
        <f t="shared" si="86"/>
        <v>Error?</v>
      </c>
    </row>
    <row r="5618" spans="1:5" x14ac:dyDescent="0.2">
      <c r="A5618" s="5">
        <v>5557</v>
      </c>
      <c r="B5618" s="138">
        <f>'Revenues 9-14'!F155</f>
        <v>146339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22815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169154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291431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392690</v>
      </c>
      <c r="C5720" s="2" t="s">
        <v>573</v>
      </c>
      <c r="D5720" s="2" t="str">
        <f t="shared" si="88"/>
        <v>Error?</v>
      </c>
    </row>
    <row r="5721" spans="1:4" x14ac:dyDescent="0.2">
      <c r="A5721" s="5">
        <v>5660</v>
      </c>
      <c r="B5721" s="138">
        <f>'Revenues 9-14'!G5</f>
        <v>87139</v>
      </c>
      <c r="D5721" s="2" t="str">
        <f t="shared" si="88"/>
        <v>Error?</v>
      </c>
    </row>
    <row r="5722" spans="1:4" x14ac:dyDescent="0.2">
      <c r="A5722" s="5">
        <v>5661</v>
      </c>
      <c r="B5722" s="138">
        <f>'Revenues 9-14'!G7</f>
        <v>0</v>
      </c>
      <c r="D5722" s="2" t="str">
        <f t="shared" si="88"/>
        <v>Error?</v>
      </c>
    </row>
    <row r="5723" spans="1:4" x14ac:dyDescent="0.2">
      <c r="A5723" s="5">
        <v>5662</v>
      </c>
      <c r="B5723" s="138">
        <f>'Revenues 9-14'!G8</f>
        <v>85322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172461</v>
      </c>
      <c r="C5725" s="2" t="s">
        <v>573</v>
      </c>
      <c r="D5725" s="2" t="str">
        <f t="shared" si="88"/>
        <v>Error?</v>
      </c>
    </row>
    <row r="5726" spans="1:4" x14ac:dyDescent="0.2">
      <c r="A5726" s="5">
        <v>5665</v>
      </c>
      <c r="B5726" s="138">
        <f>'Revenues 9-14'!G14</f>
        <v>409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4478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4887</v>
      </c>
      <c r="C5730" s="2" t="s">
        <v>573</v>
      </c>
      <c r="D5730" s="2" t="str">
        <f t="shared" si="88"/>
        <v>Error?</v>
      </c>
    </row>
    <row r="5731" spans="1:4" x14ac:dyDescent="0.2">
      <c r="A5731" s="5">
        <v>5670</v>
      </c>
      <c r="B5731" s="138">
        <f>'Revenues 9-14'!G65</f>
        <v>1051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1051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35664</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35664</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35664</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214063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3346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3346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177345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180691</v>
      </c>
      <c r="C5915" s="2" t="s">
        <v>573</v>
      </c>
      <c r="D5915" s="2" t="str">
        <f t="shared" si="91"/>
        <v>Error?</v>
      </c>
    </row>
    <row r="5916" spans="1:4" x14ac:dyDescent="0.2">
      <c r="A5916" s="5">
        <v>5855</v>
      </c>
      <c r="B5916" s="138">
        <f>'Revenues 9-14'!I5</f>
        <v>3333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3333</v>
      </c>
      <c r="C5918" s="2" t="s">
        <v>573</v>
      </c>
      <c r="D5918" s="2" t="str">
        <f t="shared" si="91"/>
        <v>Error?</v>
      </c>
    </row>
    <row r="5919" spans="1:4" x14ac:dyDescent="0.2">
      <c r="A5919" s="5">
        <v>5858</v>
      </c>
      <c r="B5919" s="138">
        <f>'Revenues 9-14'!I14</f>
        <v>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v>
      </c>
      <c r="C5923" s="2" t="s">
        <v>573</v>
      </c>
      <c r="D5923" s="2" t="str">
        <f t="shared" si="91"/>
        <v>Error?</v>
      </c>
    </row>
    <row r="5924" spans="1:4" x14ac:dyDescent="0.2">
      <c r="A5924" s="5">
        <v>5863</v>
      </c>
      <c r="B5924" s="138">
        <f>'Revenues 9-14'!I65</f>
        <v>137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3478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6075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6075</v>
      </c>
      <c r="C5987" s="2" t="s">
        <v>573</v>
      </c>
      <c r="D5987" s="2" t="str">
        <f t="shared" si="92"/>
        <v>Error?</v>
      </c>
    </row>
    <row r="5988" spans="1:4" x14ac:dyDescent="0.2">
      <c r="A5988" s="5">
        <v>5927</v>
      </c>
      <c r="B5988" s="138">
        <f>'Revenues 9-14'!K14</f>
        <v>14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14</v>
      </c>
      <c r="C5992" s="2" t="s">
        <v>573</v>
      </c>
      <c r="D5992" s="2" t="str">
        <f t="shared" si="92"/>
        <v>Error?</v>
      </c>
    </row>
    <row r="5993" spans="1:4" x14ac:dyDescent="0.2">
      <c r="A5993" s="5">
        <v>5932</v>
      </c>
      <c r="B5993" s="138">
        <f>'Revenues 9-14'!K65</f>
        <v>1064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1064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7153</v>
      </c>
      <c r="C6023" s="2" t="s">
        <v>573</v>
      </c>
      <c r="D6023" s="2" t="str">
        <f t="shared" si="93"/>
        <v>Error?</v>
      </c>
    </row>
    <row r="6024" spans="1:5" x14ac:dyDescent="0.2">
      <c r="A6024" s="5">
        <v>5963</v>
      </c>
      <c r="B6024" s="138">
        <f>'Revenues 9-14'!G109</f>
        <v>178399</v>
      </c>
      <c r="C6024" s="2" t="s">
        <v>573</v>
      </c>
      <c r="D6024" s="2" t="str">
        <f t="shared" si="93"/>
        <v>Error?</v>
      </c>
    </row>
    <row r="6025" spans="1:5" x14ac:dyDescent="0.2">
      <c r="A6025" s="5">
        <v>5964</v>
      </c>
      <c r="B6025" s="138">
        <f>'Revenues 9-14'!H109</f>
        <v>180691</v>
      </c>
      <c r="C6025" s="2" t="s">
        <v>573</v>
      </c>
      <c r="D6025" s="2" t="str">
        <f t="shared" si="93"/>
        <v>Error?</v>
      </c>
    </row>
    <row r="6026" spans="1:5" x14ac:dyDescent="0.2">
      <c r="A6026" s="5">
        <v>5965</v>
      </c>
      <c r="B6026" s="138">
        <f>'Revenues 9-14'!I109</f>
        <v>3478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7153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53627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19047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506.3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200504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200504</v>
      </c>
      <c r="D6215" s="2" t="str">
        <f t="shared" si="96"/>
        <v>Error?</v>
      </c>
      <c r="E6215" s="2" t="s">
        <v>190</v>
      </c>
    </row>
    <row r="6216" spans="1:5" x14ac:dyDescent="0.2">
      <c r="A6216">
        <v>6155</v>
      </c>
      <c r="B6216" s="138">
        <f>'Assets-Liab 5-6'!J41</f>
        <v>200504</v>
      </c>
      <c r="D6216" s="2" t="str">
        <f t="shared" si="96"/>
        <v>Error?</v>
      </c>
      <c r="E6216" s="2" t="s">
        <v>190</v>
      </c>
    </row>
    <row r="6217" spans="1:5" x14ac:dyDescent="0.2">
      <c r="A6217">
        <v>6156</v>
      </c>
      <c r="B6217" s="138">
        <f>'Assets-Liab 5-6'!J4</f>
        <v>200504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104895</v>
      </c>
      <c r="D6220" s="2" t="str">
        <f t="shared" si="96"/>
        <v>Error?</v>
      </c>
      <c r="E6220" s="2" t="s">
        <v>190</v>
      </c>
    </row>
    <row r="6221" spans="1:5" x14ac:dyDescent="0.2">
      <c r="A6221">
        <v>6160</v>
      </c>
      <c r="B6221" s="138">
        <f>'Acct Summary 7-8'!J6</f>
        <v>48911</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153806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153806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115438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115438</v>
      </c>
      <c r="D6229" s="2" t="str">
        <f t="shared" si="96"/>
        <v>Error?</v>
      </c>
      <c r="E6229" s="2" t="s">
        <v>190</v>
      </c>
    </row>
    <row r="6230" spans="1:5" x14ac:dyDescent="0.2">
      <c r="A6230">
        <v>6169</v>
      </c>
      <c r="B6230" s="138">
        <f>'Acct Summary 7-8'!J20</f>
        <v>38368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3107</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18558</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38368</v>
      </c>
      <c r="D6263" s="2" t="str">
        <f t="shared" si="96"/>
        <v>Error?</v>
      </c>
      <c r="E6263" s="2" t="s">
        <v>190</v>
      </c>
    </row>
    <row r="6264" spans="1:5" x14ac:dyDescent="0.2">
      <c r="A6264">
        <v>6203</v>
      </c>
      <c r="B6264" s="138">
        <f>'Acct Summary 7-8'!J79</f>
        <v>162136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200504</v>
      </c>
      <c r="D6266" s="2" t="str">
        <f t="shared" si="96"/>
        <v>Error?</v>
      </c>
      <c r="E6266" s="2" t="s">
        <v>190</v>
      </c>
    </row>
    <row r="6267" spans="1:5" x14ac:dyDescent="0.2">
      <c r="A6267">
        <v>6206</v>
      </c>
      <c r="B6267" s="138">
        <f>'Acct Summary 7-8'!C82</f>
        <v>356268</v>
      </c>
      <c r="D6267" s="2" t="str">
        <f t="shared" si="96"/>
        <v>Error?</v>
      </c>
      <c r="E6267" s="2" t="s">
        <v>190</v>
      </c>
    </row>
    <row r="6268" spans="1:5" x14ac:dyDescent="0.2">
      <c r="A6268">
        <v>6207</v>
      </c>
      <c r="B6268" s="138">
        <f>'Acct Summary 7-8'!D82</f>
        <v>68276</v>
      </c>
      <c r="D6268" s="2" t="str">
        <f t="shared" si="96"/>
        <v>Error?</v>
      </c>
      <c r="E6268" s="2" t="s">
        <v>190</v>
      </c>
    </row>
    <row r="6269" spans="1:5" x14ac:dyDescent="0.2">
      <c r="A6269">
        <v>6208</v>
      </c>
      <c r="B6269" s="138">
        <f>'Acct Summary 7-8'!E82</f>
        <v>12417</v>
      </c>
      <c r="D6269" s="2" t="str">
        <f t="shared" si="96"/>
        <v>Error?</v>
      </c>
      <c r="E6269" s="2" t="s">
        <v>190</v>
      </c>
    </row>
    <row r="6270" spans="1:5" x14ac:dyDescent="0.2">
      <c r="A6270">
        <v>6209</v>
      </c>
      <c r="B6270" s="138">
        <f>'Acct Summary 7-8'!F82</f>
        <v>95239</v>
      </c>
      <c r="D6270" s="2" t="str">
        <f t="shared" si="96"/>
        <v>Error?</v>
      </c>
      <c r="E6270" s="2" t="s">
        <v>190</v>
      </c>
    </row>
    <row r="6271" spans="1:5" x14ac:dyDescent="0.2">
      <c r="A6271">
        <v>6210</v>
      </c>
      <c r="B6271" s="138">
        <f>'Acct Summary 7-8'!G82</f>
        <v>15008</v>
      </c>
      <c r="D6271" s="2" t="str">
        <f t="shared" ref="D6271:D6334" si="97">IF(ISBLANK(B6271),"OK",IF(A6271-B6271=0,"OK","Error?"))</f>
        <v>Error?</v>
      </c>
      <c r="E6271" s="2" t="s">
        <v>190</v>
      </c>
    </row>
    <row r="6272" spans="1:5" x14ac:dyDescent="0.2">
      <c r="A6272">
        <v>6211</v>
      </c>
      <c r="B6272" s="138">
        <f>'Acct Summary 7-8'!H82</f>
        <v>81813</v>
      </c>
      <c r="D6272" s="2" t="str">
        <f t="shared" si="97"/>
        <v>Error?</v>
      </c>
      <c r="E6272" s="2" t="s">
        <v>190</v>
      </c>
    </row>
    <row r="6273" spans="1:5" x14ac:dyDescent="0.2">
      <c r="A6273">
        <v>6212</v>
      </c>
      <c r="B6273" s="138">
        <f>'Acct Summary 7-8'!I82</f>
        <v>3478</v>
      </c>
      <c r="D6273" s="2" t="str">
        <f t="shared" si="97"/>
        <v>Error?</v>
      </c>
      <c r="E6273" s="2" t="s">
        <v>190</v>
      </c>
    </row>
    <row r="6274" spans="1:5" x14ac:dyDescent="0.2">
      <c r="A6274">
        <v>6213</v>
      </c>
      <c r="B6274" s="138">
        <f>'Acct Summary 7-8'!J82</f>
        <v>38368</v>
      </c>
      <c r="D6274" s="2" t="str">
        <f t="shared" si="97"/>
        <v>Error?</v>
      </c>
      <c r="E6274" s="2" t="s">
        <v>190</v>
      </c>
    </row>
    <row r="6275" spans="1:5" x14ac:dyDescent="0.2">
      <c r="A6275">
        <v>6214</v>
      </c>
      <c r="B6275" s="138">
        <f>'Acct Summary 7-8'!K82</f>
        <v>-6496</v>
      </c>
      <c r="D6275" s="2" t="str">
        <f t="shared" si="97"/>
        <v>Error?</v>
      </c>
      <c r="E6275" s="2" t="s">
        <v>190</v>
      </c>
    </row>
    <row r="6276" spans="1:5" x14ac:dyDescent="0.2">
      <c r="A6276">
        <v>6215</v>
      </c>
      <c r="B6276" s="138">
        <f>'Acct Summary 7-8'!C83</f>
        <v>0.16174238021907777</v>
      </c>
      <c r="D6276" s="2" t="str">
        <f t="shared" si="97"/>
        <v>Error?</v>
      </c>
      <c r="E6276" s="2" t="s">
        <v>190</v>
      </c>
    </row>
    <row r="6277" spans="1:5" x14ac:dyDescent="0.2">
      <c r="A6277">
        <v>6216</v>
      </c>
      <c r="B6277" s="138">
        <f>'Acct Summary 7-8'!D83</f>
        <v>0.32506498824022317</v>
      </c>
      <c r="D6277" s="2" t="str">
        <f t="shared" si="97"/>
        <v>Error?</v>
      </c>
      <c r="E6277" s="2" t="s">
        <v>190</v>
      </c>
    </row>
    <row r="6278" spans="1:5" x14ac:dyDescent="0.2">
      <c r="A6278">
        <v>6217</v>
      </c>
      <c r="B6278" s="138">
        <f>'Acct Summary 7-8'!E83</f>
        <v>0.21850913314327949</v>
      </c>
      <c r="D6278" s="2" t="str">
        <f t="shared" si="97"/>
        <v>Error?</v>
      </c>
      <c r="E6278" s="2" t="s">
        <v>190</v>
      </c>
    </row>
    <row r="6279" spans="1:5" x14ac:dyDescent="0.2">
      <c r="A6279">
        <v>6218</v>
      </c>
      <c r="B6279" s="138">
        <f>'Acct Summary 7-8'!F83</f>
        <v>0.34725174557453559</v>
      </c>
      <c r="D6279" s="2" t="str">
        <f t="shared" si="97"/>
        <v>Error?</v>
      </c>
      <c r="E6279" s="2" t="s">
        <v>190</v>
      </c>
    </row>
    <row r="6280" spans="1:5" x14ac:dyDescent="0.2">
      <c r="A6280">
        <v>6219</v>
      </c>
      <c r="B6280" s="138">
        <f>'Acct Summary 7-8'!G83</f>
        <v>0.4480401229960892</v>
      </c>
      <c r="D6280" s="2" t="str">
        <f t="shared" si="97"/>
        <v>Error?</v>
      </c>
      <c r="E6280" s="2" t="s">
        <v>190</v>
      </c>
    </row>
    <row r="6281" spans="1:5" x14ac:dyDescent="0.2">
      <c r="A6281">
        <v>6220</v>
      </c>
      <c r="B6281" s="138">
        <f>'Acct Summary 7-8'!H83</f>
        <v>0.25187645852703394</v>
      </c>
      <c r="D6281" s="2" t="str">
        <f t="shared" si="97"/>
        <v>Error?</v>
      </c>
      <c r="E6281" s="2" t="s">
        <v>190</v>
      </c>
    </row>
    <row r="6282" spans="1:5" x14ac:dyDescent="0.2">
      <c r="A6282">
        <v>6221</v>
      </c>
      <c r="B6282" s="138">
        <f>'Acct Summary 7-8'!I83</f>
        <v>0.3450739160631015</v>
      </c>
      <c r="D6282" s="2" t="str">
        <f t="shared" si="97"/>
        <v>Error?</v>
      </c>
      <c r="E6282" s="2" t="s">
        <v>190</v>
      </c>
    </row>
    <row r="6283" spans="1:5" x14ac:dyDescent="0.2">
      <c r="A6283">
        <v>6222</v>
      </c>
      <c r="B6283" s="138">
        <f>'Acct Summary 7-8'!J83</f>
        <v>0.19135777839843593</v>
      </c>
      <c r="D6283" s="2" t="str">
        <f t="shared" si="97"/>
        <v>Error?</v>
      </c>
      <c r="E6283" s="2" t="s">
        <v>190</v>
      </c>
    </row>
    <row r="6284" spans="1:5" x14ac:dyDescent="0.2">
      <c r="A6284">
        <v>6223</v>
      </c>
      <c r="B6284" s="138">
        <f>'Acct Summary 7-8'!K83</f>
        <v>-8.1608040201005025E-2</v>
      </c>
      <c r="D6284" s="2" t="str">
        <f t="shared" si="97"/>
        <v>Error?</v>
      </c>
      <c r="E6284" s="2" t="s">
        <v>190</v>
      </c>
    </row>
    <row r="6285" spans="1:5" x14ac:dyDescent="0.2">
      <c r="A6285">
        <v>6224</v>
      </c>
      <c r="B6285" s="138">
        <f>'Acct Summary 7-8'!E37</f>
        <v>12040</v>
      </c>
      <c r="D6285" s="2" t="str">
        <f t="shared" si="97"/>
        <v>Error?</v>
      </c>
      <c r="E6285" s="2" t="s">
        <v>190</v>
      </c>
    </row>
    <row r="6286" spans="1:5" x14ac:dyDescent="0.2">
      <c r="A6286">
        <v>6225</v>
      </c>
      <c r="B6286" s="138">
        <f>'Acct Summary 7-8'!E38</f>
        <v>2510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11896</v>
      </c>
      <c r="D6297" s="2" t="str">
        <f t="shared" si="97"/>
        <v>Error?</v>
      </c>
      <c r="E6297" s="2" t="s">
        <v>190</v>
      </c>
    </row>
    <row r="6298" spans="1:5" x14ac:dyDescent="0.2">
      <c r="A6298">
        <v>6237</v>
      </c>
      <c r="B6298" s="138">
        <f>'Revenues 9-14'!J5</f>
        <v>102045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102045</v>
      </c>
      <c r="D6301" s="2" t="str">
        <f t="shared" si="97"/>
        <v>Error?</v>
      </c>
      <c r="E6301" s="2" t="s">
        <v>190</v>
      </c>
    </row>
    <row r="6302" spans="1:5" x14ac:dyDescent="0.2">
      <c r="A6302">
        <v>6241</v>
      </c>
      <c r="B6302" s="138">
        <f>'Revenues 9-14'!J14</f>
        <v>243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2607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2607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6075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104895</v>
      </c>
      <c r="D6352" s="2" t="str">
        <f t="shared" si="98"/>
        <v>Error?</v>
      </c>
      <c r="E6352" s="2" t="s">
        <v>190</v>
      </c>
    </row>
    <row r="6353" spans="1:5" x14ac:dyDescent="0.2">
      <c r="A6353">
        <v>6292</v>
      </c>
      <c r="B6353" s="138">
        <f>'Revenues 9-14'!J117</f>
        <v>48911</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48911</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10436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48911</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11896</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27778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600</v>
      </c>
      <c r="D6878" s="2" t="str">
        <f t="shared" si="106"/>
        <v>Error?</v>
      </c>
    </row>
    <row r="6879" spans="1:4" x14ac:dyDescent="0.2">
      <c r="A6879">
        <v>6818</v>
      </c>
      <c r="B6879" s="138">
        <f>'Expenditures 15-22'!K21</f>
        <v>600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150</v>
      </c>
      <c r="D6983" s="2" t="str">
        <f t="shared" si="108"/>
        <v>Error?</v>
      </c>
    </row>
    <row r="6984" spans="1:4" x14ac:dyDescent="0.2">
      <c r="A6984">
        <v>6923</v>
      </c>
      <c r="B6984" s="138">
        <f>'Expenditures 15-22'!K86</f>
        <v>150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3236</v>
      </c>
      <c r="D6987" s="2" t="str">
        <f t="shared" si="108"/>
        <v>Error?</v>
      </c>
    </row>
    <row r="6988" spans="1:4" x14ac:dyDescent="0.2">
      <c r="A6988">
        <v>6927</v>
      </c>
      <c r="B6988" s="138">
        <f>'Expenditures 15-22'!K88</f>
        <v>3236</v>
      </c>
      <c r="D6988" s="2" t="str">
        <f t="shared" si="108"/>
        <v>Error?</v>
      </c>
    </row>
    <row r="6989" spans="1:4" x14ac:dyDescent="0.2">
      <c r="A6989">
        <v>6928</v>
      </c>
      <c r="B6989" s="138">
        <f>'Expenditures 15-22'!H89</f>
        <v>2266</v>
      </c>
      <c r="D6989" s="2" t="str">
        <f t="shared" si="108"/>
        <v>Error?</v>
      </c>
    </row>
    <row r="6990" spans="1:4" x14ac:dyDescent="0.2">
      <c r="A6990">
        <v>6929</v>
      </c>
      <c r="B6990" s="138">
        <f>'Expenditures 15-22'!K89</f>
        <v>2266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5652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115438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153806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296</v>
      </c>
      <c r="D7079" s="2" t="str">
        <f t="shared" si="109"/>
        <v>Error?</v>
      </c>
    </row>
    <row r="7080" spans="1:4" x14ac:dyDescent="0.2">
      <c r="A7080">
        <v>7019</v>
      </c>
      <c r="B7080" s="138">
        <f>'Expenditures 15-22'!K226</f>
        <v>296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25956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25956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20856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20856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60092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60092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8534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8534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115438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115438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115438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115438</v>
      </c>
      <c r="D7224" s="2" t="str">
        <f t="shared" si="111"/>
        <v>Error?</v>
      </c>
    </row>
    <row r="7225" spans="1:4" x14ac:dyDescent="0.2">
      <c r="A7225">
        <v>7164</v>
      </c>
      <c r="B7225" s="138">
        <f>'Expenditures 15-22'!K343</f>
        <v>38368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21904</v>
      </c>
      <c r="D7263" s="2" t="str">
        <f t="shared" si="112"/>
        <v>Error?</v>
      </c>
    </row>
    <row r="7264" spans="1:4" x14ac:dyDescent="0.2">
      <c r="A7264">
        <f t="shared" si="113"/>
        <v>7203</v>
      </c>
      <c r="B7264" s="138">
        <f>'Expenditures 15-22'!D17</f>
        <v>2770</v>
      </c>
      <c r="D7264" s="2" t="str">
        <f t="shared" si="112"/>
        <v>Error?</v>
      </c>
    </row>
    <row r="7265" spans="1:5" x14ac:dyDescent="0.2">
      <c r="A7265">
        <f t="shared" si="113"/>
        <v>7204</v>
      </c>
      <c r="B7265" s="138">
        <f>'Expenditures 15-22'!E17</f>
        <v>2925</v>
      </c>
      <c r="D7265" s="2" t="str">
        <f t="shared" si="112"/>
        <v>Error?</v>
      </c>
    </row>
    <row r="7266" spans="1:5" x14ac:dyDescent="0.2">
      <c r="A7266">
        <f t="shared" si="113"/>
        <v>7205</v>
      </c>
      <c r="B7266" s="138">
        <f>'Expenditures 15-22'!F17</f>
        <v>179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11896</v>
      </c>
      <c r="D7591" s="2" t="str">
        <f t="shared" si="122"/>
        <v>Error?</v>
      </c>
      <c r="E7591" s="2" t="s">
        <v>19</v>
      </c>
    </row>
    <row r="7592" spans="1:5" x14ac:dyDescent="0.2">
      <c r="A7592">
        <f t="shared" si="123"/>
        <v>7531</v>
      </c>
      <c r="B7592" s="138">
        <f>'Cap Outlay Deprec 26'!H3</f>
        <v>3570</v>
      </c>
      <c r="D7592" s="2" t="str">
        <f t="shared" si="122"/>
        <v>Error?</v>
      </c>
      <c r="E7592" s="2" t="s">
        <v>19</v>
      </c>
    </row>
    <row r="7593" spans="1:5" x14ac:dyDescent="0.2">
      <c r="A7593">
        <f t="shared" si="123"/>
        <v>7532</v>
      </c>
      <c r="B7593" s="138">
        <f>'Cap Outlay Deprec 26'!I3</f>
        <v>1190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4760</v>
      </c>
      <c r="D7595" s="2" t="str">
        <f t="shared" si="122"/>
        <v>Error?</v>
      </c>
      <c r="E7595" s="2" t="s">
        <v>19</v>
      </c>
    </row>
    <row r="7596" spans="1:5" x14ac:dyDescent="0.2">
      <c r="A7596">
        <f t="shared" si="123"/>
        <v>7535</v>
      </c>
      <c r="B7596" s="138">
        <f>'Cap Outlay Deprec 26'!L3</f>
        <v>7136</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4896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4896</v>
      </c>
      <c r="D7618" s="2" t="str">
        <f t="shared" si="124"/>
        <v>Error?</v>
      </c>
      <c r="E7618" s="2" t="s">
        <v>19</v>
      </c>
    </row>
    <row r="7619" spans="1:5" x14ac:dyDescent="0.2">
      <c r="A7619">
        <f t="shared" si="123"/>
        <v>7558</v>
      </c>
      <c r="B7619" s="138">
        <f>'Cap Outlay Deprec 26'!H14</f>
        <v>4896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4896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433641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8933</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2510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243001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2702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6075</v>
      </c>
      <c r="D7712" s="2" t="str">
        <f t="shared" si="126"/>
        <v>Error?</v>
      </c>
      <c r="E7712" s="2" t="s">
        <v>827</v>
      </c>
    </row>
    <row r="7713" spans="1:6" x14ac:dyDescent="0.2">
      <c r="A7713">
        <v>7652</v>
      </c>
      <c r="B7713" s="138">
        <f>'Rest Tax Levies-Tort Im 25'!J8</f>
        <v>177345</v>
      </c>
      <c r="D7713" s="2" t="str">
        <f t="shared" si="126"/>
        <v>Error?</v>
      </c>
      <c r="E7713" s="2" t="s">
        <v>827</v>
      </c>
    </row>
    <row r="7714" spans="1:6" x14ac:dyDescent="0.2">
      <c r="A7714">
        <v>7653</v>
      </c>
      <c r="B7714" s="138">
        <f>'Rest Tax Levies-Tort Im 25'!K9</f>
        <v>8105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180047</v>
      </c>
      <c r="D7718" s="2" t="str">
        <f t="shared" si="126"/>
        <v>Error?</v>
      </c>
      <c r="E7718" s="2" t="s">
        <v>827</v>
      </c>
    </row>
    <row r="7719" spans="1:6" x14ac:dyDescent="0.2">
      <c r="A7719">
        <v>7658</v>
      </c>
      <c r="B7719" s="138">
        <f>'Rest Tax Levies-Tort Im 25'!K12</f>
        <v>14180</v>
      </c>
      <c r="D7719" s="2" t="str">
        <f t="shared" si="126"/>
        <v>Error?</v>
      </c>
      <c r="E7719" s="2" t="s">
        <v>827</v>
      </c>
    </row>
    <row r="7720" spans="1:6" x14ac:dyDescent="0.2">
      <c r="A7720">
        <v>7659</v>
      </c>
      <c r="B7720" s="138">
        <f>'Rest Tax Levies-Tort Im 25'!H14</f>
        <v>21858</v>
      </c>
      <c r="D7720" s="2" t="str">
        <f t="shared" si="126"/>
        <v>Error?</v>
      </c>
      <c r="E7720" s="2" t="s">
        <v>827</v>
      </c>
    </row>
    <row r="7721" spans="1:6" x14ac:dyDescent="0.2">
      <c r="A7721">
        <v>7660</v>
      </c>
      <c r="B7721" s="138">
        <f>'Rest Tax Levies-Tort Im 25'!K14</f>
        <v>14180</v>
      </c>
      <c r="D7721" s="2" t="str">
        <f t="shared" si="126"/>
        <v>Error?</v>
      </c>
      <c r="E7721" s="2" t="s">
        <v>827</v>
      </c>
    </row>
    <row r="7722" spans="1:6" x14ac:dyDescent="0.2">
      <c r="A7722">
        <v>7661</v>
      </c>
      <c r="B7722" s="138">
        <f>'Rest Tax Levies-Tort Im 25'!J15</f>
        <v>198606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198606</v>
      </c>
      <c r="D7730" s="2" t="str">
        <f t="shared" si="126"/>
        <v>Error?</v>
      </c>
      <c r="E7730" s="2" t="s">
        <v>827</v>
      </c>
    </row>
    <row r="7731" spans="1:6" x14ac:dyDescent="0.2">
      <c r="A7731">
        <v>7670</v>
      </c>
      <c r="B7731" s="138">
        <f>'Revenues 9-14'!H103</f>
        <v>177345</v>
      </c>
      <c r="D7731" s="2" t="str">
        <f t="shared" si="126"/>
        <v>Error?</v>
      </c>
      <c r="E7731" s="2" t="s">
        <v>827</v>
      </c>
    </row>
    <row r="7732" spans="1:6" x14ac:dyDescent="0.2">
      <c r="A7732">
        <v>7671</v>
      </c>
      <c r="B7732" s="138">
        <f>'Rest Tax Levies-Tort Im 25'!J24</f>
        <v>224442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224442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29'!D33</f>
        <v>97339</v>
      </c>
      <c r="D7797" s="2" t="str">
        <f t="shared" si="127"/>
        <v>Error?</v>
      </c>
      <c r="E7797" s="4" t="s">
        <v>1903</v>
      </c>
    </row>
    <row r="7798" spans="1:5" x14ac:dyDescent="0.2">
      <c r="A7798">
        <v>7737</v>
      </c>
      <c r="B7798" s="138">
        <f>'Contracts Paid in CY 29'!F33</f>
        <v>50000</v>
      </c>
      <c r="D7798" s="2" t="str">
        <f t="shared" si="127"/>
        <v>Error?</v>
      </c>
      <c r="E7798" s="4" t="s">
        <v>1903</v>
      </c>
    </row>
    <row r="7799" spans="1:5" x14ac:dyDescent="0.2">
      <c r="A7799">
        <v>7738</v>
      </c>
      <c r="B7799" s="138">
        <f>'Contracts Paid in CY 29'!G33</f>
        <v>47339</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90" t="s">
        <v>1191</v>
      </c>
      <c r="B2" s="2390"/>
      <c r="C2" s="2390"/>
      <c r="D2" s="2390"/>
      <c r="E2" s="2390"/>
      <c r="F2" s="2390"/>
      <c r="G2" s="2390"/>
      <c r="H2" s="2390"/>
      <c r="I2" s="2390"/>
      <c r="J2" s="2390"/>
      <c r="K2" s="2390"/>
      <c r="L2" s="2390"/>
    </row>
    <row r="3" spans="1:29" ht="13.5" customHeight="1" x14ac:dyDescent="0.2">
      <c r="A3" s="2421" t="s">
        <v>1190</v>
      </c>
      <c r="B3" s="2421"/>
      <c r="C3" s="2421"/>
      <c r="D3" s="2421"/>
      <c r="E3" s="2421"/>
      <c r="F3" s="2421"/>
      <c r="G3" s="2421"/>
      <c r="H3" s="2421"/>
      <c r="I3" s="2421"/>
      <c r="J3" s="2421"/>
      <c r="K3" s="2421"/>
      <c r="L3" s="2421"/>
    </row>
    <row r="4" spans="1:29" ht="13.5" customHeight="1" x14ac:dyDescent="0.2">
      <c r="A4" s="2390" t="s">
        <v>1987</v>
      </c>
      <c r="B4" s="2411"/>
      <c r="C4" s="2411"/>
      <c r="D4" s="2411"/>
      <c r="E4" s="2411"/>
      <c r="F4" s="2411"/>
      <c r="G4" s="2411"/>
      <c r="H4" s="2411"/>
      <c r="I4" s="2411"/>
      <c r="J4" s="2411"/>
      <c r="K4" s="2411"/>
      <c r="L4" s="241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12" t="str">
        <f>COVER!A17</f>
        <v>Neoga CUSD 3</v>
      </c>
      <c r="B7" s="2413"/>
      <c r="C7" s="2413"/>
      <c r="D7" s="2414"/>
      <c r="E7" s="2415">
        <f>COVER!A13</f>
        <v>11018003026</v>
      </c>
      <c r="F7" s="2416"/>
      <c r="G7" s="2422" t="str">
        <f>COVER!T23</f>
        <v>066-003845</v>
      </c>
      <c r="H7" s="2423"/>
      <c r="I7" s="2423"/>
      <c r="J7" s="2423"/>
      <c r="K7" s="2423"/>
      <c r="L7" s="2424"/>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25"/>
      <c r="B9" s="2426"/>
      <c r="C9" s="2426"/>
      <c r="D9" s="2426"/>
      <c r="E9" s="2426"/>
      <c r="F9" s="2427"/>
      <c r="G9" s="2396" t="str">
        <f>COVER!T13</f>
        <v>MOSE, YOCKEY, BROWN &amp; KULL, LLC</v>
      </c>
      <c r="H9" s="2428"/>
      <c r="I9" s="2428"/>
      <c r="J9" s="2428"/>
      <c r="K9" s="2428"/>
      <c r="L9" s="2429"/>
    </row>
    <row r="10" spans="1:29" ht="13.5" customHeight="1" x14ac:dyDescent="0.2">
      <c r="A10" s="2402" t="str">
        <f>COVER!A38</f>
        <v>BILL FRITCHER</v>
      </c>
      <c r="B10" s="2403"/>
      <c r="C10" s="2403"/>
      <c r="D10" s="2403"/>
      <c r="E10" s="2403"/>
      <c r="F10" s="2404"/>
      <c r="G10" s="2396" t="str">
        <f>COVER!T17</f>
        <v>230 N MORGAN, PO BOX 317</v>
      </c>
      <c r="H10" s="2397"/>
      <c r="I10" s="2397"/>
      <c r="J10" s="2397"/>
      <c r="K10" s="2397"/>
      <c r="L10" s="2398"/>
    </row>
    <row r="11" spans="1:29" ht="13.5" customHeight="1" x14ac:dyDescent="0.2">
      <c r="A11" s="1182" t="s">
        <v>1519</v>
      </c>
      <c r="B11" s="1183"/>
      <c r="C11" s="1184"/>
      <c r="D11" s="1189"/>
      <c r="E11" s="1184"/>
      <c r="F11" s="1188"/>
      <c r="G11" s="2396" t="str">
        <f>COVER!T19</f>
        <v>SHELBYVILLE</v>
      </c>
      <c r="H11" s="2397"/>
      <c r="I11" s="2397"/>
      <c r="J11" s="2397"/>
      <c r="K11" s="2397"/>
      <c r="L11" s="2398"/>
    </row>
    <row r="12" spans="1:29" ht="13.5" customHeight="1" x14ac:dyDescent="0.2">
      <c r="A12" s="2405" t="s">
        <v>1518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1520</v>
      </c>
      <c r="H13" s="2392"/>
      <c r="I13" s="2408" t="str">
        <f>COVER!T25</f>
        <v>mybkcpas@consolidated.net</v>
      </c>
      <c r="J13" s="2409"/>
      <c r="K13" s="2409"/>
      <c r="L13" s="2410"/>
    </row>
    <row r="14" spans="1:29" ht="13.5" customHeight="1" x14ac:dyDescent="0.2">
      <c r="A14" s="2396" t="str">
        <f>COVER!A19</f>
        <v>790 E 7TH STREET</v>
      </c>
      <c r="B14" s="2397"/>
      <c r="C14" s="2397"/>
      <c r="D14" s="2397"/>
      <c r="E14" s="2397"/>
      <c r="F14" s="2398"/>
      <c r="G14" s="1193" t="s">
        <v>1185</v>
      </c>
      <c r="H14" s="1191"/>
      <c r="I14" s="1191"/>
      <c r="J14" s="1191"/>
      <c r="K14" s="1191"/>
      <c r="L14" s="1192"/>
    </row>
    <row r="15" spans="1:29" ht="13.5" customHeight="1" x14ac:dyDescent="0.2">
      <c r="A15" s="2396" t="str">
        <f>COVER!A21</f>
        <v>NEOGA</v>
      </c>
      <c r="B15" s="2397"/>
      <c r="C15" s="2397"/>
      <c r="D15" s="2397"/>
      <c r="E15" s="2397"/>
      <c r="F15" s="2398"/>
      <c r="G15" s="2393" t="str">
        <f>COVER!T15</f>
        <v>CORY A. BROWN</v>
      </c>
      <c r="H15" s="2394"/>
      <c r="I15" s="2394"/>
      <c r="J15" s="2394"/>
      <c r="K15" s="2394"/>
      <c r="L15" s="2395"/>
    </row>
    <row r="16" spans="1:29" ht="12.2" customHeight="1" x14ac:dyDescent="0.2">
      <c r="A16" s="2418">
        <f>COVER!A25</f>
        <v>62447</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93" t="s">
        <v>1184</v>
      </c>
      <c r="H17" s="1191"/>
      <c r="I17" s="1191"/>
      <c r="J17" s="1191"/>
      <c r="K17" s="1195" t="s">
        <v>1183</v>
      </c>
      <c r="L17" s="1188"/>
      <c r="M17" s="1181"/>
    </row>
    <row r="18" spans="1:13" ht="12.2" customHeight="1" x14ac:dyDescent="0.2">
      <c r="A18" s="2402"/>
      <c r="B18" s="2403"/>
      <c r="C18" s="2403"/>
      <c r="D18" s="2403"/>
      <c r="E18" s="2403"/>
      <c r="F18" s="2404"/>
      <c r="G18" s="2412" t="str">
        <f>COVER!T21</f>
        <v>217-774-9587</v>
      </c>
      <c r="H18" s="2413"/>
      <c r="I18" s="2413"/>
      <c r="J18" s="2413"/>
      <c r="K18" s="2412" t="str">
        <f>COVER!X21</f>
        <v>217-774-9589</v>
      </c>
      <c r="L18" s="2417"/>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4" t="str">
        <f>'Single Audit Cover'!A7</f>
        <v>Neoga CUSD 3</v>
      </c>
      <c r="B1" s="2411"/>
      <c r="C1" s="2411"/>
      <c r="D1" s="2411"/>
    </row>
    <row r="2" spans="1:11" s="1210" customFormat="1" ht="12.75" x14ac:dyDescent="0.2">
      <c r="A2" s="2435">
        <f>'Single Audit Cover'!E7</f>
        <v>11018003026</v>
      </c>
      <c r="B2" s="2436"/>
      <c r="C2" s="2436"/>
      <c r="D2" s="2436"/>
    </row>
    <row r="3" spans="1:11" s="1210" customFormat="1" ht="12.75" x14ac:dyDescent="0.2">
      <c r="A3" s="2434" t="s">
        <v>1513</v>
      </c>
      <c r="B3" s="2411"/>
      <c r="C3" s="2411"/>
      <c r="D3" s="2411"/>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8" t="str">
        <f>'Single Audit Cover'!A7</f>
        <v>Neoga CUSD 3</v>
      </c>
      <c r="B1" s="2438"/>
      <c r="C1" s="2438"/>
      <c r="D1" s="2438"/>
      <c r="E1" s="2438"/>
    </row>
    <row r="2" spans="1:5" x14ac:dyDescent="0.2">
      <c r="A2" s="2439">
        <f>'Single Audit Cover'!E7</f>
        <v>11018003026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5" t="s">
        <v>1243</v>
      </c>
    </row>
    <row r="10" spans="1:5" x14ac:dyDescent="0.2">
      <c r="A10" s="1256" t="s">
        <v>1242</v>
      </c>
      <c r="B10" s="1257" t="s">
        <v>1241</v>
      </c>
      <c r="C10" s="1257"/>
      <c r="D10" s="1258">
        <f>SUM('Acct Summary 7-8'!C7:K7)</f>
        <v>454526</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19047</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-21480</v>
      </c>
    </row>
    <row r="19" spans="1:4" ht="13.5" thickBot="1" x14ac:dyDescent="0.25">
      <c r="A19" s="1260" t="s">
        <v>1235</v>
      </c>
      <c r="D19" s="1261">
        <f>SUM(D10:D17)</f>
        <v>452093</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40"/>
      <c r="B24" s="2440"/>
      <c r="D24" s="1263"/>
    </row>
    <row r="25" spans="1:4" x14ac:dyDescent="0.2">
      <c r="A25" s="2437"/>
      <c r="B25" s="2437"/>
      <c r="D25" s="1263"/>
    </row>
    <row r="26" spans="1:4" x14ac:dyDescent="0.2">
      <c r="A26" s="2437"/>
      <c r="B26" s="2437"/>
      <c r="D26" s="1263"/>
    </row>
    <row r="27" spans="1:4" x14ac:dyDescent="0.2">
      <c r="A27" s="2437"/>
      <c r="B27" s="2437"/>
      <c r="D27" s="1263"/>
    </row>
    <row r="28" spans="1:4" x14ac:dyDescent="0.2">
      <c r="A28" s="2437"/>
      <c r="B28" s="2437"/>
      <c r="D28" s="1263"/>
    </row>
    <row r="29" spans="1:4" x14ac:dyDescent="0.2">
      <c r="A29" s="2437"/>
      <c r="B29" s="2437"/>
      <c r="D29" s="1263"/>
    </row>
    <row r="30" spans="1:4" x14ac:dyDescent="0.2">
      <c r="A30" s="2437"/>
      <c r="B30" s="2437"/>
      <c r="D30" s="1263"/>
    </row>
    <row r="32" spans="1:4" x14ac:dyDescent="0.2">
      <c r="A32" s="1255" t="s">
        <v>1233</v>
      </c>
      <c r="D32" s="1258">
        <f>SUM(D19:D30)</f>
        <v>452093</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7"/>
      <c r="B40" s="2437"/>
      <c r="D40" s="1263"/>
    </row>
    <row r="41" spans="1:4" x14ac:dyDescent="0.2">
      <c r="A41" s="2437"/>
      <c r="B41" s="2437"/>
      <c r="D41" s="1266"/>
    </row>
    <row r="42" spans="1:4" x14ac:dyDescent="0.2">
      <c r="A42" s="2437"/>
      <c r="B42" s="2437"/>
      <c r="D42" s="1266"/>
    </row>
    <row r="43" spans="1:4" x14ac:dyDescent="0.2">
      <c r="A43" s="2437"/>
      <c r="B43" s="2437"/>
      <c r="D43" s="1266"/>
    </row>
    <row r="44" spans="1:4" x14ac:dyDescent="0.2">
      <c r="A44" s="2437"/>
      <c r="B44" s="2437"/>
      <c r="D44" s="1266"/>
    </row>
    <row r="45" spans="1:4" x14ac:dyDescent="0.2">
      <c r="A45" s="2437"/>
      <c r="B45" s="2437"/>
      <c r="D45" s="1266"/>
    </row>
    <row r="47" spans="1:4" x14ac:dyDescent="0.2">
      <c r="B47" s="1267" t="s">
        <v>1227</v>
      </c>
      <c r="C47" s="1267"/>
      <c r="D47" s="1268">
        <f>SUM(D35:D45)</f>
        <v>0</v>
      </c>
    </row>
    <row r="49" spans="2:4" x14ac:dyDescent="0.2">
      <c r="B49" s="1267" t="s">
        <v>1226</v>
      </c>
      <c r="C49" s="1267"/>
      <c r="D49" s="1268">
        <f>D32-D47</f>
        <v>452093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21" t="str">
        <f>'Single Audit Cover'!A7</f>
        <v>Neoga CUSD 3</v>
      </c>
      <c r="C1" s="2442"/>
      <c r="D1" s="2442"/>
      <c r="E1" s="2442"/>
      <c r="F1" s="2442"/>
      <c r="G1" s="2442"/>
      <c r="H1" s="2442"/>
      <c r="I1" s="2442"/>
      <c r="J1" s="2442"/>
      <c r="K1" s="2442"/>
      <c r="L1" s="2442"/>
      <c r="M1" s="2442"/>
    </row>
    <row r="2" spans="2:14" ht="15" x14ac:dyDescent="0.2">
      <c r="B2" s="2443">
        <f>'Single Audit Cover'!E7</f>
        <v>11018003026</v>
      </c>
      <c r="C2" s="2443"/>
      <c r="D2" s="2443"/>
      <c r="E2" s="2443"/>
      <c r="F2" s="2443"/>
      <c r="G2" s="2443"/>
      <c r="H2" s="2443"/>
      <c r="I2" s="2443"/>
      <c r="J2" s="2443"/>
      <c r="K2" s="2443"/>
      <c r="L2" s="2443"/>
      <c r="M2" s="2443"/>
      <c r="N2" s="1297"/>
    </row>
    <row r="3" spans="2:14" ht="15" x14ac:dyDescent="0.2">
      <c r="B3" s="2444" t="s">
        <v>1219</v>
      </c>
      <c r="C3" s="2444"/>
      <c r="D3" s="2444"/>
      <c r="E3" s="2444"/>
      <c r="F3" s="2444"/>
      <c r="G3" s="2444"/>
      <c r="H3" s="2444"/>
      <c r="I3" s="2444"/>
      <c r="J3" s="2444"/>
      <c r="K3" s="2444"/>
      <c r="L3" s="2444"/>
      <c r="M3" s="2444"/>
      <c r="N3" s="1297"/>
    </row>
    <row r="4" spans="2:14" ht="15" x14ac:dyDescent="0.2">
      <c r="B4" s="2445" t="str">
        <f>'Single Audit Cover'!A4</f>
        <v>Year Ending June 30, 2019</v>
      </c>
      <c r="C4" s="2445"/>
      <c r="D4" s="2445"/>
      <c r="E4" s="2445"/>
      <c r="F4" s="2445"/>
      <c r="G4" s="2445"/>
      <c r="H4" s="2445"/>
      <c r="I4" s="2445"/>
      <c r="J4" s="2445"/>
      <c r="K4" s="2445"/>
      <c r="L4" s="2445"/>
      <c r="M4" s="2445"/>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Neoga CUSD 3</v>
      </c>
      <c r="B1" s="2455"/>
      <c r="C1" s="2455"/>
      <c r="D1" s="2455"/>
      <c r="E1" s="2455"/>
      <c r="F1" s="2455"/>
    </row>
    <row r="2" spans="1:7" ht="13.5" customHeight="1" x14ac:dyDescent="0.2">
      <c r="A2" s="2443">
        <f>'Single Audit Cover'!E7</f>
        <v>11018003026</v>
      </c>
      <c r="B2" s="2443"/>
      <c r="C2" s="2443"/>
      <c r="D2" s="2443"/>
      <c r="E2" s="2443"/>
      <c r="F2" s="2443"/>
      <c r="G2" s="1270"/>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1" t="s">
        <v>1728</v>
      </c>
      <c r="C6" s="317"/>
      <c r="D6" s="317"/>
    </row>
    <row r="7" spans="1:7" ht="60.95" customHeight="1" x14ac:dyDescent="0.2">
      <c r="A7" s="2454" t="s">
        <v>1729</v>
      </c>
      <c r="B7" s="2454"/>
      <c r="C7" s="2454"/>
      <c r="D7" s="2454"/>
      <c r="E7" s="2454"/>
      <c r="F7" s="2454"/>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54" t="s">
        <v>1731</v>
      </c>
      <c r="B13" s="2454"/>
      <c r="C13" s="2454"/>
      <c r="D13" s="2454"/>
      <c r="E13" s="2454"/>
      <c r="F13" s="2454"/>
    </row>
    <row r="14" spans="1:7" ht="9.75" customHeight="1" x14ac:dyDescent="0.2">
      <c r="C14" s="1255"/>
      <c r="D14" s="1255"/>
    </row>
    <row r="15" spans="1:7" ht="13.5" customHeight="1" x14ac:dyDescent="0.2">
      <c r="C15" s="1839" t="s">
        <v>1270</v>
      </c>
      <c r="D15" s="2452" t="s">
        <v>1269</v>
      </c>
      <c r="E15" s="2452"/>
      <c r="F15" s="2452"/>
    </row>
    <row r="16" spans="1:7" ht="13.5" customHeight="1" x14ac:dyDescent="0.2">
      <c r="A16" s="1277"/>
      <c r="B16" s="1271" t="s">
        <v>1268</v>
      </c>
      <c r="C16" s="1839" t="s">
        <v>1267</v>
      </c>
      <c r="D16" s="2453" t="s">
        <v>1588</v>
      </c>
      <c r="E16" s="2453"/>
      <c r="F16" s="2453"/>
    </row>
    <row r="17" spans="1:6" ht="20.45" customHeight="1" x14ac:dyDescent="0.2">
      <c r="A17" s="1278"/>
      <c r="B17" s="1279"/>
      <c r="C17" s="1280"/>
      <c r="D17" s="2447"/>
      <c r="E17" s="2447"/>
      <c r="F17" s="2447"/>
    </row>
    <row r="18" spans="1:6" ht="20.65" customHeight="1" x14ac:dyDescent="0.2">
      <c r="A18" s="1278"/>
      <c r="B18" s="1279"/>
      <c r="C18" s="1280"/>
      <c r="D18" s="2447"/>
      <c r="E18" s="2447"/>
      <c r="F18" s="2447"/>
    </row>
    <row r="19" spans="1:6" ht="20.65" customHeight="1" x14ac:dyDescent="0.2">
      <c r="A19" s="1278"/>
      <c r="B19" s="1279"/>
      <c r="C19" s="1280"/>
      <c r="D19" s="2447"/>
      <c r="E19" s="2447"/>
      <c r="F19" s="2447"/>
    </row>
    <row r="20" spans="1:6" ht="20.65" customHeight="1" x14ac:dyDescent="0.2">
      <c r="A20" s="1278"/>
      <c r="B20" s="1279"/>
      <c r="C20" s="1280"/>
      <c r="D20" s="2447"/>
      <c r="E20" s="2447"/>
      <c r="F20" s="2447"/>
    </row>
    <row r="21" spans="1:6" ht="20.65" customHeight="1" x14ac:dyDescent="0.2">
      <c r="A21" s="1278"/>
      <c r="B21" s="1279"/>
      <c r="C21" s="1280"/>
      <c r="D21" s="2447"/>
      <c r="E21" s="2447"/>
      <c r="F21" s="2447"/>
    </row>
    <row r="22" spans="1:6" ht="20.65" customHeight="1" x14ac:dyDescent="0.2">
      <c r="A22" s="1278"/>
      <c r="B22" s="1279"/>
      <c r="C22" s="1280"/>
      <c r="D22" s="2447"/>
      <c r="E22" s="2447"/>
      <c r="F22" s="2447"/>
    </row>
    <row r="23" spans="1:6" ht="20.65" customHeight="1" x14ac:dyDescent="0.2">
      <c r="A23" s="1278"/>
      <c r="B23" s="1279"/>
      <c r="C23" s="1280"/>
      <c r="D23" s="2447"/>
      <c r="E23" s="2447"/>
      <c r="F23" s="2447"/>
    </row>
    <row r="24" spans="1:6" ht="20.65" customHeight="1" x14ac:dyDescent="0.2">
      <c r="A24" s="1278"/>
      <c r="B24" s="1279"/>
      <c r="C24" s="1280"/>
      <c r="D24" s="2447"/>
      <c r="E24" s="2447"/>
      <c r="F24" s="2447"/>
    </row>
    <row r="25" spans="1:6" ht="20.65" customHeight="1" x14ac:dyDescent="0.2">
      <c r="A25" s="1278"/>
      <c r="B25" s="1279"/>
      <c r="C25" s="1280"/>
      <c r="D25" s="2447"/>
      <c r="E25" s="2447"/>
      <c r="F25" s="2447"/>
    </row>
    <row r="26" spans="1:6" ht="20.65" customHeight="1" x14ac:dyDescent="0.2">
      <c r="A26" s="1278"/>
      <c r="B26" s="1279"/>
      <c r="C26" s="1280"/>
      <c r="D26" s="2447"/>
      <c r="E26" s="2447"/>
      <c r="F26" s="2447"/>
    </row>
    <row r="27" spans="1:6" ht="20.65" customHeight="1" x14ac:dyDescent="0.2">
      <c r="A27" s="1278"/>
      <c r="B27" s="1279"/>
      <c r="C27" s="1280"/>
      <c r="D27" s="2447"/>
      <c r="E27" s="2447"/>
      <c r="F27" s="2447"/>
    </row>
    <row r="28" spans="1:6" ht="20.65" customHeight="1" x14ac:dyDescent="0.2">
      <c r="A28" s="1278"/>
      <c r="B28" s="1279"/>
      <c r="C28" s="1280"/>
      <c r="D28" s="2447"/>
      <c r="E28" s="2447"/>
      <c r="F28" s="2447"/>
    </row>
    <row r="29" spans="1:6" ht="20.65" customHeight="1" x14ac:dyDescent="0.2">
      <c r="A29" s="1278"/>
      <c r="B29" s="1279"/>
      <c r="C29" s="1280"/>
      <c r="D29" s="2447"/>
      <c r="E29" s="2447"/>
      <c r="F29" s="2447"/>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8" t="s">
        <v>1732</v>
      </c>
      <c r="B32" s="2448"/>
      <c r="C32" s="2448"/>
      <c r="D32" s="2448"/>
      <c r="E32" s="2448"/>
      <c r="F32" s="2448"/>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49">
        <f>+C33+C34</f>
        <v>0</v>
      </c>
      <c r="F34" s="2450"/>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1" t="s">
        <v>1590</v>
      </c>
      <c r="C49" s="2451"/>
      <c r="D49" s="2451"/>
      <c r="E49" s="1394"/>
    </row>
    <row r="50" spans="1:5" s="1295" customFormat="1" ht="3.75" customHeight="1" x14ac:dyDescent="0.2">
      <c r="A50" s="1294"/>
      <c r="B50" s="1838"/>
      <c r="C50" s="1838"/>
      <c r="D50" s="1838"/>
      <c r="E50" s="1394"/>
    </row>
    <row r="51" spans="1:5" s="1295" customFormat="1" ht="20.25" customHeight="1" x14ac:dyDescent="0.2">
      <c r="A51" s="1296">
        <v>6</v>
      </c>
      <c r="B51" s="2446" t="s">
        <v>1551</v>
      </c>
      <c r="C51" s="2446"/>
      <c r="D51" s="2446"/>
    </row>
    <row r="52" spans="1:5" ht="14.25" customHeight="1" x14ac:dyDescent="0.2">
      <c r="A52" s="1296"/>
      <c r="B52" s="2446"/>
      <c r="C52" s="2446"/>
      <c r="D52" s="24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Neoga CUSD 3</v>
      </c>
      <c r="C1" s="2470"/>
      <c r="D1" s="2470"/>
      <c r="E1" s="2470"/>
      <c r="F1" s="2470"/>
      <c r="G1" s="2470"/>
      <c r="H1" s="2470"/>
      <c r="I1" s="2470"/>
      <c r="J1" s="1404"/>
    </row>
    <row r="2" spans="2:10" s="317" customFormat="1" ht="12.75" customHeight="1" x14ac:dyDescent="0.2">
      <c r="B2" s="2471">
        <f>'Single Audit Cover'!E7</f>
        <v>11018003026</v>
      </c>
      <c r="C2" s="2472"/>
      <c r="D2" s="2472"/>
      <c r="E2" s="2472"/>
      <c r="F2" s="2472"/>
      <c r="G2" s="2472"/>
      <c r="H2" s="2472"/>
      <c r="I2" s="2472"/>
      <c r="J2" s="1404"/>
    </row>
    <row r="3" spans="2:10" s="317" customFormat="1" ht="12.75" customHeight="1" x14ac:dyDescent="0.2">
      <c r="B3" s="2473" t="s">
        <v>1285</v>
      </c>
      <c r="C3" s="2474"/>
      <c r="D3" s="2474"/>
      <c r="E3" s="2474"/>
      <c r="F3" s="2474"/>
      <c r="G3" s="2474"/>
      <c r="H3" s="2474"/>
      <c r="I3" s="2474"/>
      <c r="J3" s="1405"/>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3" t="s">
        <v>1284</v>
      </c>
      <c r="C7" s="2474"/>
      <c r="D7" s="2474"/>
      <c r="E7" s="2474"/>
      <c r="F7" s="2474"/>
      <c r="G7" s="2474"/>
      <c r="H7" s="2474"/>
      <c r="I7" s="2474"/>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75"/>
      <c r="D11" s="2475"/>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6"/>
      <c r="E29" s="2476"/>
      <c r="F29" s="2476"/>
      <c r="G29" s="2476"/>
      <c r="H29" s="2476"/>
      <c r="I29" s="2476"/>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7" t="s">
        <v>1751</v>
      </c>
      <c r="D37" s="2478"/>
      <c r="E37" s="2478"/>
      <c r="F37" s="2479"/>
      <c r="G37" s="2477" t="s">
        <v>1592</v>
      </c>
      <c r="H37" s="2478"/>
      <c r="I37" s="2479"/>
    </row>
    <row r="38" spans="2:9" ht="16.5" customHeight="1" x14ac:dyDescent="0.2">
      <c r="B38" s="1426"/>
      <c r="C38" s="2465"/>
      <c r="D38" s="2466"/>
      <c r="E38" s="2466"/>
      <c r="F38" s="2467"/>
      <c r="G38" s="2480"/>
      <c r="H38" s="2481"/>
      <c r="I38" s="2482"/>
    </row>
    <row r="39" spans="2:9" ht="16.5" customHeight="1" x14ac:dyDescent="0.2">
      <c r="B39" s="1426"/>
      <c r="C39" s="2465"/>
      <c r="D39" s="2466"/>
      <c r="E39" s="2466"/>
      <c r="F39" s="2467"/>
      <c r="G39" s="2468"/>
      <c r="H39" s="2468"/>
      <c r="I39" s="2468"/>
    </row>
    <row r="40" spans="2:9" ht="16.5" customHeight="1" x14ac:dyDescent="0.2">
      <c r="B40" s="1426"/>
      <c r="C40" s="2465"/>
      <c r="D40" s="2466"/>
      <c r="E40" s="2466"/>
      <c r="F40" s="2467"/>
      <c r="G40" s="2468"/>
      <c r="H40" s="2468"/>
      <c r="I40" s="2468"/>
    </row>
    <row r="41" spans="2:9" ht="16.5" customHeight="1" x14ac:dyDescent="0.2">
      <c r="B41" s="1426"/>
      <c r="C41" s="2465"/>
      <c r="D41" s="2466"/>
      <c r="E41" s="2466"/>
      <c r="F41" s="2467"/>
      <c r="G41" s="2468"/>
      <c r="H41" s="2468"/>
      <c r="I41" s="2468"/>
    </row>
    <row r="42" spans="2:9" ht="16.5" customHeight="1" x14ac:dyDescent="0.2">
      <c r="B42" s="1426"/>
      <c r="C42" s="2465"/>
      <c r="D42" s="2466"/>
      <c r="E42" s="2466"/>
      <c r="F42" s="2467"/>
      <c r="G42" s="2468"/>
      <c r="H42" s="2468"/>
      <c r="I42" s="2468"/>
    </row>
    <row r="43" spans="2:9" ht="16.5" customHeight="1" x14ac:dyDescent="0.2">
      <c r="B43" s="1426"/>
      <c r="C43" s="2458" t="s">
        <v>1593</v>
      </c>
      <c r="D43" s="2459"/>
      <c r="E43" s="2459"/>
      <c r="F43" s="2460"/>
      <c r="G43" s="2461">
        <f>SUM(G38:I42)</f>
        <v>0</v>
      </c>
      <c r="H43" s="2461"/>
      <c r="I43" s="2461"/>
    </row>
    <row r="44" spans="2:9" ht="12.75" customHeight="1" x14ac:dyDescent="0.2"/>
    <row r="45" spans="2:9" ht="12.75" customHeight="1" x14ac:dyDescent="0.2">
      <c r="B45" s="1417" t="s">
        <v>2062</v>
      </c>
      <c r="D45" s="2462">
        <v>0</v>
      </c>
      <c r="E45" s="2463"/>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64"/>
      <c r="F49" s="2464"/>
      <c r="G49" s="2464"/>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Neoga CUSD 3</v>
      </c>
      <c r="C1" s="2469"/>
      <c r="D1" s="2469"/>
      <c r="E1" s="2469"/>
      <c r="F1" s="2469"/>
      <c r="G1" s="2469"/>
      <c r="H1" s="2469"/>
      <c r="I1" s="2469"/>
      <c r="J1" s="2469"/>
      <c r="K1" s="2469"/>
      <c r="L1" s="1369"/>
      <c r="M1" s="1369"/>
    </row>
    <row r="2" spans="1:13" ht="12" customHeight="1" x14ac:dyDescent="0.2">
      <c r="B2" s="2471">
        <f>'Single Audit Cover'!E7</f>
        <v>11018003026</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372"/>
      <c r="M3" s="1372"/>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2013</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2125</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2126</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2127</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2128</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2129</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3" t="s">
        <v>2131</v>
      </c>
      <c r="C29" s="2483"/>
      <c r="D29" s="2489"/>
      <c r="E29" s="2489"/>
      <c r="F29" s="2489"/>
      <c r="G29" s="2489"/>
      <c r="H29" s="2489"/>
      <c r="I29" s="2489"/>
      <c r="J29" s="2489"/>
      <c r="K29" s="248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2130</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Neoga CUSD 3</v>
      </c>
      <c r="C1" s="2469"/>
      <c r="D1" s="2469"/>
      <c r="E1" s="2469"/>
      <c r="F1" s="2469"/>
      <c r="G1" s="2469"/>
      <c r="H1" s="2469"/>
      <c r="I1" s="2469"/>
      <c r="J1" s="2469"/>
      <c r="K1" s="2469"/>
      <c r="L1" s="1369"/>
      <c r="M1" s="1369"/>
    </row>
    <row r="2" spans="1:13" ht="12" customHeight="1" x14ac:dyDescent="0.2">
      <c r="B2" s="2471">
        <f>'Single Audit Cover'!E7</f>
        <v>11018003026</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941"/>
      <c r="M3" s="1941"/>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2015</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2132</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2133</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2134</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2135</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2137</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0" t="s">
        <v>2136</v>
      </c>
      <c r="C29" s="2490"/>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2138</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Neoga CUSD 3</v>
      </c>
      <c r="C1" s="2469"/>
      <c r="D1" s="2469"/>
      <c r="E1" s="2469"/>
      <c r="F1" s="2469"/>
      <c r="G1" s="2469"/>
      <c r="H1" s="2469"/>
      <c r="I1" s="2469"/>
      <c r="J1" s="2469"/>
      <c r="K1" s="2469"/>
      <c r="L1" s="1369"/>
      <c r="M1" s="1369"/>
    </row>
    <row r="2" spans="1:13" ht="12" customHeight="1" x14ac:dyDescent="0.2">
      <c r="B2" s="2471">
        <f>'Single Audit Cover'!E7</f>
        <v>11018003026</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941"/>
      <c r="M3" s="1941"/>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3</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2017</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2139</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2140</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2141</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2142</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2143</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0" t="s">
        <v>2164</v>
      </c>
      <c r="C29" s="2490"/>
      <c r="D29" s="2490"/>
      <c r="E29" s="2490"/>
      <c r="F29" s="2490"/>
      <c r="G29" s="2490"/>
      <c r="H29" s="2490"/>
      <c r="I29" s="2490"/>
      <c r="J29" s="2490"/>
      <c r="K29" s="2490"/>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2138</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16" zoomScale="110" zoomScaleNormal="110" workbookViewId="0">
      <selection activeCell="J25" sqref="J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Neoga CUSD 3</v>
      </c>
      <c r="C1" s="2469"/>
      <c r="D1" s="2469"/>
      <c r="E1" s="2469"/>
      <c r="F1" s="2469"/>
      <c r="G1" s="2469"/>
      <c r="H1" s="2469"/>
      <c r="I1" s="2469"/>
      <c r="J1" s="2469"/>
      <c r="K1" s="2469"/>
      <c r="L1" s="1369"/>
      <c r="M1" s="1369"/>
    </row>
    <row r="2" spans="1:13" ht="12" customHeight="1" x14ac:dyDescent="0.2">
      <c r="B2" s="2471">
        <f>'Single Audit Cover'!E7</f>
        <v>11018003026</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941"/>
      <c r="M3" s="1941"/>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4</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2017</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67.5" customHeight="1" x14ac:dyDescent="0.2">
      <c r="B14" s="2484" t="s">
        <v>2144</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18.75" customHeight="1" x14ac:dyDescent="0.2">
      <c r="B17" s="2484" t="s">
        <v>2145</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121.5" customHeight="1" x14ac:dyDescent="0.2">
      <c r="B20" s="2491" t="s">
        <v>2149</v>
      </c>
      <c r="C20" s="2491"/>
      <c r="D20" s="2492"/>
      <c r="E20" s="2492"/>
      <c r="F20" s="2492"/>
      <c r="G20" s="2492"/>
      <c r="H20" s="2492"/>
      <c r="I20" s="2492"/>
      <c r="J20" s="2492"/>
      <c r="K20" s="2492"/>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2148</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21.75" customHeight="1" x14ac:dyDescent="0.2">
      <c r="B26" s="2484" t="s">
        <v>2146</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0" t="s">
        <v>2147</v>
      </c>
      <c r="C29" s="2490"/>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2138</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6"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Neoga CUSD 3</v>
      </c>
      <c r="C1" s="2469"/>
      <c r="D1" s="2469"/>
      <c r="E1" s="2469"/>
      <c r="F1" s="2469"/>
      <c r="G1" s="2469"/>
      <c r="H1" s="2469"/>
      <c r="I1" s="2469"/>
      <c r="J1" s="2469"/>
      <c r="K1" s="2469"/>
      <c r="L1" s="1369"/>
      <c r="M1" s="1369"/>
    </row>
    <row r="2" spans="1:13" ht="12" customHeight="1" x14ac:dyDescent="0.2">
      <c r="B2" s="2471">
        <f>'Single Audit Cover'!E7</f>
        <v>11018003026</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941"/>
      <c r="M3" s="1941"/>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5</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2150</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2151</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2155</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2156</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2152</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0" t="s">
        <v>2153</v>
      </c>
      <c r="C29" s="2490"/>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2154</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Neoga CUSD 3</v>
      </c>
      <c r="C1" s="2469"/>
      <c r="D1" s="2469"/>
      <c r="E1" s="2469"/>
      <c r="F1" s="2469"/>
      <c r="G1" s="2469"/>
      <c r="H1" s="2469"/>
      <c r="I1" s="2469"/>
      <c r="J1" s="2469"/>
      <c r="K1" s="2469"/>
      <c r="L1" s="1369"/>
      <c r="M1" s="1369"/>
    </row>
    <row r="2" spans="1:13" ht="12" customHeight="1" x14ac:dyDescent="0.2">
      <c r="B2" s="2471">
        <f>'Single Audit Cover'!E7</f>
        <v>11018003026</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941"/>
      <c r="M3" s="1941"/>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6</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56.25" customHeight="1" x14ac:dyDescent="0.2">
      <c r="B14" s="2484" t="s">
        <v>2157</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2158</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2159</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2160</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t="s">
        <v>2161</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0" t="s">
        <v>2162</v>
      </c>
      <c r="C29" s="2490"/>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2163</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zoomScale="110" zoomScaleNormal="110" workbookViewId="0">
      <selection activeCell="Q28" sqref="Q2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Neoga CUSD 3</v>
      </c>
      <c r="C1" s="2497"/>
      <c r="D1" s="2497"/>
      <c r="E1" s="2497"/>
      <c r="F1" s="2497"/>
      <c r="G1" s="2497"/>
      <c r="H1" s="2497"/>
      <c r="I1" s="2497"/>
      <c r="J1" s="2497"/>
      <c r="K1" s="2497"/>
      <c r="L1" s="1447"/>
    </row>
    <row r="2" spans="1:12" ht="12.75" customHeight="1" x14ac:dyDescent="0.2">
      <c r="B2" s="2498">
        <f>'Single Audit Cover'!E7</f>
        <v>11018003026</v>
      </c>
      <c r="C2" s="2498"/>
      <c r="D2" s="2498"/>
      <c r="E2" s="2498"/>
      <c r="F2" s="2498"/>
      <c r="G2" s="2498"/>
      <c r="H2" s="2498"/>
      <c r="I2" s="2498"/>
      <c r="J2" s="2498"/>
      <c r="K2" s="2498"/>
      <c r="L2" s="1448"/>
    </row>
    <row r="3" spans="1:12" ht="12.75" customHeight="1" x14ac:dyDescent="0.2">
      <c r="B3" s="2485" t="s">
        <v>1285</v>
      </c>
      <c r="C3" s="2485"/>
      <c r="D3" s="2485"/>
      <c r="E3" s="2485"/>
      <c r="F3" s="2485"/>
      <c r="G3" s="2485"/>
      <c r="H3" s="2485"/>
      <c r="I3" s="2485"/>
      <c r="J3" s="2485"/>
      <c r="K3" s="2485"/>
      <c r="L3" s="1372"/>
    </row>
    <row r="4" spans="1:12" ht="12.75" customHeight="1" x14ac:dyDescent="0.2">
      <c r="B4" s="2485" t="str">
        <f>'Single Audit Cover'!A4</f>
        <v>Year Ending June 30, 2019</v>
      </c>
      <c r="C4" s="2485"/>
      <c r="D4" s="2485"/>
      <c r="E4" s="2485"/>
      <c r="F4" s="2485"/>
      <c r="G4" s="2485"/>
      <c r="H4" s="2485"/>
      <c r="I4" s="2485"/>
      <c r="J4" s="2485"/>
      <c r="K4" s="2485"/>
      <c r="L4" s="1372"/>
    </row>
    <row r="5" spans="1:12" ht="5.25" customHeight="1" x14ac:dyDescent="0.2">
      <c r="B5" s="1255" t="s">
        <v>1169</v>
      </c>
      <c r="C5" s="1255"/>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6"/>
      <c r="G12" s="2476"/>
      <c r="H12" s="2476"/>
      <c r="I12" s="2476"/>
      <c r="J12" s="2476"/>
      <c r="K12" s="2476"/>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4"/>
      <c r="E14" s="2494"/>
      <c r="F14" s="2494"/>
      <c r="H14" s="1457" t="s">
        <v>1303</v>
      </c>
      <c r="I14" s="2495"/>
      <c r="J14" s="2495"/>
      <c r="K14" s="249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5"/>
      <c r="E16" s="2495"/>
      <c r="F16" s="2495"/>
      <c r="G16" s="2495"/>
      <c r="H16" s="2495"/>
      <c r="I16" s="2495"/>
      <c r="J16" s="2495"/>
      <c r="K16" s="2495"/>
      <c r="L16" s="322"/>
    </row>
    <row r="17" spans="2:12" ht="13.5" customHeight="1" x14ac:dyDescent="0.2">
      <c r="B17" s="1382" t="s">
        <v>1301</v>
      </c>
      <c r="C17" s="1382"/>
      <c r="D17" s="2496"/>
      <c r="E17" s="2496"/>
      <c r="F17" s="2496"/>
      <c r="G17" s="2496"/>
      <c r="H17" s="2496"/>
      <c r="I17" s="2496"/>
      <c r="J17" s="2496"/>
      <c r="K17" s="249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93"/>
      <c r="C20" s="2493"/>
      <c r="D20" s="2493"/>
      <c r="E20" s="2493"/>
      <c r="F20" s="2493"/>
      <c r="G20" s="2493"/>
      <c r="H20" s="2493"/>
      <c r="I20" s="2493"/>
      <c r="J20" s="2493"/>
      <c r="K20" s="2493"/>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9" t="str">
        <f>'Single Audit Cover'!A7</f>
        <v>Neoga CUSD 3</v>
      </c>
      <c r="C1" s="2469"/>
      <c r="D1" s="2469"/>
      <c r="E1" s="1467"/>
    </row>
    <row r="2" spans="2:5" s="1277" customFormat="1" ht="12.75" customHeight="1" x14ac:dyDescent="0.2">
      <c r="B2" s="2471">
        <f>'Single Audit Cover'!E7</f>
        <v>11018003026</v>
      </c>
      <c r="C2" s="2471"/>
      <c r="D2" s="2471"/>
      <c r="E2" s="1468"/>
    </row>
    <row r="3" spans="2:5" ht="12.75" customHeight="1" x14ac:dyDescent="0.2">
      <c r="B3" s="2485" t="s">
        <v>1766</v>
      </c>
      <c r="C3" s="2485"/>
      <c r="D3" s="2485"/>
      <c r="E3" s="1269"/>
    </row>
    <row r="4" spans="2:5" s="1277" customFormat="1" ht="12.75" customHeight="1" x14ac:dyDescent="0.2">
      <c r="B4" s="2500" t="str">
        <f>'Single Audit Cover'!A4</f>
        <v>Year Ending June 30, 2019</v>
      </c>
      <c r="C4" s="2500"/>
      <c r="D4" s="2500"/>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www.w3.org/XML/1998/namespace"/>
    <ds:schemaRef ds:uri="6ce3111e-7420-4802-b50a-75d4e9a0b980"/>
    <ds:schemaRef ds:uri="4d435f69-8686-490b-bd6d-b153bf22ab50"/>
    <ds:schemaRef ds:uri="d21dc803-237d-4c68-8692-8d731fd29118"/>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2019-001</vt:lpstr>
      <vt:lpstr>2019-002</vt:lpstr>
      <vt:lpstr>2019-003</vt:lpstr>
      <vt:lpstr>2019-004</vt:lpstr>
      <vt:lpstr>2019-005</vt:lpstr>
      <vt:lpstr>2019-006</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2019-10-10T21:34:08Z</cp:lastPrinted>
  <dcterms:created xsi:type="dcterms:W3CDTF">2003-10-29T19:06:34Z</dcterms:created>
  <dcterms:modified xsi:type="dcterms:W3CDTF">2019-12-05T21:02:37Z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