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1BEFC37-DF08-4DEF-8730-7819690266D0}" xr6:coauthVersionLast="36" xr6:coauthVersionMax="36" xr10:uidLastSave="{00000000-0000-0000-0000-000000000000}"/>
  <bookViews>
    <workbookView xWindow="0" yWindow="0" windowWidth="28800" windowHeight="1173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3" sheetId="176" r:id="rId33"/>
    <sheet name="SSPAF" sheetId="177" r:id="rId34"/>
    <sheet name="CAP 1" sheetId="186" r:id="rId35"/>
    <sheet name="CAP 2" sheetId="188" r:id="rId36"/>
    <sheet name="CAP 3" sheetId="189" r:id="rId37"/>
  </sheets>
  <definedNames>
    <definedName name="_xlnm.Print_Area" localSheetId="27">' SEFA'!$B$1:$M$62</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5">#REF!</definedName>
    <definedName name="SCHADDRS" localSheetId="36">#REF!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35">#REF!</definedName>
    <definedName name="SCHCTY" localSheetId="36">#REF!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35">#REF!</definedName>
    <definedName name="SCHNMBR" localSheetId="36">#REF!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35">#REF!</definedName>
    <definedName name="SCHNME" localSheetId="36">#REF!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35">#REF!</definedName>
    <definedName name="SUPT" localSheetId="36">#REF!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38" i="179" l="1"/>
  <c r="E38" i="179"/>
  <c r="F38" i="179"/>
  <c r="I36" i="179"/>
  <c r="I37" i="179"/>
  <c r="G36" i="179"/>
  <c r="F36" i="179"/>
  <c r="E36" i="179"/>
  <c r="F37" i="179"/>
  <c r="I35" i="179"/>
  <c r="G35" i="179"/>
  <c r="F35" i="179"/>
  <c r="E35" i="179"/>
  <c r="I34" i="179"/>
  <c r="G34" i="179"/>
  <c r="F34" i="179"/>
  <c r="E34" i="179"/>
  <c r="G16" i="5" l="1"/>
  <c r="K18" i="169"/>
  <c r="B4" i="183" l="1"/>
  <c r="I31" i="179"/>
  <c r="F31" i="179" l="1"/>
  <c r="L28" i="179"/>
  <c r="L29" i="179"/>
  <c r="L38" i="179" l="1"/>
  <c r="D14" i="171"/>
  <c r="G31" i="179"/>
  <c r="E31" i="179"/>
  <c r="D124" i="29" l="1"/>
  <c r="C200" i="5" l="1"/>
  <c r="C107" i="5"/>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26" i="179" l="1"/>
  <c r="L25" i="179"/>
  <c r="L24" i="179"/>
  <c r="L23" i="179"/>
  <c r="L22" i="179"/>
  <c r="L21" i="179"/>
  <c r="L20" i="179"/>
  <c r="L19" i="179"/>
  <c r="L18" i="179"/>
  <c r="L17" i="179"/>
  <c r="L16" i="179"/>
  <c r="L37" i="179" s="1"/>
  <c r="L15" i="179"/>
  <c r="L14" i="179"/>
  <c r="L13" i="179"/>
  <c r="L12" i="179"/>
  <c r="L11" i="179"/>
  <c r="L36" i="179" l="1"/>
  <c r="L35" i="179"/>
  <c r="L34" i="179"/>
  <c r="L31" i="179"/>
  <c r="D12" i="171"/>
  <c r="A10" i="169"/>
  <c r="A16" i="169"/>
  <c r="A15" i="169"/>
  <c r="A14"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B7718" i="106" s="1"/>
  <c r="D7718" i="106" s="1"/>
  <c r="J21" i="12"/>
  <c r="J23" i="12" s="1"/>
  <c r="B7729" i="106"/>
  <c r="D7729" i="106" s="1"/>
  <c r="B7734" i="106"/>
  <c r="D7734" i="106" s="1"/>
  <c r="B7726" i="106"/>
  <c r="D7726" i="106" s="1"/>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B1124" i="106" l="1"/>
  <c r="D1124" i="106" s="1"/>
  <c r="D22" i="37"/>
  <c r="J22" i="37"/>
  <c r="D69" i="36"/>
  <c r="D6103" i="106"/>
  <c r="D68" i="36"/>
  <c r="H33" i="118"/>
  <c r="D24" i="37"/>
  <c r="B4270" i="106" s="1"/>
  <c r="D4270" i="106" s="1"/>
  <c r="L22" i="37"/>
  <c r="H28" i="118"/>
  <c r="F19" i="7"/>
  <c r="B1807" i="106" s="1"/>
  <c r="D1807" i="106" s="1"/>
  <c r="E35" i="108"/>
  <c r="E33" i="108"/>
  <c r="B6995" i="106"/>
  <c r="D6995" i="106" s="1"/>
  <c r="L13" i="11"/>
  <c r="B2060" i="106" s="1"/>
  <c r="D2060" i="106" s="1"/>
  <c r="L5" i="11"/>
  <c r="B2056" i="106" s="1"/>
  <c r="D2056" i="106" s="1"/>
  <c r="F34" i="34"/>
  <c r="F56" i="34"/>
  <c r="F71" i="34"/>
  <c r="F67" i="34"/>
  <c r="E34" i="108"/>
  <c r="G26" i="108"/>
  <c r="F37" i="34"/>
  <c r="B1126" i="106"/>
  <c r="D1126" i="106" s="1"/>
  <c r="F31" i="108"/>
  <c r="D36" i="108"/>
  <c r="F50" i="34"/>
  <c r="G35" i="108"/>
  <c r="B7047" i="106"/>
  <c r="D7047" i="106" s="1"/>
  <c r="F36" i="108"/>
  <c r="B7078" i="106"/>
  <c r="D7078" i="106" s="1"/>
  <c r="G14" i="4"/>
  <c r="B2609" i="106" s="1"/>
  <c r="D2609" i="106" s="1"/>
  <c r="F72" i="34"/>
  <c r="F68" i="34"/>
  <c r="E38" i="108"/>
  <c r="C129" i="29"/>
  <c r="B1225" i="106" s="1"/>
  <c r="D1225" i="106" s="1"/>
  <c r="F36" i="34"/>
  <c r="I210" i="29"/>
  <c r="B7071" i="106" s="1"/>
  <c r="D7071" i="106" s="1"/>
  <c r="H76" i="4"/>
  <c r="B3298" i="106" s="1"/>
  <c r="D3298" i="106" s="1"/>
  <c r="K76" i="4"/>
  <c r="B3586" i="106" s="1"/>
  <c r="D3586" i="106" s="1"/>
  <c r="B6289" i="106"/>
  <c r="D6289" i="106" s="1"/>
  <c r="D54" i="36"/>
  <c r="G30" i="108"/>
  <c r="D27" i="108"/>
  <c r="F52" i="34"/>
  <c r="E26" i="108"/>
  <c r="G39" i="108"/>
  <c r="J352" i="29"/>
  <c r="J367" i="29" s="1"/>
  <c r="B7245" i="106" s="1"/>
  <c r="D7245" i="106" s="1"/>
  <c r="K184" i="29"/>
  <c r="F13" i="4" s="1"/>
  <c r="B2596" i="106" s="1"/>
  <c r="D2596" i="106" s="1"/>
  <c r="G210" i="29"/>
  <c r="B1365" i="106" s="1"/>
  <c r="D1365" i="106" s="1"/>
  <c r="B4211" i="106"/>
  <c r="D4211" i="106" s="1"/>
  <c r="B2836" i="106"/>
  <c r="D2836" i="106" s="1"/>
  <c r="C352" i="29"/>
  <c r="B3621" i="106" s="1"/>
  <c r="D3621" i="106" s="1"/>
  <c r="I129" i="29"/>
  <c r="B7037" i="106" s="1"/>
  <c r="D7037" i="106" s="1"/>
  <c r="C342" i="29"/>
  <c r="B7216" i="106" s="1"/>
  <c r="D7216" i="106" s="1"/>
  <c r="B2805" i="106"/>
  <c r="D2805" i="106" s="1"/>
  <c r="G29" i="108"/>
  <c r="E29" i="108"/>
  <c r="F70" i="34"/>
  <c r="F38" i="34"/>
  <c r="F28" i="108"/>
  <c r="H365" i="29"/>
  <c r="B7242" i="106" s="1"/>
  <c r="D7242" i="106" s="1"/>
  <c r="B2724" i="106"/>
  <c r="D2724" i="106" s="1"/>
  <c r="G15" i="145"/>
  <c r="F46" i="34"/>
  <c r="F42" i="34"/>
  <c r="B1274" i="106"/>
  <c r="D1274" i="106" s="1"/>
  <c r="B3647" i="106"/>
  <c r="D3647" i="106" s="1"/>
  <c r="L367" i="29"/>
  <c r="L342" i="29"/>
  <c r="H342" i="29"/>
  <c r="B7221" i="106" s="1"/>
  <c r="D7221" i="106" s="1"/>
  <c r="J210" i="29"/>
  <c r="B7072" i="106" s="1"/>
  <c r="D7072" i="106" s="1"/>
  <c r="J129" i="29"/>
  <c r="B7038" i="106" s="1"/>
  <c r="D7038" i="106" s="1"/>
  <c r="H112" i="29"/>
  <c r="B7018" i="106" s="1"/>
  <c r="D7018" i="106" s="1"/>
  <c r="J77" i="4"/>
  <c r="B6262" i="106" s="1"/>
  <c r="D6262" i="106" s="1"/>
  <c r="F77" i="4"/>
  <c r="B3255" i="106" s="1"/>
  <c r="D3255" i="10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B7235" i="106" l="1"/>
  <c r="D7235" i="106" s="1"/>
  <c r="D7250" i="106"/>
  <c r="L16" i="11"/>
  <c r="B2061" i="106" s="1"/>
  <c r="D2061" i="106" s="1"/>
  <c r="B2031" i="106"/>
  <c r="D2031" i="106" s="1"/>
  <c r="K28" i="118"/>
  <c r="O27" i="118" s="1"/>
  <c r="O29" i="118" s="1"/>
  <c r="D7251" i="106"/>
  <c r="D7254" i="106"/>
  <c r="D7256" i="106"/>
  <c r="I151" i="29"/>
  <c r="F59" i="34" s="1"/>
  <c r="C151" i="29"/>
  <c r="B1226" i="106" s="1"/>
  <c r="D1226" i="106" s="1"/>
  <c r="K77" i="4"/>
  <c r="B3587" i="106" s="1"/>
  <c r="D3587" i="106" s="1"/>
  <c r="D41" i="108"/>
  <c r="E43" i="108" s="1"/>
  <c r="C367" i="29"/>
  <c r="B3622" i="106" s="1"/>
  <c r="D3622" i="106" s="1"/>
  <c r="F66" i="34"/>
  <c r="H77" i="4"/>
  <c r="B3299" i="106" s="1"/>
  <c r="D3299" i="106" s="1"/>
  <c r="J151" i="29"/>
  <c r="B7052" i="106" s="1"/>
  <c r="D7052" i="106" s="1"/>
  <c r="B1381" i="106"/>
  <c r="D1381" i="106" s="1"/>
  <c r="F65" i="34"/>
  <c r="B7215" i="106"/>
  <c r="D7215" i="106" s="1"/>
  <c r="B1266" i="106"/>
  <c r="D1266" i="106" s="1"/>
  <c r="F41" i="108"/>
  <c r="G43" i="108" s="1"/>
  <c r="B5778" i="106"/>
  <c r="D5778" i="106" s="1"/>
  <c r="G6" i="4"/>
  <c r="B2604" i="106" s="1"/>
  <c r="D2604" i="106" s="1"/>
  <c r="B5770" i="106"/>
  <c r="D5770" i="106" s="1"/>
  <c r="B5527" i="106"/>
  <c r="D5527" i="106" s="1"/>
  <c r="L114" i="29"/>
  <c r="C114" i="29"/>
  <c r="B757" i="106" s="1"/>
  <c r="D757" i="106" s="1"/>
  <c r="B1328" i="106"/>
  <c r="D1328" i="106" s="1"/>
  <c r="K342" i="29"/>
  <c r="F13" i="34" s="1"/>
  <c r="K365" i="29"/>
  <c r="B7243" i="106" s="1"/>
  <c r="D7243" i="106" s="1"/>
  <c r="I7" i="4"/>
  <c r="B4444" i="106" s="1"/>
  <c r="D4444" i="106" s="1"/>
  <c r="N23" i="3"/>
  <c r="B284" i="106" s="1"/>
  <c r="D284" i="106" s="1"/>
  <c r="I26" i="12"/>
  <c r="B7741" i="106" s="1"/>
  <c r="D7741" i="106" s="1"/>
  <c r="B1996" i="106"/>
  <c r="D1996" i="106" s="1"/>
  <c r="B1317" i="106"/>
  <c r="D1317" i="106" s="1"/>
  <c r="D7255" i="106"/>
  <c r="D7253" i="106"/>
  <c r="D7252" i="106"/>
  <c r="F174" i="34"/>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K16" i="4"/>
  <c r="B3574" i="106" s="1"/>
  <c r="D3574" i="106" s="1"/>
  <c r="B7224" i="106"/>
  <c r="D7224" i="106" s="1"/>
  <c r="K367" i="29"/>
  <c r="B3678" i="106" s="1"/>
  <c r="D3678" i="106" s="1"/>
  <c r="B1145" i="106"/>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10" i="171" l="1"/>
  <c r="K368" i="29"/>
  <c r="B3681" i="106" s="1"/>
  <c r="D3681" i="106" s="1"/>
  <c r="J10" i="4"/>
  <c r="B6225" i="106" s="1"/>
  <c r="D6225" i="106" s="1"/>
  <c r="J20" i="4"/>
  <c r="J78" i="4" s="1"/>
  <c r="F8" i="4"/>
  <c r="F10" i="4" s="1"/>
  <c r="B4125" i="106" s="1"/>
  <c r="D4125" i="106" s="1"/>
  <c r="B6227" i="106"/>
  <c r="D6227" i="106" s="1"/>
  <c r="J19" i="4"/>
  <c r="B6229" i="106" s="1"/>
  <c r="D6229" i="106" s="1"/>
  <c r="K17" i="4"/>
  <c r="K20" i="4" s="1"/>
  <c r="F76" i="34"/>
  <c r="D8" i="4"/>
  <c r="C8" i="146"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19" i="171" l="1"/>
  <c r="D32" i="171" s="1"/>
  <c r="D49" i="171" s="1"/>
  <c r="B6230" i="106"/>
  <c r="D6230" i="106" s="1"/>
  <c r="B2595" i="106"/>
  <c r="D2595" i="106" s="1"/>
  <c r="D8" i="146"/>
  <c r="K19" i="4"/>
  <c r="B4144" i="106" s="1"/>
  <c r="D4144" i="106" s="1"/>
  <c r="B3575" i="106"/>
  <c r="D3575"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F175" i="34" l="1"/>
  <c r="F79" i="34"/>
  <c r="B6215" i="106"/>
  <c r="D6215" i="106" s="1"/>
  <c r="J41" i="3"/>
  <c r="D10" i="146"/>
  <c r="F8" i="146"/>
  <c r="D78" i="4"/>
  <c r="D81" i="4" s="1"/>
  <c r="D39" i="3" s="1"/>
  <c r="B3588" i="106"/>
  <c r="D3588" i="106" s="1"/>
  <c r="K81" i="4"/>
  <c r="K39" i="3" s="1"/>
  <c r="F78" i="4"/>
  <c r="B2601" i="106"/>
  <c r="D2601" i="106" s="1"/>
  <c r="B3320" i="106"/>
  <c r="D3320" i="106" s="1"/>
  <c r="I81" i="4"/>
  <c r="I39" i="3" s="1"/>
  <c r="K17" i="118"/>
  <c r="B3300" i="106"/>
  <c r="D3300" i="106" s="1"/>
  <c r="H81" i="4"/>
  <c r="H39" i="3" s="1"/>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B2912" i="106"/>
  <c r="D2912" i="106" s="1"/>
  <c r="I41" i="3"/>
  <c r="B3567" i="106"/>
  <c r="D3567" i="106" s="1"/>
  <c r="K41" i="3"/>
  <c r="B212" i="106"/>
  <c r="D212" i="106" s="1"/>
  <c r="H41" i="3"/>
  <c r="B123" i="106"/>
  <c r="D123" i="106" s="1"/>
  <c r="D41" i="3"/>
  <c r="B6216" i="106"/>
  <c r="D6216" i="106" s="1"/>
  <c r="D51" i="36"/>
  <c r="F10" i="146"/>
  <c r="B3239" i="106"/>
  <c r="D3239" i="106" s="1"/>
  <c r="B3278" i="106"/>
  <c r="D3278" i="106" s="1"/>
  <c r="E81" i="4"/>
  <c r="E39" i="3" s="1"/>
  <c r="B3233" i="106"/>
  <c r="D3233" i="106" s="1"/>
  <c r="C81" i="4"/>
  <c r="C39" i="3" s="1"/>
  <c r="A7263" i="106"/>
  <c r="D7262" i="106"/>
  <c r="B1700" i="106"/>
  <c r="D1700" i="106" s="1"/>
  <c r="H82" i="4"/>
  <c r="D62" i="36"/>
  <c r="O16" i="118"/>
  <c r="F81" i="4"/>
  <c r="F39" i="3" s="1"/>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913" i="106" l="1"/>
  <c r="D2913" i="106" s="1"/>
  <c r="D50" i="36"/>
  <c r="B124" i="106"/>
  <c r="D124" i="106" s="1"/>
  <c r="D45" i="36"/>
  <c r="B140" i="106"/>
  <c r="D140" i="106" s="1"/>
  <c r="E41" i="3"/>
  <c r="B213" i="106"/>
  <c r="D213" i="106" s="1"/>
  <c r="D49" i="36"/>
  <c r="B189" i="106"/>
  <c r="D189" i="106" s="1"/>
  <c r="G41" i="3"/>
  <c r="D76" i="36"/>
  <c r="B92" i="106"/>
  <c r="D92" i="106" s="1"/>
  <c r="C41" i="3"/>
  <c r="B170" i="106"/>
  <c r="D170" i="106" s="1"/>
  <c r="F41" i="3"/>
  <c r="B3568" i="106"/>
  <c r="D3568" i="106" s="1"/>
  <c r="D52" i="36"/>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8" i="36" l="1"/>
  <c r="B190" i="106"/>
  <c r="D190" i="106" s="1"/>
  <c r="B93" i="106"/>
  <c r="D93" i="106" s="1"/>
  <c r="D44" i="36"/>
  <c r="B141" i="106"/>
  <c r="D141" i="106" s="1"/>
  <c r="D46" i="36"/>
  <c r="B171" i="106"/>
  <c r="D171" i="106" s="1"/>
  <c r="D47"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<sst xmlns="http://schemas.openxmlformats.org/spreadsheetml/2006/main" count="5309" uniqueCount="2189">
  <si>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</si>
  <si>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</si>
  <si>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</si>
  <si>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</si>
  <si>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</si>
  <si>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</si>
  <si>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</si>
  <si>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</si>
  <si>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</si>
  <si>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</si>
  <si>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</si>
  <si>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</si>
  <si>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</si>
  <si>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</si>
  <si>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</si>
  <si>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</si>
  <si>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</si>
  <si>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</si>
  <si>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</si>
  <si>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</si>
  <si>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</si>
  <si>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</si>
  <si>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</si>
  <si>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</si>
  <si>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</si>
  <si>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</si>
  <si>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</si>
  <si>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</si>
  <si>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</si>
  <si>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</si>
  <si>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</si>
  <si>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</si>
  <si>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</si>
  <si>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</si>
  <si>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</si>
  <si>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</si>
  <si>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</si>
  <si>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</si>
  <si>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</si>
  <si>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</si>
  <si>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</si>
  <si>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</si>
  <si>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</si>
  <si>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</si>
  <si>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</si>
  <si>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</si>
  <si>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</si>
  <si>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</si>
  <si>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</si>
  <si>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</si>
  <si>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</si>
  <si>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</si>
  <si>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</si>
  <si>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</si>
  <si>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</si>
  <si>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</si>
  <si>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</si>
  <si>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</si>
  <si>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</si>
  <si>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</si>
  <si>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</si>
  <si>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</si>
  <si>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</si>
  <si>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</si>
  <si>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</si>
  <si>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</si>
  <si>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</si>
  <si>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</si>
  <si>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</si>
  <si>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</si>
  <si>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</si>
  <si>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</si>
  <si>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</si>
  <si>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</si>
  <si>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</si>
  <si>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</si>
  <si>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</si>
  <si>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</si>
  <si>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</si>
  <si>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</si>
  <si>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</si>
  <si>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</si>
  <si>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</si>
  <si>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</si>
  <si>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</si>
  <si>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</si>
  <si>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</si>
  <si>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</si>
  <si>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</si>
  <si>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</si>
  <si>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</si>
  <si>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</si>
  <si>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</si>
  <si>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</si>
  <si>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</si>
  <si>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</si>
  <si>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</si>
  <si>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</si>
  <si>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</si>
  <si>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</si>
  <si>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</si>
  <si>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</si>
  <si>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</si>
  <si>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</si>
  <si>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</si>
  <si>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</si>
  <si>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</si>
  <si>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</si>
  <si>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</si>
  <si>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</si>
  <si>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</si>
  <si>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</si>
  <si>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</si>
  <si>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</si>
  <si>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</si>
  <si>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</si>
  <si>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</si>
  <si>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</si>
  <si>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</si>
  <si>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</si>
  <si>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</si>
  <si>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</si>
  <si>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</si>
  <si>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</si>
  <si>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</si>
  <si>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</si>
  <si>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</si>
  <si>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</si>
  <si>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</si>
  <si>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</si>
  <si>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</si>
  <si>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</si>
  <si>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</si>
  <si>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</si>
  <si>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</si>
  <si>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</si>
  <si>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</si>
  <si>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</si>
  <si>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</si>
  <si>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</si>
  <si>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</si>
  <si>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</si>
  <si>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</si>
  <si>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</si>
  <si>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</si>
  <si>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</si>
  <si>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</si>
  <si>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</si>
  <si>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</si>
  <si>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</si>
  <si>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</si>
  <si>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</si>
  <si>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</si>
  <si>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</si>
  <si>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</si>
  <si>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</si>
  <si>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</si>
  <si>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</si>
  <si>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</si>
  <si>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</si>
  <si>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</si>
  <si>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</si>
  <si>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</si>
  <si>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</si>
  <si>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</si>
  <si>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</si>
  <si>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</si>
  <si>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</si>
  <si>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</si>
  <si>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</si>
  <si>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</si>
  <si>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</si>
  <si>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</si>
  <si>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</si>
  <si>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</si>
  <si>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</si>
  <si>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</si>
  <si>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</si>
  <si>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</si>
  <si>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</si>
  <si>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</si>
  <si>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</si>
  <si>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</si>
  <si>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</si>
  <si>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</si>
  <si>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</si>
  <si>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</si>
  <si>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</si>
  <si>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</si>
  <si>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</si>
  <si>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</si>
  <si>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</si>
  <si>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</si>
  <si>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</si>
  <si>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</si>
  <si>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</si>
  <si>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</si>
  <si>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</si>
  <si>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</si>
  <si>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</si>
  <si>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</si>
  <si>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</si>
  <si>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</si>
  <si>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</si>
  <si>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</si>
  <si>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</si>
  <si>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</si>
  <si>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</si>
  <si>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</si>
  <si>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</si>
  <si>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</si>
  <si>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</si>
  <si>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</si>
  <si>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</si>
  <si>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</si>
  <si>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</si>
  <si>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</si>
  <si>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</si>
  <si>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</si>
  <si>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</si>
  <si>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</si>
  <si>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</si>
  <si>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</si>
  <si>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</si>
  <si>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</si>
  <si>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</si>
  <si>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</si>
  <si>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</si>
  <si>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</si>
  <si>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</si>
  <si>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</si>
  <si>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</si>
  <si>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</si>
  <si>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</si>
  <si>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</si>
  <si>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</si>
  <si>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</si>
  <si>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</si>
  <si>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</si>
  <si>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</si>
  <si>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</si>
  <si>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</si>
  <si>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</si>
  <si>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</si>
  <si>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</si>
  <si>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</si>
  <si>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</si>
  <si>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</si>
  <si>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</si>
  <si>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</si>
  <si>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</si>
  <si>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</si>
  <si>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</si>
  <si>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</si>
  <si>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</si>
  <si>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</si>
  <si>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</si>
  <si>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</si>
  <si>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</si>
  <si>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</si>
  <si>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</si>
  <si>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</si>
  <si>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</si>
  <si>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</si>
  <si>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</si>
  <si>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</si>
  <si>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</si>
  <si>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</si>
  <si>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</si>
  <si>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</si>
  <si>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</si>
  <si>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</si>
  <si>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</si>
  <si>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</si>
  <si>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</si>
  <si>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</si>
  <si>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</si>
  <si>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</si>
  <si>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</si>
  <si>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</si>
  <si>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</si>
  <si>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</si>
  <si>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</si>
  <si>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</si>
  <si>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</si>
  <si>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</si>
  <si>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</si>
  <si>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</si>
  <si>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</si>
  <si>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</si>
  <si>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</si>
  <si>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</si>
  <si>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</si>
  <si>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</si>
  <si>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</si>
  <si>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</si>
  <si>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</si>
  <si>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</si>
  <si>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</si>
  <si>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</si>
  <si>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</si>
  <si>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</si>
  <si>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</si>
  <si>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</si>
  <si>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</si>
  <si>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</si>
  <si>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</si>
  <si>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</si>
  <si>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</si>
  <si>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</si>
  <si>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</si>
  <si>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</si>
  <si>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</si>
  <si>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</si>
  <si>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</si>
  <si>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</si>
  <si>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</si>
  <si>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</si>
  <si>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</si>
  <si>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</si>
  <si>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</si>
  <si>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</si>
  <si>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</si>
  <si>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</si>
  <si>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</si>
  <si>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</si>
  <si>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</si>
  <si>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</si>
  <si>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</si>
  <si>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</si>
  <si>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</si>
  <si>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</si>
  <si>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</si>
  <si>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</si>
  <si>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</si>
  <si>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</si>
  <si>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</si>
  <si>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</si>
  <si>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</si>
  <si>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</si>
  <si>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</si>
  <si>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</si>
  <si>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</si>
  <si>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</si>
  <si>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</si>
  <si>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</si>
  <si>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</si>
  <si>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</si>
  <si>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</si>
  <si>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</si>
  <si>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</si>
  <si>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</si>
  <si>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</si>
  <si>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</si>
  <si>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</si>
  <si>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</si>
  <si>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</si>
  <si>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</si>
  <si>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</si>
  <si>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</si>
  <si>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</si>
  <si>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</si>
  <si>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</si>
  <si>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</si>
  <si>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</si>
  <si>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</si>
  <si>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</si>
  <si>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</si>
  <si>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</si>
  <si>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</si>
  <si>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</si>
  <si>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</si>
  <si>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</si>
  <si>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</si>
  <si>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</si>
  <si>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</si>
  <si>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</si>
  <si>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</si>
  <si>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</si>
  <si>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</si>
  <si>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</si>
  <si>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</si>
  <si>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</si>
  <si>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</si>
  <si>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</si>
  <si>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</si>
  <si>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</si>
  <si>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</si>
  <si>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</si>
  <si>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</si>
  <si>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</si>
  <si>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</si>
  <si>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</si>
  <si>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</si>
  <si>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</si>
  <si>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</si>
  <si>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</si>
  <si>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</si>
  <si>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</si>
  <si>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</si>
  <si>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</si>
  <si>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</si>
  <si>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</si>
  <si>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</si>
  <si>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</si>
  <si>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</si>
  <si>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</si>
  <si>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</si>
  <si>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</si>
  <si>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</si>
  <si>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</si>
  <si>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</si>
  <si>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</si>
  <si>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</si>
  <si>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</si>
  <si>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</si>
  <si>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</si>
  <si>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</si>
  <si>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</si>
  <si>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</si>
  <si>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</si>
  <si>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</si>
  <si>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</si>
  <si>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</si>
  <si>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</si>
  <si>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</si>
  <si>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</si>
  <si>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</si>
  <si>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</si>
  <si>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</si>
  <si>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</si>
  <si>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</si>
  <si>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</si>
  <si>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</si>
  <si>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</si>
  <si>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</si>
  <si>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</si>
  <si>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</si>
  <si>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</si>
  <si>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</si>
  <si>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</si>
  <si>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</si>
  <si>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</si>
  <si>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</si>
  <si>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</si>
  <si>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</si>
  <si>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</si>
  <si>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</si>
  <si>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</si>
  <si>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</si>
  <si>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</si>
  <si>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</si>
  <si>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</si>
  <si>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</si>
  <si>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</si>
  <si>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</si>
  <si>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</si>
  <si>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</si>
  <si>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</si>
  <si>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</si>
  <si>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</si>
  <si>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</si>
  <si>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</si>
  <si>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</si>
  <si>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</si>
  <si>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</si>
  <si>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</si>
  <si>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</si>
  <si>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</si>
  <si>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</si>
  <si>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</si>
  <si>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</si>
  <si>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</si>
  <si>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</si>
  <si>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</si>
  <si>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</si>
  <si>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</si>
  <si>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</si>
  <si>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</si>
  <si>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</si>
  <si>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</si>
  <si>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</si>
  <si>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</si>
  <si>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</si>
  <si>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</si>
  <si>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</si>
  <si>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</si>
  <si>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</si>
  <si>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</si>
  <si>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</si>
  <si>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</si>
  <si>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</si>
  <si>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</si>
  <si>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</si>
  <si>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</si>
  <si>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</si>
  <si>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</si>
  <si>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</si>
  <si>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</si>
  <si>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</si>
  <si>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</si>
  <si>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</si>
  <si>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</si>
  <si>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</si>
  <si>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</si>
  <si>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</si>
  <si>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</si>
  <si>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</si>
  <si>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</si>
  <si>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</si>
  <si>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</si>
  <si>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</si>
  <si>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</si>
  <si>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</si>
  <si>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</si>
  <si>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</si>
  <si>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</si>
  <si>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</si>
  <si>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</si>
  <si>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</si>
  <si>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</si>
  <si>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</si>
  <si>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</si>
  <si>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</si>
  <si>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</si>
  <si>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</si>
  <si>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</si>
  <si>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</si>
  <si>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</si>
  <si>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</si>
  <si>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</si>
  <si>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</si>
  <si>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</si>
  <si>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</si>
  <si>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</si>
  <si>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</si>
  <si>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</si>
  <si>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</si>
  <si>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</si>
  <si>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</si>
  <si>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</si>
  <si>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</si>
  <si>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</si>
  <si>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</si>
  <si>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</si>
  <si>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</si>
  <si>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</si>
  <si>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</si>
  <si>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</si>
  <si>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</si>
  <si>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</si>
  <si>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</si>
  <si>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</si>
  <si>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</si>
  <si>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</si>
  <si>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</si>
  <si>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</si>
  <si>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</si>
  <si>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</si>
  <si>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</si>
  <si>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</si>
  <si>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</si>
  <si>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</si>
  <si>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</si>
  <si>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</si>
  <si>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</si>
  <si>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</si>
  <si>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</si>
  <si>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</si>
  <si>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</si>
  <si>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</si>
  <si>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</si>
  <si>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</si>
  <si>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</si>
  <si>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</si>
  <si>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</si>
  <si>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</si>
  <si>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</si>
  <si>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</si>
  <si>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</si>
  <si>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</si>
  <si>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</si>
  <si>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</si>
  <si>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</si>
  <si>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</si>
  <si>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</si>
  <si>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</si>
  <si>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</si>
  <si>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</si>
  <si>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</si>
  <si>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</si>
  <si>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</si>
  <si>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</si>
  <si>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</si>
  <si>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</si>
  <si>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</si>
  <si>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</si>
  <si>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</si>
  <si>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</si>
  <si>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</si>
  <si>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</si>
  <si>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</si>
  <si>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</si>
  <si>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</si>
  <si>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</si>
  <si>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</si>
  <si>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</si>
  <si>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</si>
  <si>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</si>
  <si>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</si>
  <si>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</si>
  <si>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</si>
  <si>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</si>
  <si>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</si>
  <si>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</si>
  <si>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</si>
  <si>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</si>
  <si>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</si>
  <si>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</si>
  <si>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</si>
  <si>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</si>
  <si>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</si>
  <si>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</si>
  <si>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</si>
  <si>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</si>
  <si>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</si>
  <si>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</si>
  <si>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</si>
  <si>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</si>
  <si>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</si>
  <si>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</si>
  <si>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</si>
  <si>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</si>
  <si>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</si>
  <si>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</si>
  <si>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</si>
  <si>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</si>
  <si>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</si>
  <si>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</si>
  <si>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</si>
  <si>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</si>
  <si>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</si>
  <si>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</si>
  <si>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</si>
  <si>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</si>
  <si>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</si>
  <si>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</si>
  <si>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</si>
  <si>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</si>
  <si>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</si>
  <si>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</si>
  <si>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</si>
  <si>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</si>
  <si>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</si>
  <si>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</si>
  <si>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</si>
  <si>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</si>
  <si>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</si>
  <si>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</si>
  <si>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</si>
  <si>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</si>
  <si>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</si>
  <si>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</si>
  <si>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</si>
  <si>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</si>
  <si>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</si>
  <si>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</si>
  <si>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</si>
  <si>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</si>
  <si>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</si>
  <si>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</si>
  <si>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</si>
  <si>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</si>
  <si>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</si>
  <si>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</si>
  <si>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</si>
  <si>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</si>
  <si>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</si>
  <si>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</si>
  <si>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</si>
  <si>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</si>
  <si>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</si>
  <si>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</si>
  <si>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</si>
  <si>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</si>
  <si>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</si>
  <si>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</si>
  <si>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</si>
  <si>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</si>
  <si>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</si>
  <si>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</si>
  <si>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</si>
  <si>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</si>
  <si>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</si>
  <si>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</si>
  <si>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</si>
  <si>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</si>
  <si>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</si>
  <si>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</si>
  <si>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</si>
  <si>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</si>
  <si>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</si>
  <si>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</si>
  <si>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</si>
  <si>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</si>
  <si>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</si>
  <si>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</si>
  <si>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</si>
  <si>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</si>
  <si>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</si>
  <si>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</si>
  <si>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</si>
  <si>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</si>
  <si>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</si>
  <si>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</si>
  <si>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</si>
  <si>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</si>
  <si>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</si>
  <si>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</si>
  <si>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</si>
  <si>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</si>
  <si>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</si>
  <si>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</si>
  <si>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</si>
  <si>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</si>
  <si>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</si>
  <si>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</si>
  <si>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</si>
  <si>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</si>
  <si>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</si>
  <si>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</si>
  <si>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</si>
  <si>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</si>
  <si>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</si>
  <si>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</si>
  <si>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</si>
  <si>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</si>
  <si>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</si>
  <si>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</si>
  <si>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</si>
  <si>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</si>
  <si>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</si>
  <si>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</si>
  <si>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</si>
  <si>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</si>
  <si>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</si>
  <si>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</si>
  <si>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</si>
  <si>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</si>
  <si>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</si>
  <si>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</si>
  <si>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</si>
  <si>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</si>
  <si>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</si>
  <si>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</si>
  <si>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</si>
  <si>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</si>
  <si>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</si>
  <si>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</si>
  <si>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</si>
  <si>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</si>
  <si>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</si>
  <si>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</si>
  <si>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</si>
  <si>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</si>
  <si>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</si>
  <si>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</si>
  <si>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</si>
  <si>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</si>
  <si>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</si>
  <si>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</si>
  <si>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</si>
  <si>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</si>
  <si>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</si>
  <si>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</si>
  <si>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</si>
  <si>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</si>
  <si>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</si>
  <si>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</si>
  <si>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</si>
  <si>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</si>
  <si>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</si>
  <si>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</si>
  <si>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</si>
  <si>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</si>
  <si>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</si>
  <si>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</si>
  <si>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</si>
  <si>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</si>
  <si>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</si>
  <si>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</si>
  <si>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</si>
  <si>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</si>
  <si>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</si>
  <si>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</si>
  <si>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</si>
  <si>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</si>
  <si>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</si>
  <si>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</si>
  <si>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</si>
  <si>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</si>
  <si>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</si>
  <si>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</si>
  <si>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</si>
  <si>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</si>
  <si>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</si>
  <si>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</si>
  <si>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</si>
  <si>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</si>
  <si>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</si>
  <si>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</si>
  <si>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</si>
  <si>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</si>
  <si>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</si>
  <si>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</si>
  <si>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</si>
  <si>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</si>
  <si>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</si>
  <si>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</si>
  <si>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</si>
  <si>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</si>
  <si>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</si>
  <si>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</si>
  <si>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</si>
  <si>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</si>
  <si>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</si>
  <si>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</si>
  <si>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</si>
  <si>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</si>
  <si>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</si>
  <si>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</si>
  <si>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</si>
  <si>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</si>
  <si>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</si>
  <si>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</si>
  <si>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</si>
  <si>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</si>
  <si>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</si>
  <si>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</si>
  <si>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</si>
  <si>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</si>
  <si>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</si>
  <si>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</si>
  <si>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</si>
  <si>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</si>
  <si>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</si>
  <si>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</si>
  <si>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</si>
  <si>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</si>
  <si>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</si>
  <si>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</si>
  <si>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</si>
  <si>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</si>
  <si>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</si>
  <si>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</si>
  <si>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</si>
  <si>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</si>
  <si>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</si>
  <si>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</si>
  <si>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</si>
  <si>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</si>
  <si>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</si>
  <si>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</si>
  <si>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</si>
  <si>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</si>
  <si>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</si>
  <si>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</si>
  <si>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</si>
  <si>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</si>
  <si>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</si>
  <si>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</si>
  <si>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</si>
  <si>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</si>
  <si>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</si>
  <si>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</si>
  <si>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</si>
  <si>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</si>
  <si>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</si>
  <si>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</si>
  <si>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</si>
  <si>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</si>
  <si>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</si>
  <si>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</si>
  <si>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</si>
  <si>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</si>
  <si>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</si>
  <si>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</si>
  <si>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</si>
  <si>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</si>
  <si>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</si>
  <si>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</si>
  <si>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</si>
  <si>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</si>
  <si>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</si>
  <si>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</si>
  <si>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</si>
  <si>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</si>
  <si>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</si>
  <si>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</si>
  <si>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</si>
  <si>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</si>
  <si>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</si>
  <si>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</si>
  <si>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</si>
  <si>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</si>
  <si>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</si>
  <si>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</si>
  <si>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</si>
  <si>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</si>
  <si>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</si>
  <si>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</si>
  <si>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</si>
  <si>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</si>
  <si>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</si>
  <si>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</si>
  <si>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</si>
  <si>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</si>
  <si>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</si>
  <si>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</si>
  <si>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</si>
  <si>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</si>
  <si>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</si>
  <si>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</si>
  <si>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</si>
  <si>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</si>
  <si>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</si>
  <si>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</si>
  <si>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</si>
  <si>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</si>
  <si>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</si>
  <si>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</si>
  <si>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</si>
  <si>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</si>
  <si>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</si>
  <si>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</si>
  <si>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</si>
  <si>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</si>
  <si>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</si>
  <si>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</si>
  <si>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</si>
  <si>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</si>
  <si>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</si>
  <si>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</si>
  <si>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</si>
  <si>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</si>
  <si>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</si>
  <si>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</si>
  <si>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</si>
  <si>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</si>
  <si>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</si>
  <si>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</si>
  <si>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</si>
  <si>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</si>
  <si>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</si>
  <si>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</si>
  <si>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</si>
  <si>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</si>
  <si>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</si>
  <si>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</si>
  <si>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</si>
  <si>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</si>
  <si>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</si>
  <si>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</si>
  <si>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</si>
  <si>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</si>
  <si>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</si>
  <si>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</si>
  <si>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</si>
  <si>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</si>
  <si>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</si>
  <si>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</si>
  <si>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</si>
  <si>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</si>
  <si>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</si>
  <si>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</si>
  <si>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</si>
  <si>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</si>
  <si>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</si>
  <si>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</si>
  <si>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</si>
  <si>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</si>
  <si>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</si>
  <si>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</si>
  <si>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</si>
  <si>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</si>
  <si>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</si>
  <si>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</si>
  <si>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</si>
  <si>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</si>
  <si>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</si>
  <si>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</si>
  <si>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</si>
  <si>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</si>
  <si>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</si>
  <si>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</si>
  <si>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</si>
  <si>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</si>
  <si>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</si>
  <si>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</si>
  <si>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</si>
  <si>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</si>
  <si>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</si>
  <si>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</si>
  <si>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</si>
  <si>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</si>
  <si>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</si>
  <si>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</si>
  <si>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</si>
  <si>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</si>
  <si>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</si>
  <si>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</si>
  <si>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</si>
  <si>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</si>
  <si>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</si>
  <si>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</si>
  <si>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</si>
  <si>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</si>
  <si>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</si>
  <si>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</si>
  <si>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</si>
  <si>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</si>
  <si>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</si>
  <si>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</si>
  <si>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</si>
  <si>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</si>
  <si>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</si>
  <si>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</si>
  <si>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</si>
  <si>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</si>
  <si>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</si>
  <si>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</si>
  <si>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</si>
  <si>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</si>
  <si>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</si>
  <si>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</si>
  <si>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</si>
  <si>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</si>
  <si>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</si>
  <si>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</si>
  <si>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</si>
  <si>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</si>
  <si>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</si>
  <si>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</si>
  <si>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</si>
  <si>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</si>
  <si>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</si>
  <si>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</si>
  <si>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</si>
  <si>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</si>
  <si>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</si>
  <si>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</si>
  <si>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</si>
  <si>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</si>
  <si>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</si>
  <si>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</si>
  <si>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</si>
  <si>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</si>
  <si>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</si>
  <si>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</si>
  <si>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</si>
  <si>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</si>
  <si>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</si>
  <si>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</si>
  <si>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</si>
  <si>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</si>
  <si>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</si>
  <si>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</si>
  <si>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</si>
  <si>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</si>
  <si>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</si>
  <si>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</si>
  <si>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</si>
  <si>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</si>
  <si>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</si>
  <si>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</si>
  <si>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</si>
  <si>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</si>
  <si>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</si>
  <si>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</si>
  <si>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</si>
  <si>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</si>
  <si>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</si>
  <si>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</si>
  <si>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</si>
  <si>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</si>
  <si>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</si>
  <si>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</si>
  <si>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</si>
  <si>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</si>
  <si>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</si>
  <si>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</si>
  <si>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</si>
  <si>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</si>
  <si>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</si>
  <si>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</si>
  <si>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</si>
  <si>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</si>
  <si>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</si>
  <si>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</si>
  <si>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</si>
  <si>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</si>
  <si>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</si>
  <si>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</si>
  <si>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</si>
  <si>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</si>
  <si>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</si>
  <si>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</si>
  <si>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</si>
  <si>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</si>
  <si>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</si>
  <si>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</si>
  <si>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</si>
  <si>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</si>
  <si>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</si>
  <si>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</si>
  <si>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</si>
  <si>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</si>
  <si>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</si>
  <si>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</si>
  <si>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</si>
  <si>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</si>
  <si>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</si>
  <si>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</si>
  <si>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</si>
  <si>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</si>
  <si>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</si>
  <si>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</si>
  <si>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</si>
  <si>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</si>
  <si>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</si>
  <si>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</si>
  <si>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</si>
  <si>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</si>
  <si>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</si>
  <si>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</si>
  <si>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</si>
  <si>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</si>
  <si>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</si>
  <si>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</si>
  <si>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</si>
  <si>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</si>
  <si>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</si>
  <si>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</si>
  <si>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</si>
  <si>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</si>
  <si>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</si>
  <si>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</si>
  <si>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</si>
  <si>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</si>
  <si>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</si>
  <si>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</si>
  <si>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</si>
  <si>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</si>
  <si>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</si>
  <si>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</si>
  <si>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</si>
  <si>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</si>
  <si>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</si>
  <si>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</si>
  <si>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</si>
  <si>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</si>
  <si>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</si>
  <si>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</si>
  <si>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</si>
  <si>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</si>
  <si>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</si>
  <si>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</si>
  <si>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</si>
  <si>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</si>
  <si>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</si>
  <si>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</si>
  <si>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</si>
  <si>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</si>
  <si>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</si>
  <si>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</si>
  <si>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</si>
  <si>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</si>
  <si>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</si>
  <si>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</si>
  <si>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</si>
  <si>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</si>
  <si>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</si>
  <si>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</si>
  <si>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</si>
  <si>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</si>
  <si>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</si>
  <si>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</si>
  <si>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</si>
  <si>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</si>
  <si>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</si>
  <si>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</si>
  <si>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</si>
  <si>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</si>
  <si>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</si>
  <si>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</si>
  <si>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</si>
  <si>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</si>
  <si>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</si>
  <si>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</si>
  <si>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</si>
  <si>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</si>
  <si>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</si>
  <si>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</si>
  <si>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</si>
  <si>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</si>
  <si>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</si>
  <si>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</si>
  <si>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</si>
  <si>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</si>
  <si>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</si>
  <si>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</si>
  <si>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</si>
  <si>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</si>
  <si>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</si>
  <si>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</si>
  <si>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</si>
  <si>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</si>
  <si>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</si>
  <si>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</si>
  <si>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</si>
  <si>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</si>
  <si>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</si>
  <si>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</si>
  <si>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</si>
  <si>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</si>
  <si>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</si>
  <si>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</si>
  <si>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</si>
  <si>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</si>
  <si>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</si>
  <si>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</si>
  <si>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</si>
  <si>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</si>
  <si>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</si>
  <si>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</si>
  <si>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</si>
  <si>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</si>
  <si>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</si>
  <si>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</si>
  <si>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</si>
  <si>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</si>
  <si>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</si>
  <si>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</si>
  <si>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</si>
  <si>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</si>
  <si>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</si>
  <si>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</si>
  <si>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</si>
  <si>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</si>
  <si>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</si>
  <si>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</si>
  <si>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</si>
  <si>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</si>
  <si>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</si>
  <si>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</si>
  <si>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</si>
  <si>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</si>
  <si>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</si>
  <si>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</si>
  <si>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</si>
  <si>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</si>
  <si>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</si>
  <si>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</si>
  <si>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</si>
  <si>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</si>
  <si>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</si>
  <si>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</si>
  <si>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</si>
  <si>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</si>
  <si>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</si>
  <si>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</si>
  <si>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</si>
  <si>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</si>
  <si>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</si>
  <si>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</si>
  <si>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</si>
  <si>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</si>
  <si>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</si>
  <si>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</si>
  <si>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</si>
  <si>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</si>
  <si>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</si>
  <si>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</si>
  <si>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</si>
  <si>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</si>
  <si>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</si>
  <si>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</si>
  <si>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</si>
  <si>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</si>
  <si>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</si>
  <si>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</si>
  <si>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</si>
  <si>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</si>
  <si>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</si>
  <si>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</si>
  <si>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</si>
  <si>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</si>
  <si>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</si>
  <si>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</si>
  <si>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</si>
  <si>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</si>
  <si>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</si>
  <si>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</si>
  <si>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</si>
  <si>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</si>
  <si>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</si>
  <si>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</si>
  <si>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</si>
  <si>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</si>
  <si>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</si>
  <si>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</si>
  <si>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</si>
  <si>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</si>
  <si>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</si>
  <si>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</si>
  <si>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</si>
  <si>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</si>
  <si>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</si>
  <si>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</si>
  <si>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</si>
  <si>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</si>
  <si>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</si>
  <si>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</si>
  <si>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</si>
  <si>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</si>
  <si>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</si>
  <si>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</si>
  <si>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</si>
  <si>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</si>
  <si>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</si>
  <si>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</si>
  <si>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</si>
  <si>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</si>
  <si>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</si>
  <si>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</si>
  <si>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</si>
  <si>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</si>
  <si>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</si>
  <si>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</si>
  <si>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</si>
  <si>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</si>
  <si>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</si>
  <si>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</si>
  <si>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</si>
  <si>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</si>
  <si>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</si>
  <si>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</si>
  <si>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</si>
  <si>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</si>
  <si>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</si>
  <si>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</si>
  <si>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</si>
  <si>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</si>
  <si>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</si>
  <si>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</si>
  <si>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</si>
  <si>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</si>
  <si>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</si>
  <si>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</si>
  <si>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</si>
  <si>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</si>
  <si>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</si>
  <si>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</si>
  <si>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</si>
  <si>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</si>
  <si>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</si>
  <si>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</si>
  <si>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</si>
  <si>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</si>
  <si>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</si>
  <si>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</si>
  <si>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</si>
  <si>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</si>
  <si>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</si>
  <si>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</si>
  <si>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</si>
  <si>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</si>
  <si>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</si>
  <si>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</si>
  <si>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</si>
  <si>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</si>
  <si>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</si>
  <si>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</si>
  <si>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</si>
  <si>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</si>
  <si>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</si>
  <si>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</si>
  <si>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</si>
  <si>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</si>
  <si>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</si>
  <si>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</si>
  <si>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</si>
  <si>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</si>
  <si>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</si>
  <si>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</si>
  <si>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</si>
  <si>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</si>
  <si>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</si>
  <si>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</si>
  <si>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</si>
  <si>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</si>
  <si>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</si>
  <si>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</si>
  <si>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</si>
  <si>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</si>
  <si>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</si>
  <si>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</si>
  <si>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</si>
  <si>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</si>
  <si>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</si>
  <si>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</si>
  <si>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</si>
  <si>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</si>
  <si>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</si>
  <si>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</si>
  <si>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</si>
  <si>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</si>
  <si>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</si>
  <si>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</si>
  <si>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</si>
  <si>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</si>
  <si>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</si>
  <si>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</si>
  <si>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</si>
  <si>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</si>
  <si>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</si>
  <si>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</si>
  <si>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</si>
  <si>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</si>
  <si>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</si>
  <si>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</si>
  <si>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</si>
  <si>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</si>
  <si>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</si>
  <si>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</si>
  <si>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</si>
  <si>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</si>
  <si>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</si>
  <si>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</si>
  <si>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</si>
  <si>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</si>
  <si>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</si>
  <si>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</si>
  <si>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</si>
  <si>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</si>
  <si>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</si>
  <si>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</si>
  <si>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</si>
  <si>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</si>
  <si>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</si>
  <si>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</si>
  <si>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</si>
  <si>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</si>
  <si>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</si>
  <si>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</si>
  <si>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</si>
  <si>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</si>
  <si>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</si>
  <si>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</si>
  <si>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</si>
  <si>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</si>
  <si>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</si>
  <si>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</si>
  <si>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</si>
  <si>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</si>
  <si>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</si>
  <si>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</si>
  <si>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</si>
  <si>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</si>
  <si>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</si>
  <si>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</si>
  <si>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</si>
  <si>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</si>
  <si>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</si>
  <si>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</si>
  <si>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</si>
  <si>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</si>
  <si>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</si>
  <si>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</si>
  <si>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</si>
  <si>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</si>
  <si>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</si>
  <si>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</si>
  <si>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</si>
  <si>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</si>
  <si>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</si>
  <si>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</si>
  <si>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</si>
  <si>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</si>
  <si>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</si>
  <si>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</si>
  <si>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</si>
  <si>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</si>
  <si>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</si>
  <si>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</si>
  <si>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</si>
  <si>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</si>
  <si>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</si>
  <si>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</si>
  <si>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</si>
  <si>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</si>
  <si>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</si>
  <si>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</si>
  <si>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</si>
  <si>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</si>
  <si>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</si>
  <si>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</si>
  <si>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</si>
  <si>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</si>
  <si>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</si>
  <si>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</si>
  <si>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</si>
  <si>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</si>
  <si>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</si>
  <si>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</si>
  <si>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</si>
  <si>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</si>
  <si>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</si>
  <si>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</si>
  <si>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</si>
  <si>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</si>
  <si>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</si>
  <si>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</si>
  <si>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</si>
  <si>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</si>
  <si>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</si>
  <si>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</si>
  <si>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</si>
  <si>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</si>
  <si>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</si>
  <si>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</si>
  <si>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</si>
  <si>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</si>
  <si>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</si>
  <si>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</si>
  <si>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</si>
  <si>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</si>
  <si>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</si>
  <si>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</si>
  <si>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</si>
  <si>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</si>
  <si>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</si>
  <si>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</si>
  <si>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</si>
  <si>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</si>
  <si>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</si>
  <si>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</si>
  <si>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</si>
  <si>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</si>
  <si>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</si>
  <si>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</si>
  <si>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</si>
  <si>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</si>
  <si>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</si>
  <si>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</si>
  <si>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</si>
  <si>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</si>
  <si>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</si>
  <si>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</si>
  <si>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</si>
  <si>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</si>
  <si>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</si>
  <si>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</si>
  <si>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</si>
  <si>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</si>
  <si>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</si>
  <si>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</si>
  <si>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</si>
  <si>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</si>
  <si>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</si>
  <si>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</si>
  <si>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</si>
  <si>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</si>
  <si>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</si>
  <si>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</si>
  <si>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</si>
  <si>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</si>
  <si>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</si>
  <si>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</si>
  <si>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</si>
  <si>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</si>
  <si>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</si>
  <si>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</si>
  <si>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</si>
  <si>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</si>
  <si>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</si>
  <si>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</si>
  <si>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</si>
  <si>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</si>
  <si>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</si>
  <si>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</si>
  <si>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</si>
  <si>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</si>
  <si>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</si>
  <si>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</si>
  <si>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</si>
  <si>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</si>
  <si>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</si>
  <si>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</si>
  <si>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</si>
  <si>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</si>
  <si>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</si>
  <si>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</si>
  <si>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</si>
  <si>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</si>
  <si>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</si>
  <si>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</si>
  <si>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</si>
  <si>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</si>
  <si>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</si>
  <si>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</si>
  <si>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</si>
  <si>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</si>
  <si>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</si>
  <si>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</si>
  <si>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</si>
  <si>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</si>
  <si>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</si>
  <si>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</si>
  <si>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</si>
  <si>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</si>
  <si>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</si>
  <si>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</si>
  <si>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</si>
  <si>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</si>
  <si>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</si>
  <si>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</si>
  <si>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</si>
  <si>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</si>
  <si>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</si>
  <si>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</si>
  <si>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</si>
  <si>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</si>
  <si>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</si>
  <si>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</si>
  <si>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</si>
  <si>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</si>
  <si>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</si>
  <si>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</si>
  <si>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</si>
  <si>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</si>
  <si>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</si>
  <si>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</si>
  <si>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</si>
  <si>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</si>
  <si>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</si>
  <si>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</si>
  <si>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</si>
  <si>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</si>
  <si>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</si>
  <si>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</si>
  <si>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</si>
  <si>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</si>
  <si>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</si>
  <si>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</si>
  <si>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</si>
  <si>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</si>
  <si>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</si>
  <si>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</si>
  <si>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</si>
  <si>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</si>
  <si>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</si>
  <si>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</si>
  <si>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</si>
  <si>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</si>
  <si>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</si>
  <si>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</si>
  <si>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</si>
  <si>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</si>
  <si>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</si>
  <si>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</si>
  <si>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</si>
  <si>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</si>
  <si>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</si>
  <si>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</si>
  <si>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</si>
  <si>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</si>
  <si>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</si>
  <si>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</si>
  <si>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</si>
  <si>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</si>
  <si>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</si>
  <si>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</si>
  <si>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</si>
  <si>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</si>
  <si>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</si>
  <si>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</si>
  <si>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</si>
  <si>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</si>
  <si>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</si>
  <si>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</si>
  <si>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</si>
  <si>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</si>
  <si>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</si>
  <si>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</si>
  <si>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</si>
  <si>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</si>
  <si>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</si>
  <si>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</si>
  <si>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</si>
  <si>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</si>
  <si>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</si>
  <si>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</si>
  <si>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</si>
  <si>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</si>
  <si>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</si>
  <si>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</si>
  <si>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</si>
  <si>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</si>
  <si>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</si>
  <si>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</si>
  <si>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</si>
  <si>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</si>
  <si>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</si>
  <si>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</si>
  <si>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</si>
  <si>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</si>
  <si>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</si>
  <si>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</si>
  <si>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</si>
  <si>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</si>
  <si>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</si>
  <si>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</si>
  <si>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</si>
  <si>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</si>
  <si>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</si>
  <si>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</si>
  <si>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</si>
  <si>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</si>
  <si>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</si>
  <si>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</si>
  <si>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</si>
  <si>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</si>
  <si>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</si>
  <si>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</si>
  <si>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</si>
  <si>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</si>
  <si>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</si>
  <si>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</si>
  <si>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</si>
  <si>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</si>
  <si>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</si>
  <si>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</si>
  <si>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</si>
  <si>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</si>
  <si>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</si>
  <si>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</si>
  <si>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</si>
  <si>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</si>
  <si>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</si>
  <si>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</si>
  <si>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</si>
  <si>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</si>
  <si>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</si>
  <si>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</si>
  <si>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</si>
  <si>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</si>
  <si>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</si>
  <si>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</si>
  <si>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</si>
  <si>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</si>
  <si>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</si>
  <si>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</si>
  <si>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</si>
  <si>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</si>
  <si>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</si>
  <si>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</si>
  <si>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</si>
  <si>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</si>
  <si>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</si>
  <si>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</si>
  <si>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</si>
  <si>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</si>
  <si>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</si>
  <si>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</si>
  <si>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</si>
  <si>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</si>
  <si>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</si>
  <si>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</si>
  <si>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</si>
  <si>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</si>
  <si>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</si>
  <si>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</si>
  <si>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</si>
  <si>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</si>
  <si>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</si>
  <si>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</si>
  <si>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</si>
  <si>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</si>
  <si>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</si>
  <si>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</si>
  <si>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</si>
  <si>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</si>
  <si>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</si>
  <si>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</si>
  <si>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</si>
  <si>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</si>
  <si>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</si>
  <si>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</si>
  <si>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</si>
  <si>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</si>
  <si>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</si>
  <si>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</si>
  <si>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</si>
  <si>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</si>
  <si>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</si>
  <si>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</si>
  <si>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</si>
  <si>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</si>
  <si>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</si>
  <si>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</si>
  <si>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</si>
  <si>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</si>
  <si>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</si>
  <si>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</si>
  <si>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</si>
  <si>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</si>
  <si>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</si>
  <si>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</si>
  <si>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</si>
  <si>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</si>
  <si>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</si>
  <si>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</si>
  <si>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</si>
  <si>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</si>
  <si>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</si>
  <si>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</si>
  <si>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</si>
  <si>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</si>
  <si>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</si>
  <si>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</si>
  <si>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</si>
  <si>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</si>
  <si>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</si>
  <si>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</si>
  <si>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</si>
  <si>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</si>
  <si>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</si>
  <si>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</si>
  <si>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</si>
  <si>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</si>
  <si>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</si>
  <si>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</si>
  <si>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</si>
  <si>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</si>
  <si>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</si>
  <si>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</si>
  <si>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</si>
  <si>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</si>
  <si>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</si>
  <si>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</si>
  <si>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</si>
  <si>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</si>
  <si>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</si>
  <si>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</si>
  <si>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</si>
  <si>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</si>
  <si>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</si>
  <si>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</si>
  <si>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</si>
  <si>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</si>
  <si>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</si>
  <si>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</si>
  <si>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</si>
  <si>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</si>
  <si>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</si>
  <si>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</si>
  <si>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</si>
  <si>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</si>
  <si>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</si>
  <si>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</si>
  <si>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</si>
  <si>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</si>
  <si>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</si>
  <si>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</si>
  <si>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</si>
  <si>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</si>
  <si>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</si>
  <si>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</si>
  <si>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</si>
  <si>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</si>
  <si>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</si>
  <si>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</si>
  <si>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</si>
  <si>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</si>
  <si>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</si>
  <si>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</si>
  <si>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</si>
  <si>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</si>
  <si>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</si>
  <si>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</si>
  <si>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</si>
  <si>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</si>
  <si>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</si>
  <si>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</si>
  <si>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</si>
  <si>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</si>
  <si>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</si>
  <si>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</si>
  <si>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</si>
  <si>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</si>
  <si>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</si>
  <si>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</si>
  <si>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</si>
  <si>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</si>
  <si>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</si>
  <si>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</si>
  <si>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</si>
  <si>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</si>
  <si>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</si>
  <si>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</si>
  <si>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</si>
  <si>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</si>
  <si>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</si>
  <si>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</si>
  <si>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</si>
  <si>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</si>
  <si>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</si>
  <si>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</si>
  <si>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</si>
  <si>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</si>
  <si>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</si>
  <si>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</si>
  <si>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</si>
  <si>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</si>
  <si>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</si>
  <si>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</si>
  <si>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</si>
  <si>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</si>
  <si>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</si>
  <si>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</si>
  <si>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</si>
  <si>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</si>
  <si>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</si>
  <si>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</si>
  <si>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</si>
  <si>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</si>
  <si>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</si>
  <si>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</si>
  <si>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</si>
  <si>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</si>
  <si>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</si>
  <si>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</si>
  <si>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</si>
  <si>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</si>
  <si>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</si>
  <si>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</si>
  <si>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</si>
  <si>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</si>
  <si>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</si>
  <si>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</si>
  <si>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</si>
  <si>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</si>
  <si>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</si>
  <si>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</si>
  <si>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</si>
  <si>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</si>
  <si>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</si>
  <si>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</si>
  <si>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</si>
  <si>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</si>
  <si>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</si>
  <si>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</si>
  <si>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</si>
  <si>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</si>
  <si>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</si>
  <si>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</si>
  <si>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</si>
  <si>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</si>
  <si>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</si>
  <si>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</si>
  <si>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</si>
  <si>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</si>
  <si>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</si>
  <si>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</si>
  <si>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</si>
  <si>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</si>
  <si>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</si>
  <si>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</si>
  <si>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</si>
  <si>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</si>
  <si>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</si>
  <si>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</si>
  <si>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</si>
  <si>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</si>
  <si>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</si>
  <si>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</si>
  <si>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</si>
  <si>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</si>
  <si>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</si>
  <si>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</si>
  <si>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</si>
  <si>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</si>
  <si>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</si>
  <si>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</si>
  <si>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</si>
  <si>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</si>
  <si>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</si>
  <si>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</si>
  <si>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</si>
  <si>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</si>
  <si>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</si>
  <si>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</si>
  <si>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</si>
  <si>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</si>
  <si>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</si>
  <si>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</si>
  <si>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</si>
  <si>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</si>
  <si>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</si>
  <si>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</si>
  <si>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</si>
  <si>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</si>
  <si>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</si>
  <si>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</si>
  <si>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</si>
  <si>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</si>
  <si>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</si>
  <si>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</si>
  <si>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</si>
  <si>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</si>
  <si>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</si>
  <si>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</si>
  <si>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</si>
  <si>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</si>
  <si>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</si>
  <si>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</si>
  <si>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</si>
  <si>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</si>
  <si>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</si>
  <si>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</si>
  <si>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</si>
  <si>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</si>
  <si>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</si>
  <si>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</si>
  <si>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</si>
  <si>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</si>
  <si>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</si>
  <si>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</si>
  <si>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</si>
  <si>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</si>
  <si>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</si>
  <si>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</si>
  <si>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</si>
  <si>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</si>
  <si>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</si>
  <si>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</si>
  <si>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</si>
  <si>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</si>
  <si>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</si>
  <si>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</si>
  <si>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</si>
  <si>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</si>
  <si>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</si>
  <si>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</si>
  <si>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</si>
  <si>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</si>
  <si>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</si>
  <si>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</si>
  <si>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</si>
  <si>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</si>
  <si>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</si>
  <si>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</si>
  <si>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</si>
  <si>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</si>
  <si>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</si>
  <si>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Kemper CPA Group, LLP</t>
  </si>
  <si>
    <t>Tami Knight, CPA</t>
  </si>
  <si>
    <t>80 Broadway Ave, Ste #102</t>
  </si>
  <si>
    <t>Mattoon</t>
  </si>
  <si>
    <t>IL</t>
  </si>
  <si>
    <t>217-234-8801</t>
  </si>
  <si>
    <t>66-003998</t>
  </si>
  <si>
    <t>tknight@kempercpa.com</t>
  </si>
  <si>
    <t>Todd Vilardo</t>
  </si>
  <si>
    <t>Coles</t>
  </si>
  <si>
    <t>410 West Polk Avenue</t>
  </si>
  <si>
    <t>Charleston</t>
  </si>
  <si>
    <t>burgettc@charleston.k12.il.us</t>
  </si>
  <si>
    <t>vilardot@charleston.k12.il.us</t>
  </si>
  <si>
    <t>217-639-1000</t>
  </si>
  <si>
    <t>217-639-1005</t>
  </si>
  <si>
    <t>11-015-0010-26</t>
  </si>
  <si>
    <t>Commodity Supplemental Food Program</t>
  </si>
  <si>
    <t>Dept of Defense Fresh Fruits and Vegetables</t>
  </si>
  <si>
    <t>Title I - School Improvement &amp; Accountability</t>
  </si>
  <si>
    <t>Title IVA Student Support &amp; Academic</t>
  </si>
  <si>
    <t>Medicaid Matching Fund</t>
  </si>
  <si>
    <t>Special Ed - IDEA Flowthrough</t>
  </si>
  <si>
    <t>2019-4210</t>
  </si>
  <si>
    <t>2018-4210</t>
  </si>
  <si>
    <t>2019-4220</t>
  </si>
  <si>
    <t>2018-4220</t>
  </si>
  <si>
    <t>N/A</t>
  </si>
  <si>
    <t>2019-4300</t>
  </si>
  <si>
    <t>2018-4300</t>
  </si>
  <si>
    <t>2019-4331</t>
  </si>
  <si>
    <t>2019-4932</t>
  </si>
  <si>
    <t>2018-4932</t>
  </si>
  <si>
    <t>2019-4400</t>
  </si>
  <si>
    <t>2018-4400</t>
  </si>
  <si>
    <t>2019-4900</t>
  </si>
  <si>
    <t>2018-4625</t>
  </si>
  <si>
    <t>Illinois Central School Bus, LLC</t>
  </si>
  <si>
    <t>40-2550-300</t>
  </si>
  <si>
    <t>TR-Support Services-Pupil Transportation</t>
  </si>
  <si>
    <t>Eastern Illinois Area of Special Education</t>
  </si>
  <si>
    <t>2019-4625</t>
  </si>
  <si>
    <t>Unmodified</t>
  </si>
  <si>
    <t>National School Lunch</t>
  </si>
  <si>
    <t>School Breakfast</t>
  </si>
  <si>
    <t>Commodities</t>
  </si>
  <si>
    <t>The District is required to maintain a system of controls over the preparation of financial statements. The District's internal controls over financial reporting should include personnel with the knowledge and expertise to prepare and/or thoroughly review financial statements to ensure that they include all disclosures as required by the Governmental Accounting Standards Board (GASB).</t>
  </si>
  <si>
    <t>The District does not currently employ an individual with the necessary knowledge and expertise to draft the footnotes to the financial statements.</t>
  </si>
  <si>
    <t>In the absence of the necessary knowledge and expertise, the District must rely on the auditors to ensure the notes to the financial statements are properly presented.</t>
  </si>
  <si>
    <t>The District cannot prepare the notes to the financial statements.</t>
  </si>
  <si>
    <t>The District personnel have not obtained the necessary knowledge or expertise.</t>
  </si>
  <si>
    <t>The District should provide the necessary training to the personnel or contract with an independent contractor with the knowledge to properly prepare the notes to the financial statements.</t>
  </si>
  <si>
    <t>The District accepts the degree of risk associated with this condition because the additional expense to seek outside accounting expertise to prepare and/or review the notes to the financial statements would take away from the funds available to provide educational services for the students in the District. The District will review, approve, and accept the responsibility for the audit adjustments, financial statements, and related notes provided by the auditors.</t>
  </si>
  <si>
    <t>Revenue received should be posted to the proper fund and revenue account. Expenditures disbursed should be posted to the proper fund, expenditure account, and expenditure-object account. Activity should be posted in accordance with the Illinois Administrative Code, Title 23 Part 100.</t>
  </si>
  <si>
    <t xml:space="preserve">Various revenue receipts were posted to the incorrect fund or to the incorrect revenue accounts. </t>
  </si>
  <si>
    <t xml:space="preserve">The incorrect posting of revenue receipts affected personal property replacement taxes, receipts from local sources, and receipts from state and federal sources. </t>
  </si>
  <si>
    <t>Inaccurate financial information reported to management, the Board, and granting agencies. Known errors were corrected but misclassifications may exist that were not identified.</t>
  </si>
  <si>
    <t>The District personnel assigning the fund number, revenue or expenditure account, and the expenditure object account did not have the proper knowledge of the Illinois Administrative Code related to classification of activity. The review of the assigned fund and accounts was also not done by personnel with a proper understanding of the code.</t>
  </si>
  <si>
    <t>District personnel that assign activity to a fund, account, and expenditure object account should be informed about all requirements in the Illinois Administrative Code and be properly trained. Personnel with a proper understanding of the requirements should review the assigned fund and accounts.</t>
  </si>
  <si>
    <t>National School Lunch &amp; School Breakfast (Child Nutrition Cluster) 2019</t>
  </si>
  <si>
    <t>10.553 &amp; 10.555</t>
  </si>
  <si>
    <t>Illinois State Board of Education</t>
  </si>
  <si>
    <t>U.S. Department of Agriculture</t>
  </si>
  <si>
    <t xml:space="preserve">Grant compliance requires the District to verify a number of free/reduced lunch applicants' income each year and retain documentation for 3 years. </t>
  </si>
  <si>
    <t>Recipients of free/reduced meals may not be eligible for these benefits according to ISBE guidelines.</t>
  </si>
  <si>
    <t>The District was required to verify income with 5 applicants as determined by the ISBE Verification Summary and only completed 4.</t>
  </si>
  <si>
    <t>The District should review ISBE guidelines for income verification procedures and documentation retention requirements.</t>
  </si>
  <si>
    <t>2018-001</t>
  </si>
  <si>
    <t>2018-002</t>
  </si>
  <si>
    <t>2018-003</t>
  </si>
  <si>
    <t>Repeat as Finding 2019-001</t>
  </si>
  <si>
    <t>Repeat as Finding 2019-002</t>
  </si>
  <si>
    <t>2018-004</t>
  </si>
  <si>
    <t>2018-005</t>
  </si>
  <si>
    <t>Inability to Prepare Financial Statements and Footnotes</t>
  </si>
  <si>
    <t>Improper Classification of Fund Activity</t>
  </si>
  <si>
    <t>Expenditures Recorded in Incorrect Fiscal Year</t>
  </si>
  <si>
    <t>Interfund Loan not Repaid</t>
  </si>
  <si>
    <t>Expenditures Exceeded Budget</t>
  </si>
  <si>
    <t>Corrective Action Plan</t>
  </si>
  <si>
    <t>Finding No</t>
  </si>
  <si>
    <t>001</t>
  </si>
  <si>
    <t>Condition:</t>
  </si>
  <si>
    <t>Plan:</t>
  </si>
  <si>
    <t>Anticipated Date of Completion:</t>
  </si>
  <si>
    <t>Name of Contact Person:</t>
  </si>
  <si>
    <t>Management Response:</t>
  </si>
  <si>
    <t>CHARLESTON COMMUNITY UNIT SCHOOL DISTRICT #1</t>
  </si>
  <si>
    <t>CORRECTIVE ACTION PLAN FOR CURRENT YEAR AUDIT FINDINGS</t>
  </si>
  <si>
    <t>No action will be taken on this finding.</t>
  </si>
  <si>
    <t>Not Applicable.</t>
  </si>
  <si>
    <t>The District accepts the degree of risk assocaited with this condition because the additional expense to seek outside accounting expertise to prepare and/or review the notes to the financial statements would take away from the funds available to provide educational services for the students of the District. The District will review, approve, and accept responsibility for the audit adjustments, statements, and related notes provided by the auditors.</t>
  </si>
  <si>
    <t>002</t>
  </si>
  <si>
    <t>Various revenue receipts were posted to the incorrect fund or to the incorrect revenue account.</t>
  </si>
  <si>
    <t>The District will study and evaluate its internal control processes.</t>
  </si>
  <si>
    <t>Continuous</t>
  </si>
  <si>
    <t>003</t>
  </si>
  <si>
    <t>The District did not perform verification procedures with the determined amount of applicants as required by ISBE.</t>
  </si>
  <si>
    <t>The District will review ISBE guidelines and retain all documentation related to applicant income verification procedures.</t>
  </si>
  <si>
    <t>Page 11, line 107 - Education Fund - Restitution $500, Subpeona Fees $48, Reading Recovery $800</t>
  </si>
  <si>
    <t>Page 11, line 107 - Operations and Maintenance Fund - Use of Facilities $425, Rents $160, Custodial Services $31,471</t>
  </si>
  <si>
    <t xml:space="preserve">#23 - The District has prepared these financial statements using accounting practices prescribed or permitted by the Illinois State Board of Education, which practices differ from accounting principles generally accepted in the United States of America. Also, the District prepares its financial statements on the modified cash basis of accounting, which is a comprehensive basis of accounting other than accounting principles generally accepted in the United States of America. The report was also qualified due to the omission of the disclosures regarding postemployment health insurance benefits required by the financial reporting provisions of the ISBE.                                                                                                                                                                                                 </t>
  </si>
  <si>
    <t>Corrected</t>
  </si>
  <si>
    <t>Chad Burgett, Assistant Superintendent for Business</t>
  </si>
  <si>
    <t>Illinois Central School Bus</t>
  </si>
  <si>
    <t>217-234-8803</t>
  </si>
  <si>
    <t>PDF in Independent Auditor's Report</t>
  </si>
  <si>
    <t>Chad Burgett</t>
  </si>
  <si>
    <t>The District agrees with the corrective action plan and will evaluate internal controls proccesses.</t>
  </si>
  <si>
    <t>The District agrees with the corrective action plan.</t>
  </si>
  <si>
    <t xml:space="preserve">The District will review ISBE guidelines and retain the documentation related to ISBE verification procedures for the required duration of time. </t>
  </si>
  <si>
    <t>The District agrees with this finding.</t>
  </si>
  <si>
    <t>Total Nutrition Cluster</t>
  </si>
  <si>
    <t>Total Department of Agriculture</t>
  </si>
  <si>
    <t>Total Department of Education</t>
  </si>
  <si>
    <t>Total Department of Defense</t>
  </si>
  <si>
    <t>Total Department of Health and Family Servicces</t>
  </si>
  <si>
    <t>84.010A</t>
  </si>
  <si>
    <t>84.377A</t>
  </si>
  <si>
    <t>84.367A</t>
  </si>
  <si>
    <t>84.358B</t>
  </si>
  <si>
    <t>Total Federal Assistance</t>
  </si>
  <si>
    <t>Charleston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</si>
</sst>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u/>
      <sz val="10"/>
      <name val="Times New Roman"/>
      <family val="1"/>
    </font>
    <font>
      <b/>
      <sz val="10"/>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53" fillId="0" borderId="0" xfId="3" applyFont="1" applyAlignment="1" applyProtection="1">
      <alignment horizontal="center" vertical="center"/>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0" fontId="138" fillId="0" borderId="0" xfId="0" applyFont="1"/>
    <xf numFmtId="0" fontId="44" fillId="0" borderId="0" xfId="0" applyFont="1"/>
    <xf numFmtId="0" fontId="139" fillId="0" borderId="0" xfId="0" applyFont="1" applyAlignment="1">
      <alignment horizontal="right"/>
    </xf>
    <xf numFmtId="49" fontId="139" fillId="0" borderId="78" xfId="0" applyNumberFormat="1" applyFont="1" applyBorder="1" applyAlignment="1">
      <alignment horizontal="center"/>
    </xf>
    <xf numFmtId="3" fontId="61" fillId="0" borderId="8"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3" fontId="61" fillId="0" borderId="77" xfId="3" applyNumberFormat="1" applyFont="1" applyBorder="1" applyAlignment="1" applyProtection="1">
      <alignment horizontal="left" vertical="center" wrapText="1"/>
      <protection locked="0"/>
    </xf>
    <xf numFmtId="1" fontId="61" fillId="0" borderId="77" xfId="3" applyNumberFormat="1" applyFont="1" applyBorder="1" applyAlignment="1" applyProtection="1">
      <alignment horizontal="center"/>
      <protection locked="0"/>
    </xf>
    <xf numFmtId="3" fontId="61" fillId="0" borderId="77" xfId="3" applyNumberFormat="1" applyFont="1" applyBorder="1" applyAlignment="1" applyProtection="1">
      <alignment horizont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0" fontId="139" fillId="0" borderId="0" xfId="0" applyNumberFormat="1" applyFont="1" applyAlignment="1">
      <alignment horizontal="center"/>
    </xf>
    <xf numFmtId="0" fontId="44" fillId="0" borderId="0" xfId="0" applyFont="1" applyAlignment="1">
      <alignment horizontal="left" wrapText="1"/>
    </xf>
    <xf numFmtId="0" fontId="139" fillId="0" borderId="0" xfId="0" applyFont="1" applyAlignment="1">
      <alignment horizontal="center"/>
    </xf>
    <xf numFmtId="0" fontId="44" fillId="0" borderId="0" xfId="0" applyFont="1" applyAlignment="1">
      <alignment horizontal="left" vertical="top"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346364</xdr:colOff>
          <xdr:row>2</xdr:row>
          <xdr:rowOff>155864</xdr:rowOff>
        </xdr:from>
        <xdr:to>
          <xdr:col>1</xdr:col>
          <xdr:colOff>1257300</xdr:colOff>
          <xdr:row>7</xdr:row>
          <xdr:rowOff>107372</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E6AB5B20-EBC5-4173-88DC-5FC1C2347D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1480705</xdr:colOff>
          <xdr:row>2</xdr:row>
          <xdr:rowOff>155865</xdr:rowOff>
        </xdr:from>
        <xdr:to>
          <xdr:col>1</xdr:col>
          <xdr:colOff>2391641</xdr:colOff>
          <xdr:row>7</xdr:row>
          <xdr:rowOff>107373</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64DC40BA-5973-4515-B9D4-E56406886F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2632364</xdr:colOff>
          <xdr:row>3</xdr:row>
          <xdr:rowOff>0</xdr:rowOff>
        </xdr:from>
        <xdr:to>
          <xdr:col>1</xdr:col>
          <xdr:colOff>3543300</xdr:colOff>
          <xdr:row>7</xdr:row>
          <xdr:rowOff>123825</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3064D896-F8F3-458C-9E86-3D703F8FB83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95" t="s">
        <v>405</v>
      </c>
      <c r="J1" s="1996"/>
      <c r="K1" s="1996"/>
      <c r="L1" s="1996"/>
      <c r="M1" s="1996"/>
      <c r="N1" s="1996"/>
      <c r="O1" s="1996"/>
      <c r="P1" s="1996"/>
      <c r="Q1" s="1996"/>
      <c r="R1" s="1996"/>
      <c r="S1" s="1996"/>
    </row>
    <row r="2" spans="1:28" ht="12" customHeight="1" x14ac:dyDescent="0.2">
      <c r="A2" s="47" t="s">
        <v>1991</v>
      </c>
      <c r="D2" s="48"/>
      <c r="I2" s="1997" t="s">
        <v>979</v>
      </c>
      <c r="J2" s="1996"/>
      <c r="K2" s="1996"/>
      <c r="L2" s="1996"/>
      <c r="M2" s="1996"/>
      <c r="N2" s="1996"/>
      <c r="O2" s="1996"/>
      <c r="P2" s="1996"/>
      <c r="Q2" s="1996"/>
      <c r="R2" s="1996"/>
      <c r="S2" s="1996"/>
    </row>
    <row r="3" spans="1:28" ht="12" customHeight="1" x14ac:dyDescent="0.2">
      <c r="A3" s="155" t="s">
        <v>1943</v>
      </c>
      <c r="B3" s="156"/>
      <c r="C3" s="156"/>
      <c r="D3" s="157"/>
      <c r="I3" s="1997" t="s">
        <v>52</v>
      </c>
      <c r="J3" s="1996"/>
      <c r="K3" s="1996"/>
      <c r="L3" s="1996"/>
      <c r="M3" s="1996"/>
      <c r="N3" s="1996"/>
      <c r="O3" s="1996"/>
      <c r="P3" s="1996"/>
      <c r="Q3" s="1996"/>
      <c r="R3" s="1996"/>
      <c r="S3" s="1996"/>
    </row>
    <row r="4" spans="1:28" ht="12" customHeight="1" x14ac:dyDescent="0.2">
      <c r="A4" s="37"/>
      <c r="I4" s="1997" t="s">
        <v>524</v>
      </c>
      <c r="J4" s="1996"/>
      <c r="K4" s="1996"/>
      <c r="L4" s="1996"/>
      <c r="M4" s="1996"/>
      <c r="N4" s="1996"/>
      <c r="O4" s="1996"/>
      <c r="P4" s="1996"/>
      <c r="Q4" s="1996"/>
      <c r="R4" s="1996"/>
      <c r="S4" s="1996"/>
    </row>
    <row r="5" spans="1:28" ht="14.1" customHeight="1" x14ac:dyDescent="0.2">
      <c r="B5" s="104" t="s">
        <v>2065</v>
      </c>
      <c r="C5" s="26" t="s">
        <v>910</v>
      </c>
      <c r="D5" s="84"/>
      <c r="E5" s="84"/>
      <c r="H5" s="38"/>
      <c r="I5" s="2005" t="s">
        <v>680</v>
      </c>
      <c r="J5" s="2004"/>
      <c r="K5" s="2004"/>
      <c r="L5" s="2004"/>
      <c r="M5" s="2004"/>
      <c r="N5" s="2004"/>
      <c r="O5" s="2004"/>
      <c r="P5" s="2004"/>
      <c r="Q5" s="2004"/>
      <c r="R5" s="2004"/>
      <c r="S5" s="2004"/>
    </row>
    <row r="6" spans="1:28" ht="14.1" customHeight="1" x14ac:dyDescent="0.2">
      <c r="B6" s="104"/>
      <c r="C6" s="26" t="s">
        <v>911</v>
      </c>
      <c r="D6" s="84"/>
      <c r="E6" s="84"/>
      <c r="I6" s="2003" t="s">
        <v>883</v>
      </c>
      <c r="J6" s="2004"/>
      <c r="K6" s="2004"/>
      <c r="L6" s="2004"/>
      <c r="M6" s="2004"/>
      <c r="N6" s="2004"/>
      <c r="O6" s="2004"/>
      <c r="P6" s="2004"/>
      <c r="Q6" s="2004"/>
      <c r="R6" s="2004"/>
      <c r="S6" s="2004"/>
    </row>
    <row r="7" spans="1:28" ht="12.2" customHeight="1" x14ac:dyDescent="0.2">
      <c r="I7" s="1998">
        <v>43646</v>
      </c>
      <c r="J7" s="1999"/>
      <c r="K7" s="1999"/>
      <c r="L7" s="1999"/>
      <c r="M7" s="1999"/>
      <c r="N7" s="1999"/>
      <c r="O7" s="1999"/>
      <c r="P7" s="1999"/>
      <c r="Q7" s="1999"/>
      <c r="R7" s="1999"/>
      <c r="S7" s="199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0" t="s">
        <v>674</v>
      </c>
      <c r="J9" s="2001"/>
      <c r="K9" s="2001"/>
      <c r="L9" s="2001"/>
      <c r="M9" s="2001"/>
      <c r="N9" s="2001"/>
      <c r="O9" s="2001"/>
      <c r="P9" s="2001"/>
      <c r="Q9" s="2001"/>
      <c r="R9" s="2001"/>
      <c r="S9" s="2002"/>
      <c r="T9" s="2016" t="s">
        <v>533</v>
      </c>
      <c r="U9" s="2017"/>
      <c r="V9" s="2017"/>
      <c r="W9" s="2017"/>
      <c r="X9" s="2017"/>
      <c r="Y9" s="2017"/>
      <c r="Z9" s="2017"/>
      <c r="AA9" s="2018"/>
    </row>
    <row r="10" spans="1:28" ht="13.5" customHeight="1" x14ac:dyDescent="0.2">
      <c r="A10" s="2023" t="s">
        <v>675</v>
      </c>
      <c r="B10" s="2024"/>
      <c r="C10" s="2024"/>
      <c r="D10" s="2024"/>
      <c r="E10" s="2024"/>
      <c r="F10" s="2024"/>
      <c r="G10" s="2024"/>
      <c r="H10" s="2025"/>
      <c r="I10" s="29"/>
      <c r="J10" s="30"/>
      <c r="K10" s="28"/>
      <c r="R10" s="30"/>
      <c r="S10" s="30"/>
      <c r="T10" s="2019"/>
      <c r="U10" s="2004"/>
      <c r="V10" s="2004"/>
      <c r="W10" s="2004"/>
      <c r="X10" s="2004"/>
      <c r="Y10" s="2004"/>
      <c r="Z10" s="2004"/>
      <c r="AA10" s="2010"/>
    </row>
    <row r="11" spans="1:28" ht="14.25" customHeight="1" x14ac:dyDescent="0.2">
      <c r="A11" s="2026" t="s">
        <v>955</v>
      </c>
      <c r="B11" s="2027"/>
      <c r="C11" s="2027"/>
      <c r="D11" s="2027"/>
      <c r="E11" s="2027"/>
      <c r="F11" s="2027"/>
      <c r="G11" s="2027"/>
      <c r="H11" s="2028"/>
      <c r="I11" s="27"/>
      <c r="J11" s="74"/>
      <c r="K11" s="27"/>
      <c r="O11" s="148" t="s">
        <v>2065</v>
      </c>
      <c r="P11" s="100" t="s">
        <v>201</v>
      </c>
      <c r="Q11" s="30"/>
      <c r="R11" s="28"/>
      <c r="S11" s="27"/>
      <c r="T11" s="2020"/>
      <c r="U11" s="2021"/>
      <c r="V11" s="2021"/>
      <c r="W11" s="2021"/>
      <c r="X11" s="2021"/>
      <c r="Y11" s="2021"/>
      <c r="Z11" s="2021"/>
      <c r="AA11" s="202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30">
        <v>11015001026</v>
      </c>
      <c r="B13" s="2031"/>
      <c r="C13" s="2031"/>
      <c r="D13" s="2031"/>
      <c r="E13" s="2031"/>
      <c r="F13" s="2031"/>
      <c r="G13" s="2031"/>
      <c r="H13" s="2032"/>
      <c r="I13" s="31"/>
      <c r="J13" s="30"/>
      <c r="K13" s="28"/>
      <c r="L13" s="30"/>
      <c r="M13" s="30"/>
      <c r="N13" s="30"/>
      <c r="O13" s="30"/>
      <c r="P13" s="30"/>
      <c r="Q13" s="30"/>
      <c r="R13" s="30"/>
      <c r="S13" s="30"/>
      <c r="T13" s="2035" t="s">
        <v>2066</v>
      </c>
      <c r="U13" s="2036"/>
      <c r="V13" s="2036"/>
      <c r="W13" s="2036"/>
      <c r="X13" s="2036"/>
      <c r="Y13" s="2037"/>
      <c r="Z13" s="2037"/>
      <c r="AA13" s="203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9" t="s">
        <v>2075</v>
      </c>
      <c r="B15" s="2033"/>
      <c r="C15" s="2033"/>
      <c r="D15" s="2033"/>
      <c r="E15" s="2033"/>
      <c r="F15" s="2033"/>
      <c r="G15" s="2033"/>
      <c r="H15" s="2034"/>
      <c r="T15" s="2039" t="s">
        <v>2067</v>
      </c>
      <c r="U15" s="1983"/>
      <c r="V15" s="1983"/>
      <c r="W15" s="1983"/>
      <c r="X15" s="1983"/>
      <c r="Y15" s="2040"/>
      <c r="Z15" s="2040"/>
      <c r="AA15" s="204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9" t="s">
        <v>2188</v>
      </c>
      <c r="B17" s="1990"/>
      <c r="C17" s="1990"/>
      <c r="D17" s="1990"/>
      <c r="E17" s="1990"/>
      <c r="F17" s="1990"/>
      <c r="G17" s="1990"/>
      <c r="H17" s="2015"/>
      <c r="T17" s="2046" t="s">
        <v>2068</v>
      </c>
      <c r="U17" s="2047"/>
      <c r="V17" s="2047"/>
      <c r="W17" s="2047"/>
      <c r="X17" s="2047"/>
      <c r="Y17" s="2047"/>
      <c r="Z17" s="2047"/>
      <c r="AA17" s="2048"/>
    </row>
    <row r="18" spans="1:27" ht="13.5" customHeight="1" x14ac:dyDescent="0.2">
      <c r="A18" s="85" t="s">
        <v>530</v>
      </c>
      <c r="B18" s="76"/>
      <c r="C18" s="72"/>
      <c r="D18" s="76"/>
      <c r="E18" s="76"/>
      <c r="F18" s="76"/>
      <c r="G18" s="76"/>
      <c r="H18" s="56"/>
      <c r="I18" s="2014" t="s">
        <v>676</v>
      </c>
      <c r="J18" s="1965"/>
      <c r="K18" s="1965"/>
      <c r="L18" s="1965"/>
      <c r="M18" s="1965"/>
      <c r="N18" s="1965"/>
      <c r="O18" s="1965"/>
      <c r="P18" s="1965"/>
      <c r="Q18" s="1965"/>
      <c r="R18" s="1965"/>
      <c r="S18" s="1966"/>
      <c r="T18" s="85" t="s">
        <v>711</v>
      </c>
      <c r="U18" s="51"/>
      <c r="V18" s="72"/>
      <c r="W18" s="50"/>
      <c r="X18" s="85" t="s">
        <v>266</v>
      </c>
      <c r="Y18" s="81"/>
      <c r="Z18" s="159" t="s">
        <v>677</v>
      </c>
      <c r="AA18" s="46"/>
    </row>
    <row r="19" spans="1:27" ht="13.5" customHeight="1" x14ac:dyDescent="0.2">
      <c r="A19" s="2029" t="s">
        <v>2076</v>
      </c>
      <c r="B19" s="1975"/>
      <c r="C19" s="1975"/>
      <c r="D19" s="1975"/>
      <c r="E19" s="1975"/>
      <c r="F19" s="1975"/>
      <c r="G19" s="1975"/>
      <c r="H19" s="1955"/>
      <c r="I19" s="30"/>
      <c r="J19" s="99"/>
      <c r="K19" s="40"/>
      <c r="L19" s="38"/>
      <c r="M19" s="112" t="s">
        <v>315</v>
      </c>
      <c r="P19" s="27"/>
      <c r="Q19" s="27"/>
      <c r="R19" s="27"/>
      <c r="S19" s="31"/>
      <c r="T19" s="2029" t="s">
        <v>2069</v>
      </c>
      <c r="U19" s="1954"/>
      <c r="V19" s="1954"/>
      <c r="W19" s="1955"/>
      <c r="X19" s="2044" t="s">
        <v>2070</v>
      </c>
      <c r="Y19" s="2045"/>
      <c r="Z19" s="2042">
        <v>61938</v>
      </c>
      <c r="AA19" s="204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3" t="s">
        <v>2077</v>
      </c>
      <c r="B21" s="1954"/>
      <c r="C21" s="1954"/>
      <c r="D21" s="1954"/>
      <c r="E21" s="1954"/>
      <c r="F21" s="1954"/>
      <c r="G21" s="1954"/>
      <c r="H21" s="1955"/>
      <c r="I21" s="2009" t="s">
        <v>678</v>
      </c>
      <c r="J21" s="2004"/>
      <c r="K21" s="2004"/>
      <c r="L21" s="2004"/>
      <c r="M21" s="2004"/>
      <c r="N21" s="2004"/>
      <c r="O21" s="2004"/>
      <c r="P21" s="2004"/>
      <c r="Q21" s="2004"/>
      <c r="R21" s="2004"/>
      <c r="S21" s="2010"/>
      <c r="T21" s="2053" t="s">
        <v>2071</v>
      </c>
      <c r="U21" s="2054"/>
      <c r="V21" s="2054"/>
      <c r="W21" s="2054"/>
      <c r="X21" s="2059" t="s">
        <v>2171</v>
      </c>
      <c r="Y21" s="2060"/>
      <c r="Z21" s="2060"/>
      <c r="AA21" s="2061"/>
    </row>
    <row r="22" spans="1:27" ht="13.5" customHeight="1" x14ac:dyDescent="0.2">
      <c r="A22" s="87" t="s">
        <v>531</v>
      </c>
      <c r="B22" s="59"/>
      <c r="C22" s="59"/>
      <c r="D22" s="59"/>
      <c r="E22" s="59"/>
      <c r="F22" s="59"/>
      <c r="G22" s="59"/>
      <c r="H22" s="60"/>
      <c r="I22" s="2011" t="s">
        <v>1429</v>
      </c>
      <c r="J22" s="2012"/>
      <c r="K22" s="2012"/>
      <c r="L22" s="2012"/>
      <c r="M22" s="2012"/>
      <c r="N22" s="2012"/>
      <c r="O22" s="2012"/>
      <c r="P22" s="2012"/>
      <c r="Q22" s="2012"/>
      <c r="R22" s="2012"/>
      <c r="S22" s="2013"/>
      <c r="T22" s="85" t="s">
        <v>1516</v>
      </c>
      <c r="U22" s="51"/>
      <c r="V22" s="72"/>
      <c r="W22" s="51"/>
      <c r="X22" s="160" t="s">
        <v>1318</v>
      </c>
      <c r="Z22" s="45"/>
      <c r="AA22" s="46"/>
    </row>
    <row r="23" spans="1:27" ht="13.5" customHeight="1" x14ac:dyDescent="0.2">
      <c r="A23" s="2006" t="s">
        <v>2078</v>
      </c>
      <c r="B23" s="2007"/>
      <c r="C23" s="2007"/>
      <c r="D23" s="2007"/>
      <c r="E23" s="2007"/>
      <c r="F23" s="2007"/>
      <c r="G23" s="2007"/>
      <c r="H23" s="2008"/>
      <c r="T23" s="1989" t="s">
        <v>2072</v>
      </c>
      <c r="U23" s="2052"/>
      <c r="V23" s="2052"/>
      <c r="W23" s="2052"/>
      <c r="X23" s="2056">
        <v>43799</v>
      </c>
      <c r="Y23" s="2057"/>
      <c r="Z23" s="2057"/>
      <c r="AA23" s="2058"/>
    </row>
    <row r="24" spans="1:27" ht="14.1" customHeight="1" x14ac:dyDescent="0.2">
      <c r="A24" s="88" t="s">
        <v>677</v>
      </c>
      <c r="B24" s="49"/>
      <c r="C24" s="49"/>
      <c r="D24" s="49"/>
      <c r="E24" s="49"/>
      <c r="F24" s="49"/>
      <c r="G24" s="49"/>
      <c r="H24" s="61"/>
      <c r="J24" s="1976">
        <f>IF(B5="x",IF(AUDITCHECK!D29="AFR form Incomplete.","",IF(AUDITCHECK!D29="Deficit reduction plan is required.","School District must complete a deficit reduction plan in the 2019-2020 Budget",)),"")</f>
        <v>0</v>
      </c>
      <c r="K24" s="1976"/>
      <c r="L24" s="1976"/>
      <c r="M24" s="1976"/>
      <c r="N24" s="1976"/>
      <c r="O24" s="1976"/>
      <c r="P24" s="1976"/>
      <c r="Q24" s="1976"/>
      <c r="R24" s="1976"/>
      <c r="S24" s="1977"/>
      <c r="T24" s="105" t="s">
        <v>531</v>
      </c>
      <c r="U24" s="106"/>
      <c r="V24" s="106"/>
      <c r="W24" s="106"/>
      <c r="X24" s="107"/>
      <c r="Y24" s="107"/>
      <c r="Z24" s="107"/>
      <c r="AA24" s="108"/>
    </row>
    <row r="25" spans="1:27" ht="14.1" customHeight="1" x14ac:dyDescent="0.2">
      <c r="A25" s="1953">
        <v>61920</v>
      </c>
      <c r="B25" s="1954"/>
      <c r="C25" s="1954"/>
      <c r="D25" s="1954"/>
      <c r="E25" s="1954"/>
      <c r="F25" s="1954"/>
      <c r="G25" s="1954"/>
      <c r="H25" s="1955"/>
      <c r="I25" s="113"/>
      <c r="J25" s="1978"/>
      <c r="K25" s="1978"/>
      <c r="L25" s="1978"/>
      <c r="M25" s="1978"/>
      <c r="N25" s="1978"/>
      <c r="O25" s="1978"/>
      <c r="P25" s="1978"/>
      <c r="Q25" s="1978"/>
      <c r="R25" s="1978"/>
      <c r="S25" s="1979"/>
      <c r="T25" s="2049" t="s">
        <v>2073</v>
      </c>
      <c r="U25" s="2050"/>
      <c r="V25" s="2050"/>
      <c r="W25" s="2050"/>
      <c r="X25" s="2050"/>
      <c r="Y25" s="2050"/>
      <c r="Z25" s="2050"/>
      <c r="AA25" s="205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4" t="s">
        <v>1511</v>
      </c>
      <c r="J27" s="1965"/>
      <c r="K27" s="1965"/>
      <c r="L27" s="1965"/>
      <c r="M27" s="1965"/>
      <c r="N27" s="1965"/>
      <c r="O27" s="1965"/>
      <c r="P27" s="1965"/>
      <c r="Q27" s="1965"/>
      <c r="R27" s="1965"/>
      <c r="S27" s="196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2065</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48" t="s">
        <v>2065</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5"/>
      <c r="Q35" s="1954"/>
      <c r="R35" s="195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9" t="s">
        <v>2074</v>
      </c>
      <c r="B38" s="1990"/>
      <c r="C38" s="1990"/>
      <c r="D38" s="1990"/>
      <c r="E38" s="1990"/>
      <c r="F38" s="1954"/>
      <c r="G38" s="1954"/>
      <c r="H38" s="1955"/>
      <c r="I38" s="1982"/>
      <c r="J38" s="1983"/>
      <c r="K38" s="1983"/>
      <c r="L38" s="1983"/>
      <c r="M38" s="1983"/>
      <c r="N38" s="1983"/>
      <c r="O38" s="1983"/>
      <c r="P38" s="1984"/>
      <c r="Q38" s="1984"/>
      <c r="R38" s="1984"/>
      <c r="S38" s="1985"/>
      <c r="T38" s="2039"/>
      <c r="U38" s="1983"/>
      <c r="V38" s="1983"/>
      <c r="W38" s="1983"/>
      <c r="X38" s="1984"/>
      <c r="Y38" s="1984"/>
      <c r="Z38" s="1984"/>
      <c r="AA38" s="1985"/>
    </row>
    <row r="39" spans="1:27" ht="12" customHeight="1" x14ac:dyDescent="0.2">
      <c r="A39" s="1959" t="s">
        <v>531</v>
      </c>
      <c r="B39" s="1960"/>
      <c r="C39" s="72"/>
      <c r="D39" s="69"/>
      <c r="E39" s="69"/>
      <c r="F39" s="79"/>
      <c r="G39" s="69"/>
      <c r="H39" s="56"/>
      <c r="I39" s="1959" t="s">
        <v>531</v>
      </c>
      <c r="J39" s="1960"/>
      <c r="K39" s="1960"/>
      <c r="L39" s="1960"/>
      <c r="M39" s="1960"/>
      <c r="N39" s="67"/>
      <c r="O39" s="72"/>
      <c r="P39" s="72"/>
      <c r="Q39" s="78"/>
      <c r="R39" s="72"/>
      <c r="S39" s="56"/>
      <c r="T39" s="72" t="s">
        <v>531</v>
      </c>
      <c r="U39" s="51"/>
      <c r="V39" s="72"/>
      <c r="W39" s="50"/>
      <c r="X39" s="78"/>
      <c r="Y39" s="45"/>
      <c r="Z39" s="45"/>
      <c r="AA39" s="46"/>
    </row>
    <row r="40" spans="1:27" ht="13.5" customHeight="1" x14ac:dyDescent="0.2">
      <c r="A40" s="1967" t="s">
        <v>2079</v>
      </c>
      <c r="B40" s="1968"/>
      <c r="C40" s="1969"/>
      <c r="D40" s="1969"/>
      <c r="E40" s="1969"/>
      <c r="F40" s="1970"/>
      <c r="G40" s="1970"/>
      <c r="H40" s="1971"/>
      <c r="I40" s="1992"/>
      <c r="J40" s="1993"/>
      <c r="K40" s="1993"/>
      <c r="L40" s="1993"/>
      <c r="M40" s="1993"/>
      <c r="N40" s="1993"/>
      <c r="O40" s="1993"/>
      <c r="P40" s="1993"/>
      <c r="Q40" s="1993"/>
      <c r="R40" s="1993"/>
      <c r="S40" s="1994"/>
      <c r="T40" s="1992"/>
      <c r="U40" s="2055"/>
      <c r="V40" s="1993"/>
      <c r="W40" s="1993"/>
      <c r="X40" s="1993"/>
      <c r="Y40" s="1993"/>
      <c r="Z40" s="1993"/>
      <c r="AA40" s="199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1" t="s">
        <v>2080</v>
      </c>
      <c r="B42" s="1973"/>
      <c r="C42" s="1974"/>
      <c r="D42" s="1972" t="s">
        <v>2081</v>
      </c>
      <c r="E42" s="1973"/>
      <c r="F42" s="1973"/>
      <c r="G42" s="1973"/>
      <c r="H42" s="1974"/>
      <c r="I42" s="1956"/>
      <c r="J42" s="1957"/>
      <c r="K42" s="1957"/>
      <c r="L42" s="1957"/>
      <c r="M42" s="1957"/>
      <c r="N42" s="1957"/>
      <c r="O42" s="1958"/>
      <c r="P42" s="1991"/>
      <c r="Q42" s="1957"/>
      <c r="R42" s="1957"/>
      <c r="S42" s="1958"/>
      <c r="T42" s="1956"/>
      <c r="U42" s="1957"/>
      <c r="V42" s="1957"/>
      <c r="W42" s="1958"/>
      <c r="X42" s="1991"/>
      <c r="Y42" s="1957"/>
      <c r="Z42" s="1957"/>
      <c r="AA42" s="195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6"/>
      <c r="B44" s="1987"/>
      <c r="C44" s="1987"/>
      <c r="D44" s="1987"/>
      <c r="E44" s="1987"/>
      <c r="F44" s="1987"/>
      <c r="G44" s="1987"/>
      <c r="H44" s="1988"/>
      <c r="I44" s="1961"/>
      <c r="J44" s="1962"/>
      <c r="K44" s="1962"/>
      <c r="L44" s="1962"/>
      <c r="M44" s="1962"/>
      <c r="N44" s="1962"/>
      <c r="O44" s="1962"/>
      <c r="P44" s="1962"/>
      <c r="Q44" s="1962"/>
      <c r="R44" s="1962"/>
      <c r="S44" s="1963"/>
      <c r="T44" s="1961"/>
      <c r="U44" s="1980"/>
      <c r="V44" s="1980"/>
      <c r="W44" s="1980"/>
      <c r="X44" s="1980"/>
      <c r="Y44" s="1980"/>
      <c r="Z44" s="1962"/>
      <c r="AA44" s="196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X22" sqref="X22"/>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5" t="s">
        <v>1802</v>
      </c>
      <c r="B2" s="1528" t="s">
        <v>1949</v>
      </c>
      <c r="C2" s="714" t="s">
        <v>1950</v>
      </c>
      <c r="D2" s="714" t="s">
        <v>1951</v>
      </c>
      <c r="E2" s="714" t="s">
        <v>1952</v>
      </c>
      <c r="F2" s="714" t="s">
        <v>1953</v>
      </c>
    </row>
    <row r="3" spans="1:6" ht="12" customHeight="1" x14ac:dyDescent="0.2">
      <c r="A3" s="2196"/>
      <c r="B3" s="1525"/>
      <c r="C3" s="1526"/>
      <c r="D3" s="1527" t="s">
        <v>256</v>
      </c>
      <c r="E3" s="1526"/>
      <c r="F3" s="1527" t="s">
        <v>257</v>
      </c>
    </row>
    <row r="4" spans="1:6" ht="13.7" customHeight="1" x14ac:dyDescent="0.2">
      <c r="A4" s="715" t="s">
        <v>1155</v>
      </c>
      <c r="B4" s="1749">
        <f>'Revenues 9-14'!C5</f>
        <v>9268421</v>
      </c>
      <c r="C4" s="1524">
        <v>6292687</v>
      </c>
      <c r="D4" s="1752">
        <f>B4-C4</f>
        <v>2975734</v>
      </c>
      <c r="E4" s="1524">
        <v>9500000</v>
      </c>
      <c r="F4" s="1752">
        <f>E4-C4</f>
        <v>3207313</v>
      </c>
    </row>
    <row r="5" spans="1:6" ht="13.7" customHeight="1" x14ac:dyDescent="0.2">
      <c r="A5" s="715" t="s">
        <v>870</v>
      </c>
      <c r="B5" s="1750">
        <f>'Revenues 9-14'!D5</f>
        <v>1838494</v>
      </c>
      <c r="C5" s="585">
        <v>1250662</v>
      </c>
      <c r="D5" s="1753">
        <f t="shared" ref="D5:D18" si="0">B5-C5</f>
        <v>587832</v>
      </c>
      <c r="E5" s="585">
        <v>1909000</v>
      </c>
      <c r="F5" s="1753">
        <f>E5-C5</f>
        <v>658338</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1243829</v>
      </c>
      <c r="C7" s="585">
        <v>845980</v>
      </c>
      <c r="D7" s="1753">
        <f t="shared" si="0"/>
        <v>397849</v>
      </c>
      <c r="E7" s="585">
        <v>1290000</v>
      </c>
      <c r="F7" s="1753">
        <f t="shared" si="1"/>
        <v>444020</v>
      </c>
    </row>
    <row r="8" spans="1:6" ht="13.7" customHeight="1" x14ac:dyDescent="0.2">
      <c r="A8" s="715" t="s">
        <v>1179</v>
      </c>
      <c r="B8" s="1750">
        <f>'Revenues 9-14'!G5</f>
        <v>328177</v>
      </c>
      <c r="C8" s="585">
        <v>262389</v>
      </c>
      <c r="D8" s="1753">
        <f t="shared" si="0"/>
        <v>65788</v>
      </c>
      <c r="E8" s="585">
        <v>342500</v>
      </c>
      <c r="F8" s="1753">
        <f t="shared" si="1"/>
        <v>80111</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153353</v>
      </c>
      <c r="C10" s="585">
        <v>103959</v>
      </c>
      <c r="D10" s="1753">
        <f t="shared" si="0"/>
        <v>49394</v>
      </c>
      <c r="E10" s="585">
        <v>155563</v>
      </c>
      <c r="F10" s="1753">
        <f t="shared" si="1"/>
        <v>51604</v>
      </c>
    </row>
    <row r="11" spans="1:6" x14ac:dyDescent="0.2">
      <c r="A11" s="715" t="s">
        <v>409</v>
      </c>
      <c r="B11" s="1750">
        <f>'Revenues 9-14'!J5</f>
        <v>10111</v>
      </c>
      <c r="C11" s="585">
        <v>6880</v>
      </c>
      <c r="D11" s="1753">
        <f t="shared" si="0"/>
        <v>3231</v>
      </c>
      <c r="E11" s="585">
        <v>10500</v>
      </c>
      <c r="F11" s="1753">
        <f t="shared" si="1"/>
        <v>3620</v>
      </c>
    </row>
    <row r="12" spans="1:6" ht="13.7" customHeight="1" x14ac:dyDescent="0.2">
      <c r="A12" s="715" t="s">
        <v>157</v>
      </c>
      <c r="B12" s="1750">
        <f>'Revenues 9-14'!K5</f>
        <v>149804</v>
      </c>
      <c r="C12" s="585">
        <v>101555</v>
      </c>
      <c r="D12" s="1753">
        <f t="shared" si="0"/>
        <v>48249</v>
      </c>
      <c r="E12" s="585">
        <v>151961</v>
      </c>
      <c r="F12" s="1753">
        <f t="shared" si="1"/>
        <v>50406</v>
      </c>
    </row>
    <row r="13" spans="1:6" ht="13.7" customHeight="1" x14ac:dyDescent="0.2">
      <c r="A13" s="715" t="s">
        <v>936</v>
      </c>
      <c r="B13" s="1750">
        <f>SUM('Revenues 9-14'!C6:D6)</f>
        <v>64696</v>
      </c>
      <c r="C13" s="585">
        <v>43859</v>
      </c>
      <c r="D13" s="1753">
        <f t="shared" si="0"/>
        <v>20837</v>
      </c>
      <c r="E13" s="585">
        <v>65622</v>
      </c>
      <c r="F13" s="1753">
        <f t="shared" si="1"/>
        <v>21763</v>
      </c>
    </row>
    <row r="14" spans="1:6" ht="13.7" customHeight="1" x14ac:dyDescent="0.2">
      <c r="A14" s="715" t="s">
        <v>410</v>
      </c>
      <c r="B14" s="1750">
        <f>SUM('Revenues 9-14'!C7:D7,'Revenues 9-14'!F7:H7)</f>
        <v>136603</v>
      </c>
      <c r="C14" s="585">
        <v>93461</v>
      </c>
      <c r="D14" s="1753">
        <f t="shared" si="0"/>
        <v>43142</v>
      </c>
      <c r="E14" s="585">
        <v>145250</v>
      </c>
      <c r="F14" s="1753">
        <f t="shared" si="1"/>
        <v>51789</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385193</v>
      </c>
      <c r="C16" s="585">
        <v>262389</v>
      </c>
      <c r="D16" s="1753">
        <f t="shared" si="0"/>
        <v>122804</v>
      </c>
      <c r="E16" s="585">
        <v>405500</v>
      </c>
      <c r="F16" s="1753">
        <f t="shared" si="1"/>
        <v>143111</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13578681</v>
      </c>
      <c r="C19" s="1751">
        <f>SUM(C4:C18)</f>
        <v>9263821</v>
      </c>
      <c r="D19" s="1751">
        <f>SUM(D4:D18)</f>
        <v>4314860</v>
      </c>
      <c r="E19" s="1751">
        <f>SUM(E4:E18)</f>
        <v>13975896</v>
      </c>
      <c r="F19" s="1751">
        <f>SUM(F4:F18)</f>
        <v>4712075</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6" colorId="8" zoomScale="110" zoomScaleNormal="110" workbookViewId="0">
      <selection activeCell="N5" sqref="N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7" t="s">
        <v>629</v>
      </c>
      <c r="B1" s="2215"/>
      <c r="C1" s="721"/>
    </row>
    <row r="2" spans="1:7" ht="33.75" x14ac:dyDescent="0.2">
      <c r="A2" s="2222" t="s">
        <v>1802</v>
      </c>
      <c r="B2" s="2223"/>
      <c r="C2" s="1884" t="s">
        <v>1954</v>
      </c>
      <c r="D2" s="723" t="s">
        <v>1955</v>
      </c>
      <c r="E2" s="723" t="s">
        <v>1956</v>
      </c>
      <c r="F2" s="1884" t="s">
        <v>1957</v>
      </c>
    </row>
    <row r="3" spans="1:7" ht="15.75" customHeight="1" x14ac:dyDescent="0.2">
      <c r="A3" s="2224" t="s">
        <v>1114</v>
      </c>
      <c r="B3" s="2225"/>
      <c r="C3" s="2218"/>
      <c r="D3" s="2219"/>
      <c r="E3" s="2219"/>
      <c r="F3" s="2220"/>
    </row>
    <row r="4" spans="1:7" ht="12.75" customHeight="1" thickBot="1" x14ac:dyDescent="0.25">
      <c r="A4" s="2212" t="s">
        <v>630</v>
      </c>
      <c r="B4" s="2213"/>
      <c r="C4" s="581"/>
      <c r="D4" s="581"/>
      <c r="E4" s="581"/>
      <c r="F4" s="1755">
        <f>SUM(C4+D4)-E4</f>
        <v>0</v>
      </c>
    </row>
    <row r="5" spans="1:7" ht="15.75" customHeight="1" thickTop="1" x14ac:dyDescent="0.2">
      <c r="A5" s="2216" t="s">
        <v>1110</v>
      </c>
      <c r="B5" s="2211"/>
      <c r="C5" s="2205"/>
      <c r="D5" s="2206"/>
      <c r="E5" s="2206"/>
      <c r="F5" s="2207"/>
    </row>
    <row r="6" spans="1:7" ht="12.75" customHeight="1" thickBot="1" x14ac:dyDescent="0.25">
      <c r="A6" s="724" t="s">
        <v>64</v>
      </c>
      <c r="B6" s="725"/>
      <c r="C6" s="726">
        <v>0</v>
      </c>
      <c r="D6" s="585">
        <v>2250000</v>
      </c>
      <c r="E6" s="726">
        <v>2250000</v>
      </c>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8" t="s">
        <v>631</v>
      </c>
      <c r="B15" s="2209"/>
      <c r="C15" s="1755">
        <f>SUM(C6:C14)</f>
        <v>0</v>
      </c>
      <c r="D15" s="1755">
        <f>SUM(D6:D14)</f>
        <v>2250000</v>
      </c>
      <c r="E15" s="1755">
        <f>SUM(E6:E14)</f>
        <v>2250000</v>
      </c>
      <c r="F15" s="1755">
        <f>SUM(F6:F14)</f>
        <v>0</v>
      </c>
      <c r="G15" s="552"/>
    </row>
    <row r="16" spans="1:7" s="202" customFormat="1" ht="15.75" customHeight="1" thickTop="1" x14ac:dyDescent="0.2">
      <c r="A16" s="2221" t="s">
        <v>1111</v>
      </c>
      <c r="B16" s="2211"/>
      <c r="C16" s="2205"/>
      <c r="D16" s="2206"/>
      <c r="E16" s="2206"/>
      <c r="F16" s="2207"/>
    </row>
    <row r="17" spans="1:11" ht="12.75" customHeight="1" thickBot="1" x14ac:dyDescent="0.25">
      <c r="A17" s="2203" t="s">
        <v>64</v>
      </c>
      <c r="B17" s="2204"/>
      <c r="C17" s="726"/>
      <c r="D17" s="585"/>
      <c r="E17" s="726"/>
      <c r="F17" s="1755">
        <f>SUM(C17+D17)-E17</f>
        <v>0</v>
      </c>
    </row>
    <row r="18" spans="1:11" ht="12.75" customHeight="1" thickTop="1" thickBot="1" x14ac:dyDescent="0.25">
      <c r="A18" s="2203" t="s">
        <v>6</v>
      </c>
      <c r="B18" s="2204"/>
      <c r="C18" s="726"/>
      <c r="D18" s="585"/>
      <c r="E18" s="726"/>
      <c r="F18" s="1755">
        <f>SUM(C18+D18)-E18</f>
        <v>0</v>
      </c>
    </row>
    <row r="19" spans="1:11" ht="12.75" customHeight="1" thickTop="1" thickBot="1" x14ac:dyDescent="0.25">
      <c r="A19" s="2203" t="s">
        <v>388</v>
      </c>
      <c r="B19" s="2204"/>
      <c r="C19" s="726"/>
      <c r="D19" s="585"/>
      <c r="E19" s="726"/>
      <c r="F19" s="1755">
        <f>SUM(C19+D19)-E19</f>
        <v>0</v>
      </c>
    </row>
    <row r="20" spans="1:11" ht="12.75" customHeight="1" thickTop="1" thickBot="1" x14ac:dyDescent="0.25">
      <c r="A20" s="2203" t="s">
        <v>448</v>
      </c>
      <c r="B20" s="2204"/>
      <c r="C20" s="726"/>
      <c r="D20" s="585"/>
      <c r="E20" s="726"/>
      <c r="F20" s="1755">
        <f>SUM(C20+D20)-E20</f>
        <v>0</v>
      </c>
    </row>
    <row r="21" spans="1:11" ht="14.25" thickTop="1" thickBot="1" x14ac:dyDescent="0.25">
      <c r="A21" s="2208" t="s">
        <v>632</v>
      </c>
      <c r="B21" s="2209"/>
      <c r="C21" s="1755">
        <f>SUM(C17:C20)</f>
        <v>0</v>
      </c>
      <c r="D21" s="1755">
        <f>SUM(D17:D20)</f>
        <v>0</v>
      </c>
      <c r="E21" s="1755">
        <f>SUM(E17:E20)</f>
        <v>0</v>
      </c>
      <c r="F21" s="1755">
        <f>SUM(F17:F20)</f>
        <v>0</v>
      </c>
      <c r="G21" s="552"/>
    </row>
    <row r="22" spans="1:11" ht="15.75" customHeight="1" thickTop="1" x14ac:dyDescent="0.2">
      <c r="A22" s="2210" t="s">
        <v>1112</v>
      </c>
      <c r="B22" s="2211"/>
      <c r="C22" s="2205"/>
      <c r="D22" s="2206"/>
      <c r="E22" s="2206"/>
      <c r="F22" s="2207"/>
    </row>
    <row r="23" spans="1:11" ht="13.5" thickBot="1" x14ac:dyDescent="0.25">
      <c r="A23" s="2212" t="s">
        <v>633</v>
      </c>
      <c r="B23" s="2213"/>
      <c r="C23" s="581"/>
      <c r="D23" s="581"/>
      <c r="E23" s="581"/>
      <c r="F23" s="1755">
        <f>SUM(C23+D23)-E23</f>
        <v>0</v>
      </c>
      <c r="G23" s="552"/>
    </row>
    <row r="24" spans="1:11" ht="15.75" customHeight="1" thickTop="1" x14ac:dyDescent="0.2">
      <c r="A24" s="2210" t="s">
        <v>1113</v>
      </c>
      <c r="B24" s="2211"/>
      <c r="C24" s="2205"/>
      <c r="D24" s="2206"/>
      <c r="E24" s="2206"/>
      <c r="F24" s="2207"/>
    </row>
    <row r="25" spans="1:11" ht="13.5" thickBot="1" x14ac:dyDescent="0.25">
      <c r="A25" s="2212" t="s">
        <v>634</v>
      </c>
      <c r="B25" s="2213"/>
      <c r="C25" s="581"/>
      <c r="D25" s="581"/>
      <c r="E25" s="581"/>
      <c r="F25" s="1755">
        <f>SUM(C25+D25)-E25</f>
        <v>0</v>
      </c>
      <c r="G25" s="552"/>
    </row>
    <row r="26" spans="1:11" ht="15.75" customHeight="1" thickTop="1" x14ac:dyDescent="0.2">
      <c r="A26" s="2216" t="s">
        <v>657</v>
      </c>
      <c r="B26" s="2211"/>
      <c r="C26" s="727"/>
      <c r="D26" s="727"/>
      <c r="E26" s="727"/>
      <c r="F26" s="728"/>
    </row>
    <row r="27" spans="1:11" ht="13.5" thickBot="1" x14ac:dyDescent="0.25">
      <c r="A27" s="2208" t="s">
        <v>1070</v>
      </c>
      <c r="B27" s="2209"/>
      <c r="C27" s="585"/>
      <c r="D27" s="585"/>
      <c r="E27" s="585"/>
      <c r="F27" s="1755">
        <f>SUM(C27+D27)-E27</f>
        <v>0</v>
      </c>
      <c r="G27" s="552"/>
    </row>
    <row r="28" spans="1:11" ht="7.5" customHeight="1" thickTop="1" x14ac:dyDescent="0.2">
      <c r="A28" s="593"/>
    </row>
    <row r="29" spans="1:11" ht="23.25" customHeight="1" x14ac:dyDescent="0.2">
      <c r="A29" s="2214" t="s">
        <v>582</v>
      </c>
      <c r="B29" s="2215"/>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97" t="s">
        <v>584</v>
      </c>
      <c r="C52" s="2198"/>
      <c r="D52" s="2198"/>
      <c r="E52" s="749" t="s">
        <v>845</v>
      </c>
      <c r="F52" s="2199"/>
      <c r="G52" s="2200"/>
      <c r="H52" s="736"/>
      <c r="I52" s="736"/>
      <c r="J52" s="746"/>
    </row>
    <row r="53" spans="1:11" ht="11.25" customHeight="1" x14ac:dyDescent="0.2">
      <c r="A53" s="750" t="s">
        <v>913</v>
      </c>
      <c r="B53" s="751" t="s">
        <v>951</v>
      </c>
      <c r="C53" s="746"/>
      <c r="D53" s="737"/>
      <c r="E53" s="749" t="s">
        <v>497</v>
      </c>
      <c r="F53" s="2201"/>
      <c r="G53" s="2202"/>
      <c r="H53" s="736"/>
      <c r="I53" s="736"/>
      <c r="J53" s="746"/>
    </row>
    <row r="54" spans="1:11" ht="11.25" customHeight="1" x14ac:dyDescent="0.2">
      <c r="A54" s="752" t="s">
        <v>914</v>
      </c>
      <c r="B54" s="747" t="s">
        <v>952</v>
      </c>
      <c r="C54" s="746"/>
      <c r="D54" s="737"/>
      <c r="E54" s="749" t="s">
        <v>498</v>
      </c>
      <c r="F54" s="2201"/>
      <c r="G54" s="220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I5" sqref="I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6" t="s">
        <v>856</v>
      </c>
      <c r="B1" s="2227"/>
      <c r="C1" s="2227"/>
      <c r="D1" s="2227"/>
      <c r="E1" s="2227"/>
      <c r="F1" s="2227"/>
      <c r="G1" s="2228"/>
      <c r="H1" s="1530"/>
      <c r="I1" s="760"/>
      <c r="J1" s="433"/>
    </row>
    <row r="2" spans="1:11" ht="26.25" x14ac:dyDescent="0.2">
      <c r="A2" s="2245" t="s">
        <v>1677</v>
      </c>
      <c r="B2" s="2246"/>
      <c r="C2" s="2246"/>
      <c r="D2" s="2246"/>
      <c r="E2" s="2247"/>
      <c r="F2" s="761" t="s">
        <v>904</v>
      </c>
      <c r="G2" s="762" t="s">
        <v>1674</v>
      </c>
      <c r="H2" s="762" t="s">
        <v>410</v>
      </c>
      <c r="I2" s="762" t="s">
        <v>1158</v>
      </c>
      <c r="J2" s="762" t="s">
        <v>1812</v>
      </c>
      <c r="K2" s="762" t="s">
        <v>138</v>
      </c>
    </row>
    <row r="3" spans="1:11" x14ac:dyDescent="0.2">
      <c r="A3" s="2248" t="s">
        <v>1962</v>
      </c>
      <c r="B3" s="2249"/>
      <c r="C3" s="2249"/>
      <c r="D3" s="2249"/>
      <c r="E3" s="2250"/>
      <c r="F3" s="763"/>
      <c r="G3" s="764"/>
      <c r="H3" s="764"/>
      <c r="I3" s="764"/>
      <c r="J3" s="765"/>
      <c r="K3" s="765"/>
    </row>
    <row r="4" spans="1:11" x14ac:dyDescent="0.2">
      <c r="A4" s="2251" t="s">
        <v>369</v>
      </c>
      <c r="B4" s="2252"/>
      <c r="C4" s="2252"/>
      <c r="D4" s="2252"/>
      <c r="E4" s="2198"/>
      <c r="F4" s="766"/>
      <c r="G4" s="767"/>
      <c r="H4" s="768"/>
      <c r="I4" s="767"/>
      <c r="J4" s="769"/>
      <c r="K4" s="769"/>
    </row>
    <row r="5" spans="1:11" x14ac:dyDescent="0.2">
      <c r="A5" s="2229" t="s">
        <v>1069</v>
      </c>
      <c r="B5" s="2230"/>
      <c r="C5" s="2230"/>
      <c r="D5" s="2230"/>
      <c r="E5" s="2231"/>
      <c r="F5" s="770" t="s">
        <v>848</v>
      </c>
      <c r="G5" s="771"/>
      <c r="H5" s="764">
        <v>136603</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25448</v>
      </c>
    </row>
    <row r="8" spans="1:11" x14ac:dyDescent="0.2">
      <c r="A8" s="778" t="s">
        <v>345</v>
      </c>
      <c r="B8" s="779"/>
      <c r="C8" s="779"/>
      <c r="D8" s="779"/>
      <c r="E8" s="780"/>
      <c r="F8" s="770" t="s">
        <v>851</v>
      </c>
      <c r="G8" s="782"/>
      <c r="H8" s="782"/>
      <c r="I8" s="782"/>
      <c r="J8" s="765">
        <v>1948384</v>
      </c>
      <c r="K8" s="769"/>
    </row>
    <row r="9" spans="1:11" x14ac:dyDescent="0.2">
      <c r="A9" s="778" t="s">
        <v>138</v>
      </c>
      <c r="B9" s="779"/>
      <c r="C9" s="779"/>
      <c r="D9" s="779"/>
      <c r="E9" s="780"/>
      <c r="F9" s="777" t="s">
        <v>853</v>
      </c>
      <c r="G9" s="782"/>
      <c r="H9" s="771"/>
      <c r="I9" s="771"/>
      <c r="J9" s="781"/>
      <c r="K9" s="765">
        <v>36500</v>
      </c>
    </row>
    <row r="10" spans="1:11" x14ac:dyDescent="0.2">
      <c r="A10" s="2229" t="s">
        <v>1813</v>
      </c>
      <c r="B10" s="2230"/>
      <c r="C10" s="2230"/>
      <c r="D10" s="2230"/>
      <c r="E10" s="2232"/>
      <c r="F10" s="783" t="s">
        <v>862</v>
      </c>
      <c r="G10" s="782"/>
      <c r="H10" s="784"/>
      <c r="I10" s="764"/>
      <c r="J10" s="765"/>
      <c r="K10" s="765"/>
    </row>
    <row r="11" spans="1:11" x14ac:dyDescent="0.2">
      <c r="A11" s="2229" t="s">
        <v>160</v>
      </c>
      <c r="B11" s="2230"/>
      <c r="C11" s="2230"/>
      <c r="D11" s="2230"/>
      <c r="E11" s="2231"/>
      <c r="F11" s="770" t="s">
        <v>852</v>
      </c>
      <c r="G11" s="771"/>
      <c r="H11" s="764"/>
      <c r="I11" s="764"/>
      <c r="J11" s="765"/>
      <c r="K11" s="773"/>
    </row>
    <row r="12" spans="1:11" ht="13.5" thickBot="1" x14ac:dyDescent="0.25">
      <c r="A12" s="2256" t="s">
        <v>905</v>
      </c>
      <c r="B12" s="2257"/>
      <c r="C12" s="2257"/>
      <c r="D12" s="2257"/>
      <c r="E12" s="2258"/>
      <c r="F12" s="1757"/>
      <c r="G12" s="1758">
        <f>SUM(G5:G11)</f>
        <v>0</v>
      </c>
      <c r="H12" s="1758">
        <f>SUM(H5:H11)</f>
        <v>136603</v>
      </c>
      <c r="I12" s="1758">
        <f>SUM(I5:I11)</f>
        <v>0</v>
      </c>
      <c r="J12" s="1758">
        <f>SUM(J5:J11)</f>
        <v>1948384</v>
      </c>
      <c r="K12" s="1758">
        <f>SUM(K5:K11)</f>
        <v>61948</v>
      </c>
    </row>
    <row r="13" spans="1:11" ht="13.5" thickTop="1" x14ac:dyDescent="0.2">
      <c r="A13" s="2253" t="s">
        <v>370</v>
      </c>
      <c r="B13" s="2254"/>
      <c r="C13" s="2254"/>
      <c r="D13" s="2254"/>
      <c r="E13" s="2255"/>
      <c r="F13" s="785"/>
      <c r="G13" s="786"/>
      <c r="H13" s="787"/>
      <c r="I13" s="788"/>
      <c r="J13" s="788"/>
      <c r="K13" s="788"/>
    </row>
    <row r="14" spans="1:11" x14ac:dyDescent="0.2">
      <c r="A14" s="2236" t="s">
        <v>456</v>
      </c>
      <c r="B14" s="2236"/>
      <c r="C14" s="2236"/>
      <c r="D14" s="2236"/>
      <c r="E14" s="2237"/>
      <c r="F14" s="789" t="s">
        <v>854</v>
      </c>
      <c r="G14" s="782"/>
      <c r="H14" s="764">
        <v>136603</v>
      </c>
      <c r="I14" s="771"/>
      <c r="J14" s="773"/>
      <c r="K14" s="765">
        <v>61948</v>
      </c>
    </row>
    <row r="15" spans="1:11" x14ac:dyDescent="0.2">
      <c r="A15" s="2230" t="s">
        <v>4</v>
      </c>
      <c r="B15" s="2230"/>
      <c r="C15" s="2230"/>
      <c r="D15" s="2230"/>
      <c r="E15" s="2231"/>
      <c r="F15" s="789" t="s">
        <v>855</v>
      </c>
      <c r="G15" s="771"/>
      <c r="H15" s="764"/>
      <c r="I15" s="764"/>
      <c r="J15" s="765">
        <v>1948384</v>
      </c>
      <c r="K15" s="765"/>
    </row>
    <row r="16" spans="1:11" x14ac:dyDescent="0.2">
      <c r="A16" s="2230" t="s">
        <v>298</v>
      </c>
      <c r="B16" s="2230"/>
      <c r="C16" s="2230"/>
      <c r="D16" s="2230"/>
      <c r="E16" s="2231"/>
      <c r="F16" s="789" t="s">
        <v>923</v>
      </c>
      <c r="G16" s="772"/>
      <c r="H16" s="767"/>
      <c r="I16" s="767"/>
      <c r="J16" s="769"/>
      <c r="K16" s="769"/>
    </row>
    <row r="17" spans="1:11" x14ac:dyDescent="0.2">
      <c r="A17" s="2261" t="s">
        <v>935</v>
      </c>
      <c r="B17" s="2261"/>
      <c r="C17" s="2261"/>
      <c r="D17" s="2261"/>
      <c r="E17" s="2262"/>
      <c r="F17" s="790"/>
      <c r="G17" s="791"/>
      <c r="H17" s="792"/>
      <c r="I17" s="792"/>
      <c r="J17" s="793"/>
      <c r="K17" s="794"/>
    </row>
    <row r="18" spans="1:11" x14ac:dyDescent="0.2">
      <c r="A18" s="2240" t="s">
        <v>368</v>
      </c>
      <c r="B18" s="2241"/>
      <c r="C18" s="2241"/>
      <c r="D18" s="2241"/>
      <c r="E18" s="2242"/>
      <c r="F18" s="789" t="s">
        <v>932</v>
      </c>
      <c r="G18" s="782"/>
      <c r="H18" s="782"/>
      <c r="I18" s="782"/>
      <c r="J18" s="765"/>
      <c r="K18" s="795"/>
    </row>
    <row r="19" spans="1:11" ht="21.75" customHeight="1" x14ac:dyDescent="0.2">
      <c r="A19" s="2238" t="s">
        <v>1809</v>
      </c>
      <c r="B19" s="2238"/>
      <c r="C19" s="2238"/>
      <c r="D19" s="2238"/>
      <c r="E19" s="2239"/>
      <c r="F19" s="789" t="s">
        <v>933</v>
      </c>
      <c r="G19" s="782"/>
      <c r="H19" s="782"/>
      <c r="I19" s="782"/>
      <c r="J19" s="765"/>
      <c r="K19" s="795"/>
    </row>
    <row r="20" spans="1:11" x14ac:dyDescent="0.2">
      <c r="A20" s="2240" t="s">
        <v>1814</v>
      </c>
      <c r="B20" s="2241"/>
      <c r="C20" s="2241"/>
      <c r="D20" s="2241"/>
      <c r="E20" s="2242"/>
      <c r="F20" s="789" t="s">
        <v>934</v>
      </c>
      <c r="G20" s="782"/>
      <c r="H20" s="782"/>
      <c r="I20" s="782"/>
      <c r="J20" s="765"/>
      <c r="K20" s="795"/>
    </row>
    <row r="21" spans="1:11" ht="13.5" thickBot="1" x14ac:dyDescent="0.25">
      <c r="A21" s="2259" t="s">
        <v>638</v>
      </c>
      <c r="B21" s="2259"/>
      <c r="C21" s="2259"/>
      <c r="D21" s="2259"/>
      <c r="E21" s="2259"/>
      <c r="F21" s="1759"/>
      <c r="G21" s="792"/>
      <c r="H21" s="796"/>
      <c r="I21" s="796"/>
      <c r="J21" s="1760">
        <f>SUM(J18:J20)</f>
        <v>0</v>
      </c>
      <c r="K21" s="793"/>
    </row>
    <row r="22" spans="1:11" ht="13.5" thickTop="1" x14ac:dyDescent="0.2">
      <c r="A22" s="2230" t="s">
        <v>1815</v>
      </c>
      <c r="B22" s="2230"/>
      <c r="C22" s="2230"/>
      <c r="D22" s="2230"/>
      <c r="E22" s="2231"/>
      <c r="F22" s="789" t="s">
        <v>862</v>
      </c>
      <c r="G22" s="782"/>
      <c r="H22" s="764"/>
      <c r="I22" s="764"/>
      <c r="J22" s="797"/>
      <c r="K22" s="765"/>
    </row>
    <row r="23" spans="1:11" ht="13.5" thickBot="1" x14ac:dyDescent="0.25">
      <c r="A23" s="2260" t="s">
        <v>906</v>
      </c>
      <c r="B23" s="2259"/>
      <c r="C23" s="2259"/>
      <c r="D23" s="2259"/>
      <c r="E23" s="2259"/>
      <c r="F23" s="1761"/>
      <c r="G23" s="1758">
        <f>SUM(G14:G16,G21,G22)</f>
        <v>0</v>
      </c>
      <c r="H23" s="1758">
        <f>SUM(H14:H16,H21,H22)</f>
        <v>136603</v>
      </c>
      <c r="I23" s="1758">
        <f>SUM(I14:I16,I21,I22)</f>
        <v>0</v>
      </c>
      <c r="J23" s="1758">
        <f>SUM(J14:J16,J21,J22)</f>
        <v>1948384</v>
      </c>
      <c r="K23" s="1758">
        <f>SUM(K14:K16,K21,K22)</f>
        <v>61948</v>
      </c>
    </row>
    <row r="24" spans="1:11" ht="14.25" thickTop="1" thickBot="1" x14ac:dyDescent="0.25">
      <c r="A24" s="2260" t="s">
        <v>1963</v>
      </c>
      <c r="B24" s="2259"/>
      <c r="C24" s="2259"/>
      <c r="D24" s="2259"/>
      <c r="E24" s="2259"/>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33"/>
      <c r="I31" s="2234"/>
      <c r="J31" s="2234"/>
      <c r="K31" s="2234"/>
    </row>
    <row r="32" spans="1:11" x14ac:dyDescent="0.2">
      <c r="A32" s="809"/>
      <c r="B32" s="237"/>
      <c r="C32" s="237"/>
      <c r="D32" s="237"/>
      <c r="E32" s="805"/>
      <c r="F32" s="811" t="s">
        <v>540</v>
      </c>
      <c r="G32" s="764"/>
      <c r="H32" s="2235"/>
      <c r="I32" s="2234"/>
      <c r="J32" s="2234"/>
      <c r="K32" s="2234"/>
    </row>
    <row r="33" spans="1:11" ht="1.5" customHeight="1" x14ac:dyDescent="0.2">
      <c r="A33" s="812" t="s">
        <v>1169</v>
      </c>
      <c r="B33" s="364"/>
      <c r="C33" s="364"/>
      <c r="D33" s="364"/>
      <c r="E33" s="364"/>
      <c r="F33" s="364"/>
      <c r="G33" s="813"/>
      <c r="H33" s="2235"/>
      <c r="I33" s="2234"/>
      <c r="J33" s="2234"/>
      <c r="K33" s="2234"/>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30" t="s">
        <v>541</v>
      </c>
      <c r="B41" s="2243"/>
      <c r="C41" s="2243"/>
      <c r="D41" s="2243"/>
      <c r="E41" s="2243"/>
      <c r="F41" s="2244"/>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5" sqref="I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5" t="s">
        <v>1908</v>
      </c>
      <c r="B1" s="2266"/>
      <c r="C1" s="2267"/>
      <c r="D1" s="826"/>
      <c r="E1" s="827"/>
      <c r="F1" s="827"/>
      <c r="G1" s="828"/>
      <c r="H1" s="829"/>
      <c r="I1" s="830"/>
      <c r="J1" s="2263"/>
      <c r="K1" s="2264"/>
      <c r="L1" s="2264"/>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966869</v>
      </c>
      <c r="D5" s="841">
        <v>132300</v>
      </c>
      <c r="E5" s="841"/>
      <c r="F5" s="1760">
        <f>(C5+D5)-E5</f>
        <v>1099169</v>
      </c>
      <c r="G5" s="837"/>
      <c r="H5" s="842"/>
      <c r="I5" s="842"/>
      <c r="J5" s="842"/>
      <c r="K5" s="793"/>
      <c r="L5" s="1769">
        <f>F5-K5</f>
        <v>1099169</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39076362</v>
      </c>
      <c r="D8" s="844">
        <v>555201</v>
      </c>
      <c r="E8" s="844"/>
      <c r="F8" s="1760">
        <f>(C8+D8)-E8</f>
        <v>39631563</v>
      </c>
      <c r="G8" s="843">
        <v>50</v>
      </c>
      <c r="H8" s="765">
        <v>19340225</v>
      </c>
      <c r="I8" s="765">
        <v>675694</v>
      </c>
      <c r="J8" s="765"/>
      <c r="K8" s="1769">
        <f>(H8+I8)-J8</f>
        <v>20015919</v>
      </c>
      <c r="L8" s="1769">
        <f>F8-K8</f>
        <v>19615644</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6039844</v>
      </c>
      <c r="D10" s="846">
        <v>121044</v>
      </c>
      <c r="E10" s="846"/>
      <c r="F10" s="1764">
        <f>(C10+D10)-E10</f>
        <v>6160888</v>
      </c>
      <c r="G10" s="843">
        <v>20</v>
      </c>
      <c r="H10" s="847">
        <v>4572616</v>
      </c>
      <c r="I10" s="847">
        <v>273135</v>
      </c>
      <c r="J10" s="847"/>
      <c r="K10" s="1769">
        <f>(H10+I10)-J10</f>
        <v>4845751</v>
      </c>
      <c r="L10" s="1769">
        <f>F10-K10</f>
        <v>1315137</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4042385</v>
      </c>
      <c r="D12" s="844">
        <v>448706</v>
      </c>
      <c r="E12" s="844">
        <v>496336</v>
      </c>
      <c r="F12" s="1760">
        <f>(C12+D12)-E12</f>
        <v>3994755</v>
      </c>
      <c r="G12" s="843">
        <v>10</v>
      </c>
      <c r="H12" s="765">
        <v>2071208</v>
      </c>
      <c r="I12" s="765">
        <v>369293</v>
      </c>
      <c r="J12" s="765">
        <v>470404</v>
      </c>
      <c r="K12" s="1769">
        <f>(H12+I12)-J12</f>
        <v>1970097</v>
      </c>
      <c r="L12" s="1769">
        <f>F12-K12</f>
        <v>2024658</v>
      </c>
    </row>
    <row r="13" spans="1:14" ht="14.25" thickTop="1" thickBot="1" x14ac:dyDescent="0.25">
      <c r="A13" s="848" t="s">
        <v>1122</v>
      </c>
      <c r="B13" s="840">
        <v>252</v>
      </c>
      <c r="C13" s="844">
        <v>185598</v>
      </c>
      <c r="D13" s="844">
        <v>6802</v>
      </c>
      <c r="E13" s="844"/>
      <c r="F13" s="1760">
        <f>(C13+D13)-E13</f>
        <v>192400</v>
      </c>
      <c r="G13" s="843">
        <v>5</v>
      </c>
      <c r="H13" s="765">
        <v>160225</v>
      </c>
      <c r="I13" s="765">
        <v>10203</v>
      </c>
      <c r="J13" s="765"/>
      <c r="K13" s="1769">
        <f>(H13+I13)-J13</f>
        <v>170428</v>
      </c>
      <c r="L13" s="1769">
        <f>F13-K13</f>
        <v>21972</v>
      </c>
    </row>
    <row r="14" spans="1:14" ht="14.25" thickTop="1" thickBot="1" x14ac:dyDescent="0.25">
      <c r="A14" s="848" t="s">
        <v>1123</v>
      </c>
      <c r="B14" s="840">
        <v>253</v>
      </c>
      <c r="C14" s="765">
        <v>7064</v>
      </c>
      <c r="D14" s="765"/>
      <c r="E14" s="765"/>
      <c r="F14" s="1760">
        <f>(C14+D14)-E14</f>
        <v>7064</v>
      </c>
      <c r="G14" s="843">
        <v>3</v>
      </c>
      <c r="H14" s="765">
        <v>1105</v>
      </c>
      <c r="I14" s="765">
        <v>2355</v>
      </c>
      <c r="J14" s="765"/>
      <c r="K14" s="1769">
        <f>(H14+I14)-J14</f>
        <v>3460</v>
      </c>
      <c r="L14" s="1769">
        <f>F14-K14</f>
        <v>3604</v>
      </c>
    </row>
    <row r="15" spans="1:14" ht="15" customHeight="1" thickTop="1" thickBot="1" x14ac:dyDescent="0.25">
      <c r="A15" s="1631" t="s">
        <v>528</v>
      </c>
      <c r="B15" s="1630">
        <v>260</v>
      </c>
      <c r="C15" s="844">
        <v>44848</v>
      </c>
      <c r="D15" s="844">
        <v>644425</v>
      </c>
      <c r="E15" s="844">
        <v>7090</v>
      </c>
      <c r="F15" s="1760">
        <f>(C15+D15)-E15</f>
        <v>682183</v>
      </c>
      <c r="G15" s="849" t="s">
        <v>862</v>
      </c>
      <c r="H15" s="781"/>
      <c r="I15" s="781"/>
      <c r="J15" s="781"/>
      <c r="K15" s="781"/>
      <c r="L15" s="1769">
        <f>F15-K15</f>
        <v>682183</v>
      </c>
    </row>
    <row r="16" spans="1:14" ht="15" customHeight="1" thickTop="1" thickBot="1" x14ac:dyDescent="0.25">
      <c r="A16" s="1765" t="s">
        <v>643</v>
      </c>
      <c r="B16" s="1766">
        <v>200</v>
      </c>
      <c r="C16" s="1760">
        <f>SUM(C3,C5:C6,C8:C10,C12:C15)</f>
        <v>50362970</v>
      </c>
      <c r="D16" s="1760">
        <f>SUM(D3,D5:D6,D8:D10,D12:D15)</f>
        <v>1908478</v>
      </c>
      <c r="E16" s="1760">
        <f>SUM(E3,E5:E6,E8:E10,E12:E15)</f>
        <v>503426</v>
      </c>
      <c r="F16" s="1760">
        <f>SUM(F3,F5:F6,F8:F10,F12:F15)</f>
        <v>51768022</v>
      </c>
      <c r="G16" s="843"/>
      <c r="H16" s="1760">
        <f>SUM(H3,H6,H8:H10,H12:H14,)</f>
        <v>26145379</v>
      </c>
      <c r="I16" s="1760">
        <f>SUM(I3,I6,I8:I10,I12:I14,)</f>
        <v>1330680</v>
      </c>
      <c r="J16" s="1760">
        <f>SUM(J3,J6,J8:J10,J12:J14,)</f>
        <v>470404</v>
      </c>
      <c r="K16" s="1760">
        <f>(H16+I16)-J16</f>
        <v>27005655</v>
      </c>
      <c r="L16" s="1760">
        <f>F16-K16</f>
        <v>24762367</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1330680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160" activePane="bottomLeft" state="frozen"/>
      <selection activeCell="I5" sqref="I5"/>
      <selection pane="bottomLeft" activeCell="I5" sqref="I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1" t="s">
        <v>1973</v>
      </c>
      <c r="B1" s="2272"/>
      <c r="C1" s="2272"/>
      <c r="D1" s="2272"/>
      <c r="E1" s="2272"/>
      <c r="F1" s="2273"/>
      <c r="G1" s="855"/>
    </row>
    <row r="2" spans="1:7" ht="15" customHeight="1" thickBot="1" x14ac:dyDescent="0.25">
      <c r="A2" s="2274" t="s">
        <v>477</v>
      </c>
      <c r="B2" s="2275"/>
      <c r="C2" s="2275"/>
      <c r="D2" s="2275"/>
      <c r="E2" s="2275"/>
      <c r="F2" s="2276"/>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7"/>
      <c r="B5" s="2278"/>
      <c r="C5" s="2278"/>
      <c r="D5" s="2278"/>
      <c r="E5" s="2278"/>
      <c r="F5" s="2278"/>
    </row>
    <row r="6" spans="1:7" ht="13.5" customHeight="1" thickBot="1" x14ac:dyDescent="0.25">
      <c r="A6" s="2268" t="s">
        <v>1104</v>
      </c>
      <c r="B6" s="2269"/>
      <c r="C6" s="2269"/>
      <c r="D6" s="2269"/>
      <c r="E6" s="2269"/>
      <c r="F6" s="2270"/>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19570162</v>
      </c>
      <c r="G8" s="865"/>
    </row>
    <row r="9" spans="1:7" x14ac:dyDescent="0.2">
      <c r="A9" s="869" t="s">
        <v>460</v>
      </c>
      <c r="B9" s="870" t="s">
        <v>1876</v>
      </c>
      <c r="C9" s="871"/>
      <c r="D9" s="869" t="s">
        <v>501</v>
      </c>
      <c r="E9" s="868"/>
      <c r="F9" s="1909">
        <f>'Expenditures 15-22'!K151</f>
        <v>1961778</v>
      </c>
      <c r="G9" s="872"/>
    </row>
    <row r="10" spans="1:7" x14ac:dyDescent="0.2">
      <c r="A10" s="869" t="s">
        <v>499</v>
      </c>
      <c r="B10" s="870" t="s">
        <v>1877</v>
      </c>
      <c r="C10" s="871"/>
      <c r="D10" s="869" t="s">
        <v>501</v>
      </c>
      <c r="E10" s="868"/>
      <c r="F10" s="1909">
        <f>'Expenditures 15-22'!K174</f>
        <v>0</v>
      </c>
      <c r="G10" s="872"/>
    </row>
    <row r="11" spans="1:7" x14ac:dyDescent="0.2">
      <c r="A11" s="869" t="s">
        <v>461</v>
      </c>
      <c r="B11" s="870" t="s">
        <v>1878</v>
      </c>
      <c r="C11" s="871"/>
      <c r="D11" s="869" t="s">
        <v>501</v>
      </c>
      <c r="E11" s="868"/>
      <c r="F11" s="1909">
        <f>'Expenditures 15-22'!K210</f>
        <v>2370222</v>
      </c>
      <c r="G11" s="872"/>
    </row>
    <row r="12" spans="1:7" x14ac:dyDescent="0.2">
      <c r="A12" s="869" t="s">
        <v>462</v>
      </c>
      <c r="B12" s="870" t="s">
        <v>1879</v>
      </c>
      <c r="C12" s="871"/>
      <c r="D12" s="869" t="s">
        <v>501</v>
      </c>
      <c r="E12" s="868"/>
      <c r="F12" s="1909">
        <f>'Expenditures 15-22'!K295</f>
        <v>508673</v>
      </c>
      <c r="G12" s="872"/>
    </row>
    <row r="13" spans="1:7" x14ac:dyDescent="0.2">
      <c r="A13" s="869" t="s">
        <v>106</v>
      </c>
      <c r="B13" s="870" t="s">
        <v>1880</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24410835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554613</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5739</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1467861</v>
      </c>
      <c r="G53" s="865"/>
    </row>
    <row r="54" spans="1:7" x14ac:dyDescent="0.2">
      <c r="A54" s="869" t="s">
        <v>459</v>
      </c>
      <c r="B54" s="869" t="s">
        <v>1476</v>
      </c>
      <c r="C54" s="889" t="s">
        <v>982</v>
      </c>
      <c r="D54" s="885" t="s">
        <v>1095</v>
      </c>
      <c r="E54" s="868"/>
      <c r="F54" s="1913">
        <f>'Expenditures 15-22'!G114</f>
        <v>334062</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21760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3850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267</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2388152</v>
      </c>
      <c r="G76" s="865"/>
    </row>
    <row r="77" spans="1:8" s="893" customFormat="1" ht="12" customHeight="1" thickTop="1" thickBot="1" x14ac:dyDescent="0.25">
      <c r="A77" s="1779"/>
      <c r="B77" s="1776"/>
      <c r="C77" s="1772"/>
      <c r="D77" s="1777" t="s">
        <v>1899</v>
      </c>
      <c r="E77" s="1774"/>
      <c r="F77" s="1780">
        <f>(F14-F76)</f>
        <v>22022683</v>
      </c>
      <c r="G77" s="869"/>
    </row>
    <row r="78" spans="1:8" s="893" customFormat="1" ht="12" customHeight="1" thickTop="1" x14ac:dyDescent="0.2">
      <c r="A78" s="1781"/>
      <c r="B78" s="1776"/>
      <c r="C78" s="1772"/>
      <c r="D78" s="1777" t="s">
        <v>2060</v>
      </c>
      <c r="E78" s="1774"/>
      <c r="F78" s="898">
        <v>2346</v>
      </c>
      <c r="G78" s="899"/>
      <c r="H78" s="869"/>
    </row>
    <row r="79" spans="1:8" s="893" customFormat="1" ht="12" customHeight="1" thickBot="1" x14ac:dyDescent="0.25">
      <c r="A79" s="1782"/>
      <c r="B79" s="1776"/>
      <c r="C79" s="1772"/>
      <c r="D79" s="1777" t="s">
        <v>1900</v>
      </c>
      <c r="E79" s="1774" t="s">
        <v>958</v>
      </c>
      <c r="F79" s="1783">
        <f>IF(F78&gt;0,F77/F78," Complete Line 78")</f>
        <v>9387.3329070758737</v>
      </c>
      <c r="G79" s="869"/>
    </row>
    <row r="80" spans="1:8" s="893" customFormat="1" ht="8.25" customHeight="1" thickTop="1" x14ac:dyDescent="0.2">
      <c r="A80" s="900"/>
      <c r="B80" s="869"/>
      <c r="C80" s="871"/>
      <c r="D80" s="901"/>
      <c r="E80" s="868"/>
      <c r="F80" s="902"/>
      <c r="G80" s="869"/>
    </row>
    <row r="81" spans="1:7" s="893" customFormat="1" ht="12" thickBot="1" x14ac:dyDescent="0.25">
      <c r="A81" s="2268" t="s">
        <v>1105</v>
      </c>
      <c r="B81" s="2269"/>
      <c r="C81" s="2269"/>
      <c r="D81" s="2269"/>
      <c r="E81" s="2269"/>
      <c r="F81" s="2270"/>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537</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322569</v>
      </c>
      <c r="G94" s="912"/>
    </row>
    <row r="95" spans="1:7" x14ac:dyDescent="0.2">
      <c r="A95" s="908" t="s">
        <v>140</v>
      </c>
      <c r="B95" s="908" t="s">
        <v>175</v>
      </c>
      <c r="C95" s="910">
        <v>1700</v>
      </c>
      <c r="D95" s="918" t="str">
        <f>'Revenues 9-14'!A82</f>
        <v>Total District/School Activity Income</v>
      </c>
      <c r="E95" s="906"/>
      <c r="F95" s="1789">
        <f>SUM('Revenues 9-14'!C82,'Revenues 9-14'!D82)</f>
        <v>193706</v>
      </c>
      <c r="G95" s="912"/>
    </row>
    <row r="96" spans="1:7" x14ac:dyDescent="0.2">
      <c r="A96" s="908" t="s">
        <v>459</v>
      </c>
      <c r="B96" s="908" t="s">
        <v>176</v>
      </c>
      <c r="C96" s="910">
        <f>'Revenues 9-14'!B84</f>
        <v>1811</v>
      </c>
      <c r="D96" s="911" t="str">
        <f>'Revenues 9-14'!A84</f>
        <v>Rentals - Regular Textbooks</v>
      </c>
      <c r="E96" s="906"/>
      <c r="F96" s="1789">
        <f>'Revenues 9-14'!C84</f>
        <v>80300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10142</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510962</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40596</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11278</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36500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1358845</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4480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683919</v>
      </c>
      <c r="G125" s="930"/>
    </row>
    <row r="126" spans="1:7" x14ac:dyDescent="0.2">
      <c r="A126" s="927" t="s">
        <v>668</v>
      </c>
      <c r="B126" s="927" t="s">
        <v>2022</v>
      </c>
      <c r="C126" s="932">
        <v>4300</v>
      </c>
      <c r="D126" s="933" t="str">
        <f>'Revenues 9-14'!A204</f>
        <v>Total Title I</v>
      </c>
      <c r="E126" s="906"/>
      <c r="F126" s="1789">
        <f>SUM('Revenues 9-14'!C204,'Revenues 9-14'!D204,'Revenues 9-14'!F204,'Revenues 9-14'!G204)</f>
        <v>634631</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22953</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29844</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110227</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67042</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90943</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4209474</v>
      </c>
    </row>
    <row r="175" spans="1:7" ht="12" customHeight="1" x14ac:dyDescent="0.2">
      <c r="A175" s="1770"/>
      <c r="B175" s="1784"/>
      <c r="C175" s="1785"/>
      <c r="D175" s="1786" t="s">
        <v>2055</v>
      </c>
      <c r="E175" s="1787"/>
      <c r="F175" s="1789">
        <f>'PCTC-OEPP 27-28'!F77-F174</f>
        <v>17813209</v>
      </c>
    </row>
    <row r="176" spans="1:7" ht="12" customHeight="1" x14ac:dyDescent="0.2">
      <c r="A176" s="1770"/>
      <c r="B176" s="1784"/>
      <c r="C176" s="1785"/>
      <c r="D176" s="1786" t="s">
        <v>1817</v>
      </c>
      <c r="E176" s="1787"/>
      <c r="F176" s="1789">
        <f>'Cap Outlay Deprec 26'!I18</f>
        <v>1330680</v>
      </c>
    </row>
    <row r="177" spans="1:7" ht="12" customHeight="1" x14ac:dyDescent="0.2">
      <c r="A177" s="1770"/>
      <c r="B177" s="1784"/>
      <c r="C177" s="1785"/>
      <c r="D177" s="1786" t="s">
        <v>2056</v>
      </c>
      <c r="E177" s="1787"/>
      <c r="F177" s="1789">
        <f>F175+F176</f>
        <v>19143889</v>
      </c>
    </row>
    <row r="178" spans="1:7" ht="12" customHeight="1" x14ac:dyDescent="0.2">
      <c r="A178" s="1770"/>
      <c r="B178" s="1790"/>
      <c r="C178" s="1785"/>
      <c r="D178" s="1786" t="str">
        <f>D78</f>
        <v>9 Month ADA from District Average Daily Attendance/Prior General State Aid Inquiry 2018-2019</v>
      </c>
      <c r="E178" s="1787"/>
      <c r="F178" s="1791">
        <f>'PCTC-OEPP 27-28'!F78</f>
        <v>2346</v>
      </c>
      <c r="G178" s="930"/>
    </row>
    <row r="179" spans="1:7" ht="12" customHeight="1" thickBot="1" x14ac:dyDescent="0.25">
      <c r="A179" s="1770"/>
      <c r="B179" s="1790"/>
      <c r="C179" s="1785"/>
      <c r="D179" s="1786" t="s">
        <v>2057</v>
      </c>
      <c r="E179" s="1787" t="s">
        <v>1545</v>
      </c>
      <c r="F179" s="1792">
        <f>F177/F178</f>
        <v>8160.2254901960787</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2"/>
  <sheetViews>
    <sheetView showGridLines="0" topLeftCell="A13" zoomScaleNormal="100" workbookViewId="0">
      <selection activeCell="O40" sqref="O40"/>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82" t="s">
        <v>1818</v>
      </c>
      <c r="B4" s="2283"/>
      <c r="C4" s="2283"/>
      <c r="D4" s="2283"/>
      <c r="E4" s="2283"/>
      <c r="F4" s="2283"/>
      <c r="G4" s="2284"/>
    </row>
    <row r="5" spans="1:7" x14ac:dyDescent="0.25">
      <c r="A5" s="2285"/>
      <c r="B5" s="2286"/>
      <c r="C5" s="2286"/>
      <c r="D5" s="2286"/>
      <c r="E5" s="2286"/>
      <c r="F5" s="2286"/>
      <c r="G5" s="2287"/>
    </row>
    <row r="6" spans="1:7" ht="18.75" x14ac:dyDescent="0.25">
      <c r="A6" s="1937" t="s">
        <v>2064</v>
      </c>
      <c r="B6" s="1938"/>
      <c r="C6" s="1938"/>
      <c r="D6" s="1938"/>
      <c r="E6" s="1938"/>
      <c r="F6" s="1938"/>
      <c r="G6" s="1939"/>
    </row>
    <row r="7" spans="1:7" ht="18.75" x14ac:dyDescent="0.25">
      <c r="A7" s="1534" t="s">
        <v>1819</v>
      </c>
      <c r="B7" s="1535"/>
      <c r="C7" s="1535"/>
      <c r="D7" s="1535"/>
      <c r="E7" s="1535"/>
      <c r="F7" s="1535"/>
      <c r="G7" s="1536"/>
    </row>
    <row r="8" spans="1:7" ht="30.75" customHeight="1" x14ac:dyDescent="0.25">
      <c r="A8" s="2288" t="s">
        <v>1931</v>
      </c>
      <c r="B8" s="2289"/>
      <c r="C8" s="2289"/>
      <c r="D8" s="2289"/>
      <c r="E8" s="2289"/>
      <c r="F8" s="2289"/>
      <c r="G8" s="2290"/>
    </row>
    <row r="9" spans="1:7" ht="15.75" customHeight="1" x14ac:dyDescent="0.25">
      <c r="A9" s="2291" t="s">
        <v>1906</v>
      </c>
      <c r="B9" s="2292"/>
      <c r="C9" s="2292"/>
      <c r="D9" s="2292"/>
      <c r="E9" s="2292"/>
      <c r="F9" s="2292"/>
      <c r="G9" s="2293"/>
    </row>
    <row r="10" spans="1:7" ht="35.25" customHeight="1" x14ac:dyDescent="0.25">
      <c r="A10" s="2288" t="s">
        <v>2063</v>
      </c>
      <c r="B10" s="2289"/>
      <c r="C10" s="2289"/>
      <c r="D10" s="2289"/>
      <c r="E10" s="2289"/>
      <c r="F10" s="2289"/>
      <c r="G10" s="2290"/>
    </row>
    <row r="11" spans="1:7" ht="15" customHeight="1" x14ac:dyDescent="0.25">
      <c r="A11" s="1537" t="s">
        <v>1820</v>
      </c>
      <c r="B11" s="1538"/>
      <c r="C11" s="1538"/>
      <c r="D11" s="1538"/>
      <c r="E11" s="1538"/>
      <c r="F11" s="1538"/>
      <c r="G11" s="1539"/>
    </row>
    <row r="12" spans="1:7" ht="17.25" customHeight="1" x14ac:dyDescent="0.25">
      <c r="A12" s="2288" t="s">
        <v>1933</v>
      </c>
      <c r="B12" s="2289"/>
      <c r="C12" s="2289"/>
      <c r="D12" s="2289"/>
      <c r="E12" s="2289"/>
      <c r="F12" s="2289"/>
      <c r="G12" s="2290"/>
    </row>
    <row r="13" spans="1:7" ht="15" customHeight="1" x14ac:dyDescent="0.25">
      <c r="A13" s="1537" t="s">
        <v>1825</v>
      </c>
      <c r="B13" s="1538"/>
      <c r="C13" s="1538"/>
      <c r="D13" s="1538"/>
      <c r="E13" s="1538"/>
      <c r="F13" s="1538"/>
      <c r="G13" s="1539"/>
    </row>
    <row r="14" spans="1:7" ht="32.25" customHeight="1" x14ac:dyDescent="0.25">
      <c r="A14" s="2279" t="s">
        <v>1974</v>
      </c>
      <c r="B14" s="2280"/>
      <c r="C14" s="2280"/>
      <c r="D14" s="2280"/>
      <c r="E14" s="2280"/>
      <c r="F14" s="2280"/>
      <c r="G14" s="2281"/>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3" t="s">
        <v>2105</v>
      </c>
      <c r="B18" s="1942" t="s">
        <v>2104</v>
      </c>
      <c r="C18" s="1941" t="s">
        <v>2103</v>
      </c>
      <c r="D18" s="1844">
        <v>2180974</v>
      </c>
      <c r="E18" s="1540">
        <f t="shared" ref="E18:E142" si="0">IF(D18&lt;=25000,D18,IF(D18&gt;25000,25000,0))</f>
        <v>25000</v>
      </c>
      <c r="F18" s="1936">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3">
        <f>IF(F18=0,0,D18-F18)</f>
        <v>2155974</v>
      </c>
      <c r="H18" s="1647"/>
    </row>
    <row r="19" spans="1:8" x14ac:dyDescent="0.25">
      <c r="A19" s="1653"/>
      <c r="B19" s="1933"/>
      <c r="C19" s="1656"/>
      <c r="D19" s="1844"/>
      <c r="E19" s="1540">
        <f t="shared" ref="E19:E141" si="2">IF(D19&lt;=25000,D19,IF(D19&gt;25000,25000,0))</f>
        <v>0</v>
      </c>
      <c r="F19" s="1936">
        <f t="shared" si="1"/>
        <v>0</v>
      </c>
      <c r="G19" s="1793">
        <f t="shared" ref="G19:G141" si="3">IF(F19=0,0,D19-F19)</f>
        <v>0</v>
      </c>
    </row>
    <row r="20" spans="1:8" x14ac:dyDescent="0.25">
      <c r="A20" s="1653"/>
      <c r="B20" s="1933"/>
      <c r="C20" s="1656"/>
      <c r="D20" s="1844"/>
      <c r="E20" s="1540">
        <f t="shared" si="2"/>
        <v>0</v>
      </c>
      <c r="F20" s="1936">
        <f t="shared" si="1"/>
        <v>0</v>
      </c>
      <c r="G20" s="1793">
        <f t="shared" si="3"/>
        <v>0</v>
      </c>
    </row>
    <row r="21" spans="1:8" x14ac:dyDescent="0.25">
      <c r="A21" s="1653"/>
      <c r="B21" s="1933"/>
      <c r="C21" s="1656"/>
      <c r="D21" s="1844"/>
      <c r="E21" s="1540">
        <f t="shared" si="2"/>
        <v>0</v>
      </c>
      <c r="F21" s="1936">
        <f t="shared" si="1"/>
        <v>0</v>
      </c>
      <c r="G21" s="1793">
        <f t="shared" si="3"/>
        <v>0</v>
      </c>
    </row>
    <row r="22" spans="1:8" x14ac:dyDescent="0.25">
      <c r="A22" s="1653"/>
      <c r="B22" s="1933"/>
      <c r="C22" s="1656"/>
      <c r="D22" s="1844"/>
      <c r="E22" s="1540">
        <f t="shared" si="2"/>
        <v>0</v>
      </c>
      <c r="F22" s="1936">
        <f t="shared" si="1"/>
        <v>0</v>
      </c>
      <c r="G22" s="1793">
        <f t="shared" si="3"/>
        <v>0</v>
      </c>
    </row>
    <row r="23" spans="1:8" x14ac:dyDescent="0.25">
      <c r="A23" s="1653"/>
      <c r="B23" s="1933"/>
      <c r="C23" s="1656"/>
      <c r="D23" s="1844"/>
      <c r="E23" s="1540">
        <f t="shared" si="2"/>
        <v>0</v>
      </c>
      <c r="F23" s="1936">
        <f t="shared" si="1"/>
        <v>0</v>
      </c>
      <c r="G23" s="1793">
        <f t="shared" si="3"/>
        <v>0</v>
      </c>
    </row>
    <row r="24" spans="1:8" x14ac:dyDescent="0.25">
      <c r="A24" s="1653"/>
      <c r="B24" s="1933"/>
      <c r="C24" s="1656"/>
      <c r="D24" s="1844"/>
      <c r="E24" s="1540">
        <f t="shared" si="2"/>
        <v>0</v>
      </c>
      <c r="F24" s="1936">
        <f t="shared" si="1"/>
        <v>0</v>
      </c>
      <c r="G24" s="1793">
        <f t="shared" si="3"/>
        <v>0</v>
      </c>
    </row>
    <row r="25" spans="1:8" x14ac:dyDescent="0.25">
      <c r="A25" s="1653"/>
      <c r="B25" s="1933"/>
      <c r="C25" s="1656"/>
      <c r="D25" s="1844"/>
      <c r="E25" s="1540">
        <f t="shared" si="2"/>
        <v>0</v>
      </c>
      <c r="F25" s="1936">
        <f t="shared" si="1"/>
        <v>0</v>
      </c>
      <c r="G25" s="1793">
        <f t="shared" si="3"/>
        <v>0</v>
      </c>
    </row>
    <row r="26" spans="1:8" x14ac:dyDescent="0.25">
      <c r="A26" s="1653"/>
      <c r="B26" s="1933"/>
      <c r="C26" s="1656"/>
      <c r="D26" s="1844"/>
      <c r="E26" s="1540">
        <f t="shared" si="2"/>
        <v>0</v>
      </c>
      <c r="F26" s="1936">
        <f t="shared" si="1"/>
        <v>0</v>
      </c>
      <c r="G26" s="1793">
        <f t="shared" si="3"/>
        <v>0</v>
      </c>
    </row>
    <row r="27" spans="1:8" x14ac:dyDescent="0.25">
      <c r="A27" s="1653"/>
      <c r="B27" s="1933"/>
      <c r="C27" s="1654"/>
      <c r="D27" s="1844"/>
      <c r="E27" s="1540">
        <f t="shared" si="2"/>
        <v>0</v>
      </c>
      <c r="F27" s="1936">
        <f t="shared" si="1"/>
        <v>0</v>
      </c>
      <c r="G27" s="1793">
        <f t="shared" si="3"/>
        <v>0</v>
      </c>
    </row>
    <row r="28" spans="1:8" x14ac:dyDescent="0.25">
      <c r="A28" s="1653"/>
      <c r="B28" s="1933"/>
      <c r="C28" s="1654"/>
      <c r="D28" s="1844"/>
      <c r="E28" s="1540">
        <f t="shared" si="2"/>
        <v>0</v>
      </c>
      <c r="F28" s="1936">
        <f t="shared" si="1"/>
        <v>0</v>
      </c>
      <c r="G28" s="1793">
        <f t="shared" si="3"/>
        <v>0</v>
      </c>
    </row>
    <row r="29" spans="1:8" x14ac:dyDescent="0.25">
      <c r="A29" s="1653"/>
      <c r="B29" s="1933"/>
      <c r="C29" s="1654"/>
      <c r="D29" s="1844"/>
      <c r="E29" s="1540">
        <f t="shared" si="2"/>
        <v>0</v>
      </c>
      <c r="F29" s="1936">
        <f t="shared" si="1"/>
        <v>0</v>
      </c>
      <c r="G29" s="1793">
        <f t="shared" si="3"/>
        <v>0</v>
      </c>
    </row>
    <row r="30" spans="1:8" x14ac:dyDescent="0.25">
      <c r="A30" s="1653"/>
      <c r="B30" s="1933"/>
      <c r="C30" s="1654"/>
      <c r="D30" s="1844"/>
      <c r="E30" s="1540">
        <f t="shared" si="2"/>
        <v>0</v>
      </c>
      <c r="F30" s="1936">
        <f t="shared" si="1"/>
        <v>0</v>
      </c>
      <c r="G30" s="1793">
        <f t="shared" si="3"/>
        <v>0</v>
      </c>
    </row>
    <row r="31" spans="1:8" x14ac:dyDescent="0.25">
      <c r="A31" s="1653"/>
      <c r="B31" s="1933"/>
      <c r="C31" s="1654"/>
      <c r="D31" s="1844"/>
      <c r="E31" s="1540">
        <f t="shared" si="2"/>
        <v>0</v>
      </c>
      <c r="F31" s="1936">
        <f t="shared" si="1"/>
        <v>0</v>
      </c>
      <c r="G31" s="1793">
        <f t="shared" si="3"/>
        <v>0</v>
      </c>
    </row>
    <row r="32" spans="1:8" x14ac:dyDescent="0.25">
      <c r="A32" s="1653"/>
      <c r="B32" s="1933"/>
      <c r="C32" s="1654"/>
      <c r="D32" s="1844"/>
      <c r="E32" s="1540">
        <f t="shared" si="2"/>
        <v>0</v>
      </c>
      <c r="F32" s="1936">
        <f t="shared" si="1"/>
        <v>0</v>
      </c>
      <c r="G32" s="1793">
        <f t="shared" si="3"/>
        <v>0</v>
      </c>
    </row>
    <row r="33" spans="1:7" x14ac:dyDescent="0.25">
      <c r="A33" s="1653"/>
      <c r="B33" s="1933"/>
      <c r="C33" s="1654"/>
      <c r="D33" s="1844"/>
      <c r="E33" s="1540">
        <f t="shared" si="2"/>
        <v>0</v>
      </c>
      <c r="F33" s="1936">
        <f t="shared" si="1"/>
        <v>0</v>
      </c>
      <c r="G33" s="1793">
        <f t="shared" si="3"/>
        <v>0</v>
      </c>
    </row>
    <row r="34" spans="1:7" x14ac:dyDescent="0.25">
      <c r="A34" s="1653"/>
      <c r="B34" s="1933"/>
      <c r="C34" s="1654"/>
      <c r="D34" s="1844"/>
      <c r="E34" s="1540">
        <f t="shared" si="2"/>
        <v>0</v>
      </c>
      <c r="F34" s="1936">
        <f t="shared" si="1"/>
        <v>0</v>
      </c>
      <c r="G34" s="1793">
        <f t="shared" si="3"/>
        <v>0</v>
      </c>
    </row>
    <row r="35" spans="1:7" x14ac:dyDescent="0.25">
      <c r="A35" s="1653"/>
      <c r="B35" s="1933"/>
      <c r="C35" s="1654"/>
      <c r="D35" s="1844"/>
      <c r="E35" s="1540">
        <f t="shared" si="2"/>
        <v>0</v>
      </c>
      <c r="F35" s="1936">
        <f t="shared" si="1"/>
        <v>0</v>
      </c>
      <c r="G35" s="1793">
        <f t="shared" si="3"/>
        <v>0</v>
      </c>
    </row>
    <row r="36" spans="1:7" x14ac:dyDescent="0.25">
      <c r="A36" s="1653"/>
      <c r="B36" s="1933"/>
      <c r="C36" s="1654"/>
      <c r="D36" s="1844"/>
      <c r="E36" s="1540">
        <f t="shared" si="2"/>
        <v>0</v>
      </c>
      <c r="F36" s="1936">
        <f t="shared" si="1"/>
        <v>0</v>
      </c>
      <c r="G36" s="1793">
        <f t="shared" si="3"/>
        <v>0</v>
      </c>
    </row>
    <row r="37" spans="1:7" x14ac:dyDescent="0.25">
      <c r="A37" s="1653"/>
      <c r="B37" s="1933"/>
      <c r="C37" s="1654"/>
      <c r="D37" s="1844"/>
      <c r="E37" s="1540">
        <f t="shared" si="2"/>
        <v>0</v>
      </c>
      <c r="F37" s="1936">
        <f t="shared" si="1"/>
        <v>0</v>
      </c>
      <c r="G37" s="1793">
        <f t="shared" si="3"/>
        <v>0</v>
      </c>
    </row>
    <row r="38" spans="1:7" x14ac:dyDescent="0.25">
      <c r="A38" s="1653"/>
      <c r="B38" s="1933"/>
      <c r="C38" s="1654"/>
      <c r="D38" s="1844"/>
      <c r="E38" s="1540">
        <f t="shared" si="2"/>
        <v>0</v>
      </c>
      <c r="F38" s="1936">
        <f t="shared" si="1"/>
        <v>0</v>
      </c>
      <c r="G38" s="1793">
        <f t="shared" si="3"/>
        <v>0</v>
      </c>
    </row>
    <row r="39" spans="1:7" x14ac:dyDescent="0.25">
      <c r="A39" s="1653"/>
      <c r="B39" s="1934"/>
      <c r="C39" s="1654"/>
      <c r="D39" s="1844"/>
      <c r="E39" s="1540">
        <f t="shared" si="2"/>
        <v>0</v>
      </c>
      <c r="F39" s="1936">
        <f t="shared" si="1"/>
        <v>0</v>
      </c>
      <c r="G39" s="1793">
        <f t="shared" si="3"/>
        <v>0</v>
      </c>
    </row>
    <row r="40" spans="1:7" x14ac:dyDescent="0.25">
      <c r="A40" s="1653"/>
      <c r="B40" s="1934"/>
      <c r="C40" s="1654"/>
      <c r="D40" s="1844"/>
      <c r="E40" s="1540">
        <f t="shared" si="2"/>
        <v>0</v>
      </c>
      <c r="F40" s="1936">
        <f t="shared" si="1"/>
        <v>0</v>
      </c>
      <c r="G40" s="1793">
        <f t="shared" si="3"/>
        <v>0</v>
      </c>
    </row>
    <row r="41" spans="1:7" x14ac:dyDescent="0.25">
      <c r="A41" s="1653"/>
      <c r="B41" s="1934"/>
      <c r="C41" s="1654"/>
      <c r="D41" s="1844"/>
      <c r="E41" s="1540">
        <f t="shared" si="2"/>
        <v>0</v>
      </c>
      <c r="F41" s="1936">
        <f t="shared" si="1"/>
        <v>0</v>
      </c>
      <c r="G41" s="1793">
        <f t="shared" si="3"/>
        <v>0</v>
      </c>
    </row>
    <row r="42" spans="1:7" x14ac:dyDescent="0.25">
      <c r="A42" s="1653"/>
      <c r="B42" s="1934"/>
      <c r="C42" s="1654"/>
      <c r="D42" s="1844"/>
      <c r="E42" s="1540">
        <f t="shared" si="2"/>
        <v>0</v>
      </c>
      <c r="F42" s="1936">
        <f t="shared" si="1"/>
        <v>0</v>
      </c>
      <c r="G42" s="1793">
        <f t="shared" si="3"/>
        <v>0</v>
      </c>
    </row>
    <row r="43" spans="1:7" x14ac:dyDescent="0.25">
      <c r="A43" s="1653"/>
      <c r="B43" s="1934"/>
      <c r="C43" s="1654"/>
      <c r="D43" s="1844"/>
      <c r="E43" s="1540">
        <f t="shared" si="2"/>
        <v>0</v>
      </c>
      <c r="F43" s="1936">
        <f t="shared" si="1"/>
        <v>0</v>
      </c>
      <c r="G43" s="1793">
        <f t="shared" si="3"/>
        <v>0</v>
      </c>
    </row>
    <row r="44" spans="1:7" x14ac:dyDescent="0.25">
      <c r="A44" s="1653"/>
      <c r="B44" s="1934"/>
      <c r="C44" s="1654"/>
      <c r="D44" s="1844"/>
      <c r="E44" s="1540">
        <f t="shared" si="2"/>
        <v>0</v>
      </c>
      <c r="F44" s="1936">
        <f t="shared" si="1"/>
        <v>0</v>
      </c>
      <c r="G44" s="1793">
        <f t="shared" si="3"/>
        <v>0</v>
      </c>
    </row>
    <row r="45" spans="1:7" x14ac:dyDescent="0.25">
      <c r="A45" s="1653"/>
      <c r="B45" s="1934"/>
      <c r="C45" s="1654"/>
      <c r="D45" s="1844"/>
      <c r="E45" s="1540">
        <f t="shared" si="2"/>
        <v>0</v>
      </c>
      <c r="F45" s="1936">
        <f t="shared" si="1"/>
        <v>0</v>
      </c>
      <c r="G45" s="1793">
        <f t="shared" si="3"/>
        <v>0</v>
      </c>
    </row>
    <row r="46" spans="1:7" x14ac:dyDescent="0.25">
      <c r="A46" s="1653"/>
      <c r="B46" s="1934"/>
      <c r="C46" s="1654"/>
      <c r="D46" s="1844"/>
      <c r="E46" s="1540">
        <f t="shared" si="2"/>
        <v>0</v>
      </c>
      <c r="F46" s="1936">
        <f t="shared" si="1"/>
        <v>0</v>
      </c>
      <c r="G46" s="1793">
        <f t="shared" si="3"/>
        <v>0</v>
      </c>
    </row>
    <row r="47" spans="1:7" x14ac:dyDescent="0.25">
      <c r="A47" s="1653"/>
      <c r="B47" s="1667"/>
      <c r="C47" s="1654"/>
      <c r="D47" s="1844"/>
      <c r="E47" s="1540">
        <f t="shared" si="2"/>
        <v>0</v>
      </c>
      <c r="F47" s="1936">
        <f t="shared" si="1"/>
        <v>0</v>
      </c>
      <c r="G47" s="1793">
        <f t="shared" si="3"/>
        <v>0</v>
      </c>
    </row>
    <row r="48" spans="1:7" x14ac:dyDescent="0.25">
      <c r="A48" s="1653"/>
      <c r="B48" s="1667"/>
      <c r="C48" s="1654"/>
      <c r="D48" s="1844"/>
      <c r="E48" s="1540">
        <f t="shared" si="2"/>
        <v>0</v>
      </c>
      <c r="F48" s="1936">
        <f t="shared" si="1"/>
        <v>0</v>
      </c>
      <c r="G48" s="1793">
        <f t="shared" si="3"/>
        <v>0</v>
      </c>
    </row>
    <row r="49" spans="1:7" x14ac:dyDescent="0.25">
      <c r="A49" s="1653"/>
      <c r="B49" s="1667"/>
      <c r="C49" s="1654"/>
      <c r="D49" s="1844"/>
      <c r="E49" s="1540">
        <f t="shared" si="2"/>
        <v>0</v>
      </c>
      <c r="F49" s="1936">
        <f t="shared" si="1"/>
        <v>0</v>
      </c>
      <c r="G49" s="1793">
        <f t="shared" si="3"/>
        <v>0</v>
      </c>
    </row>
    <row r="50" spans="1:7" x14ac:dyDescent="0.25">
      <c r="A50" s="1653"/>
      <c r="B50" s="1667"/>
      <c r="C50" s="1654"/>
      <c r="D50" s="1844"/>
      <c r="E50" s="1540">
        <f t="shared" si="2"/>
        <v>0</v>
      </c>
      <c r="F50" s="1936">
        <f t="shared" si="1"/>
        <v>0</v>
      </c>
      <c r="G50" s="1793">
        <f t="shared" si="3"/>
        <v>0</v>
      </c>
    </row>
    <row r="51" spans="1:7" x14ac:dyDescent="0.25">
      <c r="A51" s="1653"/>
      <c r="B51" s="1667"/>
      <c r="C51" s="1654"/>
      <c r="D51" s="1844"/>
      <c r="E51" s="1540">
        <f t="shared" si="2"/>
        <v>0</v>
      </c>
      <c r="F51" s="1936">
        <f t="shared" si="1"/>
        <v>0</v>
      </c>
      <c r="G51" s="1793">
        <f t="shared" si="3"/>
        <v>0</v>
      </c>
    </row>
    <row r="52" spans="1:7" x14ac:dyDescent="0.25">
      <c r="A52" s="1653"/>
      <c r="B52" s="1667"/>
      <c r="C52" s="1654"/>
      <c r="D52" s="1844"/>
      <c r="E52" s="1540">
        <f t="shared" si="2"/>
        <v>0</v>
      </c>
      <c r="F52" s="1936">
        <f t="shared" si="1"/>
        <v>0</v>
      </c>
      <c r="G52" s="1793">
        <f t="shared" si="3"/>
        <v>0</v>
      </c>
    </row>
    <row r="53" spans="1:7" x14ac:dyDescent="0.25">
      <c r="A53" s="1653"/>
      <c r="B53" s="1667"/>
      <c r="C53" s="1654"/>
      <c r="D53" s="1844"/>
      <c r="E53" s="1540">
        <f t="shared" si="2"/>
        <v>0</v>
      </c>
      <c r="F53" s="1936">
        <f t="shared" si="1"/>
        <v>0</v>
      </c>
      <c r="G53" s="1793">
        <f t="shared" si="3"/>
        <v>0</v>
      </c>
    </row>
    <row r="54" spans="1:7" x14ac:dyDescent="0.25">
      <c r="A54" s="1653"/>
      <c r="B54" s="1667"/>
      <c r="C54" s="1654"/>
      <c r="D54" s="1844"/>
      <c r="E54" s="1540">
        <f t="shared" si="2"/>
        <v>0</v>
      </c>
      <c r="F54" s="1936">
        <f t="shared" si="1"/>
        <v>0</v>
      </c>
      <c r="G54" s="1793">
        <f t="shared" si="3"/>
        <v>0</v>
      </c>
    </row>
    <row r="55" spans="1:7" x14ac:dyDescent="0.25">
      <c r="A55" s="1653"/>
      <c r="B55" s="1667"/>
      <c r="C55" s="1654"/>
      <c r="D55" s="1844"/>
      <c r="E55" s="1540">
        <f t="shared" si="2"/>
        <v>0</v>
      </c>
      <c r="F55" s="1936">
        <f t="shared" si="1"/>
        <v>0</v>
      </c>
      <c r="G55" s="1793">
        <f t="shared" si="3"/>
        <v>0</v>
      </c>
    </row>
    <row r="56" spans="1:7" x14ac:dyDescent="0.25">
      <c r="A56" s="1653"/>
      <c r="B56" s="1667"/>
      <c r="C56" s="1654"/>
      <c r="D56" s="1844"/>
      <c r="E56" s="1540">
        <f t="shared" si="2"/>
        <v>0</v>
      </c>
      <c r="F56" s="1936">
        <f t="shared" si="1"/>
        <v>0</v>
      </c>
      <c r="G56" s="1793">
        <f t="shared" si="3"/>
        <v>0</v>
      </c>
    </row>
    <row r="57" spans="1:7" x14ac:dyDescent="0.25">
      <c r="A57" s="1653"/>
      <c r="B57" s="1667"/>
      <c r="C57" s="1654"/>
      <c r="D57" s="1844"/>
      <c r="E57" s="1540">
        <f t="shared" si="2"/>
        <v>0</v>
      </c>
      <c r="F57" s="1936">
        <f t="shared" si="1"/>
        <v>0</v>
      </c>
      <c r="G57" s="1793">
        <f t="shared" si="3"/>
        <v>0</v>
      </c>
    </row>
    <row r="58" spans="1:7" x14ac:dyDescent="0.25">
      <c r="A58" s="1653"/>
      <c r="B58" s="1667"/>
      <c r="C58" s="1654"/>
      <c r="D58" s="1844"/>
      <c r="E58" s="1540">
        <f t="shared" si="2"/>
        <v>0</v>
      </c>
      <c r="F58" s="1936">
        <f t="shared" si="1"/>
        <v>0</v>
      </c>
      <c r="G58" s="1793">
        <f t="shared" si="3"/>
        <v>0</v>
      </c>
    </row>
    <row r="59" spans="1:7" x14ac:dyDescent="0.25">
      <c r="A59" s="1653"/>
      <c r="B59" s="1667"/>
      <c r="C59" s="1654"/>
      <c r="D59" s="1844"/>
      <c r="E59" s="1540">
        <f t="shared" si="2"/>
        <v>0</v>
      </c>
      <c r="F59" s="1936">
        <f t="shared" si="1"/>
        <v>0</v>
      </c>
      <c r="G59" s="1793">
        <f t="shared" si="3"/>
        <v>0</v>
      </c>
    </row>
    <row r="60" spans="1:7" x14ac:dyDescent="0.25">
      <c r="A60" s="1653"/>
      <c r="B60" s="1667"/>
      <c r="C60" s="1654"/>
      <c r="D60" s="1844"/>
      <c r="E60" s="1540">
        <f t="shared" si="2"/>
        <v>0</v>
      </c>
      <c r="F60" s="1936">
        <f t="shared" si="1"/>
        <v>0</v>
      </c>
      <c r="G60" s="1793">
        <f t="shared" si="3"/>
        <v>0</v>
      </c>
    </row>
    <row r="61" spans="1:7" x14ac:dyDescent="0.25">
      <c r="A61" s="1653"/>
      <c r="B61" s="1667"/>
      <c r="C61" s="1654"/>
      <c r="D61" s="1844"/>
      <c r="E61" s="1540">
        <f t="shared" si="2"/>
        <v>0</v>
      </c>
      <c r="F61" s="1936">
        <f t="shared" si="1"/>
        <v>0</v>
      </c>
      <c r="G61" s="1793">
        <f t="shared" si="3"/>
        <v>0</v>
      </c>
    </row>
    <row r="62" spans="1:7" x14ac:dyDescent="0.25">
      <c r="A62" s="1653"/>
      <c r="B62" s="1667"/>
      <c r="C62" s="1654"/>
      <c r="D62" s="1844"/>
      <c r="E62" s="1540">
        <f t="shared" si="2"/>
        <v>0</v>
      </c>
      <c r="F62" s="1936">
        <f t="shared" si="1"/>
        <v>0</v>
      </c>
      <c r="G62" s="1793">
        <f t="shared" si="3"/>
        <v>0</v>
      </c>
    </row>
    <row r="63" spans="1:7" x14ac:dyDescent="0.25">
      <c r="A63" s="1653"/>
      <c r="B63" s="1667"/>
      <c r="C63" s="1654"/>
      <c r="D63" s="1844"/>
      <c r="E63" s="1540">
        <f t="shared" si="2"/>
        <v>0</v>
      </c>
      <c r="F63" s="1936">
        <f t="shared" si="1"/>
        <v>0</v>
      </c>
      <c r="G63" s="1793">
        <f t="shared" si="3"/>
        <v>0</v>
      </c>
    </row>
    <row r="64" spans="1:7" x14ac:dyDescent="0.25">
      <c r="A64" s="1653"/>
      <c r="B64" s="1667"/>
      <c r="C64" s="1654"/>
      <c r="D64" s="1844"/>
      <c r="E64" s="1540">
        <f t="shared" si="2"/>
        <v>0</v>
      </c>
      <c r="F64" s="1936">
        <f t="shared" si="1"/>
        <v>0</v>
      </c>
      <c r="G64" s="1793">
        <f t="shared" si="3"/>
        <v>0</v>
      </c>
    </row>
    <row r="65" spans="1:7" x14ac:dyDescent="0.25">
      <c r="A65" s="1655"/>
      <c r="B65" s="1667"/>
      <c r="C65" s="1656"/>
      <c r="D65" s="1844"/>
      <c r="E65" s="1540">
        <f t="shared" si="2"/>
        <v>0</v>
      </c>
      <c r="F65" s="1936">
        <f t="shared" si="1"/>
        <v>0</v>
      </c>
      <c r="G65" s="1793">
        <f t="shared" si="3"/>
        <v>0</v>
      </c>
    </row>
    <row r="66" spans="1:7" x14ac:dyDescent="0.25">
      <c r="A66" s="1653"/>
      <c r="B66" s="1667"/>
      <c r="C66" s="1654"/>
      <c r="D66" s="1844"/>
      <c r="E66" s="1540">
        <f t="shared" si="2"/>
        <v>0</v>
      </c>
      <c r="F66" s="1936">
        <f t="shared" si="1"/>
        <v>0</v>
      </c>
      <c r="G66" s="1793">
        <f t="shared" si="3"/>
        <v>0</v>
      </c>
    </row>
    <row r="67" spans="1:7" x14ac:dyDescent="0.25">
      <c r="A67" s="1653"/>
      <c r="B67" s="1667"/>
      <c r="C67" s="1654"/>
      <c r="D67" s="1844"/>
      <c r="E67" s="1540">
        <f t="shared" si="2"/>
        <v>0</v>
      </c>
      <c r="F67" s="1936">
        <f t="shared" si="1"/>
        <v>0</v>
      </c>
      <c r="G67" s="1793">
        <f t="shared" si="3"/>
        <v>0</v>
      </c>
    </row>
    <row r="68" spans="1:7" x14ac:dyDescent="0.25">
      <c r="A68" s="1653"/>
      <c r="B68" s="1667"/>
      <c r="C68" s="1654"/>
      <c r="D68" s="1844"/>
      <c r="E68" s="1540">
        <f t="shared" si="2"/>
        <v>0</v>
      </c>
      <c r="F68" s="1936">
        <f t="shared" si="1"/>
        <v>0</v>
      </c>
      <c r="G68" s="1793">
        <f t="shared" si="3"/>
        <v>0</v>
      </c>
    </row>
    <row r="69" spans="1:7" x14ac:dyDescent="0.25">
      <c r="A69" s="1653"/>
      <c r="B69" s="1667"/>
      <c r="C69" s="1654"/>
      <c r="D69" s="1844"/>
      <c r="E69" s="1540">
        <f t="shared" si="2"/>
        <v>0</v>
      </c>
      <c r="F69" s="1936">
        <f t="shared" si="1"/>
        <v>0</v>
      </c>
      <c r="G69" s="1793">
        <f t="shared" si="3"/>
        <v>0</v>
      </c>
    </row>
    <row r="70" spans="1:7" x14ac:dyDescent="0.25">
      <c r="A70" s="1653"/>
      <c r="B70" s="1667"/>
      <c r="C70" s="1654"/>
      <c r="D70" s="1844"/>
      <c r="E70" s="1540">
        <f t="shared" si="2"/>
        <v>0</v>
      </c>
      <c r="F70" s="1936">
        <f t="shared" si="1"/>
        <v>0</v>
      </c>
      <c r="G70" s="1793">
        <f t="shared" si="3"/>
        <v>0</v>
      </c>
    </row>
    <row r="71" spans="1:7" x14ac:dyDescent="0.25">
      <c r="A71" s="1653"/>
      <c r="B71" s="1667"/>
      <c r="C71" s="1654"/>
      <c r="D71" s="1844"/>
      <c r="E71" s="1540">
        <f t="shared" si="2"/>
        <v>0</v>
      </c>
      <c r="F71" s="1936">
        <f t="shared" si="1"/>
        <v>0</v>
      </c>
      <c r="G71" s="1793">
        <f t="shared" si="3"/>
        <v>0</v>
      </c>
    </row>
    <row r="72" spans="1:7" x14ac:dyDescent="0.25">
      <c r="A72" s="1653"/>
      <c r="B72" s="1667"/>
      <c r="C72" s="1654"/>
      <c r="D72" s="1844"/>
      <c r="E72" s="1540">
        <f t="shared" si="2"/>
        <v>0</v>
      </c>
      <c r="F72" s="1936">
        <f t="shared" si="1"/>
        <v>0</v>
      </c>
      <c r="G72" s="1793">
        <f t="shared" si="3"/>
        <v>0</v>
      </c>
    </row>
    <row r="73" spans="1:7" x14ac:dyDescent="0.25">
      <c r="A73" s="1653"/>
      <c r="B73" s="1667"/>
      <c r="C73" s="1654"/>
      <c r="D73" s="1844"/>
      <c r="E73" s="1540">
        <f t="shared" si="2"/>
        <v>0</v>
      </c>
      <c r="F73" s="1936">
        <f t="shared" si="1"/>
        <v>0</v>
      </c>
      <c r="G73" s="1793">
        <f t="shared" si="3"/>
        <v>0</v>
      </c>
    </row>
    <row r="74" spans="1:7" x14ac:dyDescent="0.25">
      <c r="A74" s="1653"/>
      <c r="B74" s="1667"/>
      <c r="C74" s="1654"/>
      <c r="D74" s="1844"/>
      <c r="E74" s="1540">
        <f t="shared" ref="E74:E85" si="4">IF(D74&lt;=25000,D74,IF(D74&gt;25000,25000,0))</f>
        <v>0</v>
      </c>
      <c r="F74" s="1936">
        <f t="shared" si="1"/>
        <v>0</v>
      </c>
      <c r="G74" s="1793">
        <f t="shared" ref="G74:G85" si="5">IF(F74=0,0,D74-F74)</f>
        <v>0</v>
      </c>
    </row>
    <row r="75" spans="1:7" x14ac:dyDescent="0.25">
      <c r="A75" s="1653"/>
      <c r="B75" s="1667"/>
      <c r="C75" s="1654"/>
      <c r="D75" s="1844"/>
      <c r="E75" s="1540">
        <f t="shared" si="4"/>
        <v>0</v>
      </c>
      <c r="F75" s="1936">
        <f t="shared" si="1"/>
        <v>0</v>
      </c>
      <c r="G75" s="1793">
        <f t="shared" si="5"/>
        <v>0</v>
      </c>
    </row>
    <row r="76" spans="1:7" x14ac:dyDescent="0.25">
      <c r="A76" s="1653"/>
      <c r="B76" s="1667"/>
      <c r="C76" s="1654"/>
      <c r="D76" s="1844"/>
      <c r="E76" s="1540">
        <f t="shared" si="4"/>
        <v>0</v>
      </c>
      <c r="F76" s="1936">
        <f t="shared" si="1"/>
        <v>0</v>
      </c>
      <c r="G76" s="1793">
        <f t="shared" si="5"/>
        <v>0</v>
      </c>
    </row>
    <row r="77" spans="1:7" x14ac:dyDescent="0.25">
      <c r="A77" s="1653"/>
      <c r="B77" s="1667"/>
      <c r="C77" s="1654"/>
      <c r="D77" s="1844"/>
      <c r="E77" s="1540">
        <f t="shared" si="4"/>
        <v>0</v>
      </c>
      <c r="F77" s="1936">
        <f t="shared" si="1"/>
        <v>0</v>
      </c>
      <c r="G77" s="1793">
        <f t="shared" si="5"/>
        <v>0</v>
      </c>
    </row>
    <row r="78" spans="1:7" x14ac:dyDescent="0.25">
      <c r="A78" s="1653"/>
      <c r="B78" s="1667"/>
      <c r="C78" s="1654"/>
      <c r="D78" s="1844"/>
      <c r="E78" s="1540">
        <f t="shared" si="4"/>
        <v>0</v>
      </c>
      <c r="F78" s="1936">
        <f t="shared" si="1"/>
        <v>0</v>
      </c>
      <c r="G78" s="1793">
        <f t="shared" si="5"/>
        <v>0</v>
      </c>
    </row>
    <row r="79" spans="1:7" x14ac:dyDescent="0.25">
      <c r="A79" s="1653"/>
      <c r="B79" s="1667"/>
      <c r="C79" s="1654"/>
      <c r="D79" s="1844"/>
      <c r="E79" s="1540">
        <f t="shared" si="4"/>
        <v>0</v>
      </c>
      <c r="F79" s="1936">
        <f t="shared" si="1"/>
        <v>0</v>
      </c>
      <c r="G79" s="1793">
        <f t="shared" si="5"/>
        <v>0</v>
      </c>
    </row>
    <row r="80" spans="1:7" x14ac:dyDescent="0.25">
      <c r="A80" s="1653"/>
      <c r="B80" s="1667"/>
      <c r="C80" s="1654"/>
      <c r="D80" s="1844"/>
      <c r="E80" s="1540">
        <f t="shared" si="4"/>
        <v>0</v>
      </c>
      <c r="F80" s="1936">
        <f t="shared" si="1"/>
        <v>0</v>
      </c>
      <c r="G80" s="1793">
        <f t="shared" si="5"/>
        <v>0</v>
      </c>
    </row>
    <row r="81" spans="1:7" x14ac:dyDescent="0.25">
      <c r="A81" s="1653"/>
      <c r="B81" s="1667"/>
      <c r="C81" s="1654"/>
      <c r="D81" s="1844"/>
      <c r="E81" s="1540">
        <f t="shared" si="4"/>
        <v>0</v>
      </c>
      <c r="F81" s="1936">
        <f t="shared" si="1"/>
        <v>0</v>
      </c>
      <c r="G81" s="1793">
        <f t="shared" si="5"/>
        <v>0</v>
      </c>
    </row>
    <row r="82" spans="1:7" x14ac:dyDescent="0.25">
      <c r="A82" s="1653"/>
      <c r="B82" s="1667"/>
      <c r="C82" s="1654"/>
      <c r="D82" s="1844"/>
      <c r="E82" s="1540">
        <f t="shared" si="4"/>
        <v>0</v>
      </c>
      <c r="F82" s="1936">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6">
        <f t="shared" si="6"/>
        <v>0</v>
      </c>
      <c r="G83" s="1793">
        <f t="shared" si="5"/>
        <v>0</v>
      </c>
    </row>
    <row r="84" spans="1:7" x14ac:dyDescent="0.25">
      <c r="A84" s="1653"/>
      <c r="B84" s="1667"/>
      <c r="C84" s="1654"/>
      <c r="D84" s="1844"/>
      <c r="E84" s="1540">
        <f t="shared" si="4"/>
        <v>0</v>
      </c>
      <c r="F84" s="1936">
        <f t="shared" si="6"/>
        <v>0</v>
      </c>
      <c r="G84" s="1793">
        <f t="shared" si="5"/>
        <v>0</v>
      </c>
    </row>
    <row r="85" spans="1:7" x14ac:dyDescent="0.25">
      <c r="A85" s="1653"/>
      <c r="B85" s="1667"/>
      <c r="C85" s="1654"/>
      <c r="D85" s="1844"/>
      <c r="E85" s="1540">
        <f t="shared" si="4"/>
        <v>0</v>
      </c>
      <c r="F85" s="1936">
        <f t="shared" si="6"/>
        <v>0</v>
      </c>
      <c r="G85" s="1793">
        <f t="shared" si="5"/>
        <v>0</v>
      </c>
    </row>
    <row r="86" spans="1:7" x14ac:dyDescent="0.25">
      <c r="A86" s="1653"/>
      <c r="B86" s="1667"/>
      <c r="C86" s="1654"/>
      <c r="D86" s="1844"/>
      <c r="E86" s="1540">
        <f t="shared" si="2"/>
        <v>0</v>
      </c>
      <c r="F86" s="1936">
        <f t="shared" si="6"/>
        <v>0</v>
      </c>
      <c r="G86" s="1793">
        <f t="shared" si="3"/>
        <v>0</v>
      </c>
    </row>
    <row r="87" spans="1:7" x14ac:dyDescent="0.25">
      <c r="A87" s="1653"/>
      <c r="B87" s="1667"/>
      <c r="C87" s="1654"/>
      <c r="D87" s="1844"/>
      <c r="E87" s="1540">
        <f t="shared" si="2"/>
        <v>0</v>
      </c>
      <c r="F87" s="1936">
        <f t="shared" si="6"/>
        <v>0</v>
      </c>
      <c r="G87" s="1793">
        <f t="shared" si="3"/>
        <v>0</v>
      </c>
    </row>
    <row r="88" spans="1:7" x14ac:dyDescent="0.25">
      <c r="A88" s="1653"/>
      <c r="B88" s="1667"/>
      <c r="C88" s="1654"/>
      <c r="D88" s="1844"/>
      <c r="E88" s="1540">
        <f t="shared" si="2"/>
        <v>0</v>
      </c>
      <c r="F88" s="1936">
        <f t="shared" si="6"/>
        <v>0</v>
      </c>
      <c r="G88" s="1793">
        <f t="shared" si="3"/>
        <v>0</v>
      </c>
    </row>
    <row r="89" spans="1:7" x14ac:dyDescent="0.25">
      <c r="A89" s="1653"/>
      <c r="B89" s="1667"/>
      <c r="C89" s="1654"/>
      <c r="D89" s="1844"/>
      <c r="E89" s="1540">
        <f t="shared" si="2"/>
        <v>0</v>
      </c>
      <c r="F89" s="1936">
        <f t="shared" si="6"/>
        <v>0</v>
      </c>
      <c r="G89" s="1793">
        <f t="shared" si="3"/>
        <v>0</v>
      </c>
    </row>
    <row r="90" spans="1:7" x14ac:dyDescent="0.25">
      <c r="A90" s="1653"/>
      <c r="B90" s="1667"/>
      <c r="C90" s="1654"/>
      <c r="D90" s="1844"/>
      <c r="E90" s="1540">
        <f t="shared" si="2"/>
        <v>0</v>
      </c>
      <c r="F90" s="1936">
        <f t="shared" si="6"/>
        <v>0</v>
      </c>
      <c r="G90" s="1793">
        <f t="shared" si="3"/>
        <v>0</v>
      </c>
    </row>
    <row r="91" spans="1:7" x14ac:dyDescent="0.25">
      <c r="A91" s="1653"/>
      <c r="B91" s="1667"/>
      <c r="C91" s="1654"/>
      <c r="D91" s="1844"/>
      <c r="E91" s="1540">
        <f t="shared" si="2"/>
        <v>0</v>
      </c>
      <c r="F91" s="1936">
        <f t="shared" si="6"/>
        <v>0</v>
      </c>
      <c r="G91" s="1793">
        <f t="shared" si="3"/>
        <v>0</v>
      </c>
    </row>
    <row r="92" spans="1:7" x14ac:dyDescent="0.25">
      <c r="A92" s="1653"/>
      <c r="B92" s="1667"/>
      <c r="C92" s="1654"/>
      <c r="D92" s="1844"/>
      <c r="E92" s="1540">
        <f t="shared" si="2"/>
        <v>0</v>
      </c>
      <c r="F92" s="1936">
        <f t="shared" si="6"/>
        <v>0</v>
      </c>
      <c r="G92" s="1793">
        <f t="shared" si="3"/>
        <v>0</v>
      </c>
    </row>
    <row r="93" spans="1:7" x14ac:dyDescent="0.25">
      <c r="A93" s="1653"/>
      <c r="B93" s="1667"/>
      <c r="C93" s="1654"/>
      <c r="D93" s="1844"/>
      <c r="E93" s="1540">
        <f t="shared" si="2"/>
        <v>0</v>
      </c>
      <c r="F93" s="1936">
        <f t="shared" si="6"/>
        <v>0</v>
      </c>
      <c r="G93" s="1793">
        <f t="shared" si="3"/>
        <v>0</v>
      </c>
    </row>
    <row r="94" spans="1:7" x14ac:dyDescent="0.25">
      <c r="A94" s="1653"/>
      <c r="B94" s="1667"/>
      <c r="C94" s="1654"/>
      <c r="D94" s="1844"/>
      <c r="E94" s="1540">
        <f t="shared" ref="E94" si="7">IF(D94&lt;=25000,D94,IF(D94&gt;25000,25000,0))</f>
        <v>0</v>
      </c>
      <c r="F94" s="1936">
        <f t="shared" si="6"/>
        <v>0</v>
      </c>
      <c r="G94" s="1793">
        <f t="shared" ref="G94" si="8">IF(F94=0,0,D94-F94)</f>
        <v>0</v>
      </c>
    </row>
    <row r="95" spans="1:7" x14ac:dyDescent="0.25">
      <c r="A95" s="1653"/>
      <c r="B95" s="1667"/>
      <c r="C95" s="1654"/>
      <c r="D95" s="1844"/>
      <c r="E95" s="1540">
        <f t="shared" si="2"/>
        <v>0</v>
      </c>
      <c r="F95" s="1936">
        <f t="shared" si="6"/>
        <v>0</v>
      </c>
      <c r="G95" s="1793">
        <f t="shared" si="3"/>
        <v>0</v>
      </c>
    </row>
    <row r="96" spans="1:7" x14ac:dyDescent="0.25">
      <c r="A96" s="1653"/>
      <c r="B96" s="1667"/>
      <c r="C96" s="1654"/>
      <c r="D96" s="1844"/>
      <c r="E96" s="1540">
        <f t="shared" ref="E96:E99" si="9">IF(D96&lt;=25000,D96,IF(D96&gt;25000,25000,0))</f>
        <v>0</v>
      </c>
      <c r="F96" s="1936">
        <f t="shared" si="6"/>
        <v>0</v>
      </c>
      <c r="G96" s="1793">
        <f t="shared" ref="G96:G99" si="10">IF(F96=0,0,D96-F96)</f>
        <v>0</v>
      </c>
    </row>
    <row r="97" spans="1:7" x14ac:dyDescent="0.25">
      <c r="A97" s="1653"/>
      <c r="B97" s="1667"/>
      <c r="C97" s="1654"/>
      <c r="D97" s="1844"/>
      <c r="E97" s="1540">
        <f t="shared" si="9"/>
        <v>0</v>
      </c>
      <c r="F97" s="1936">
        <f t="shared" si="6"/>
        <v>0</v>
      </c>
      <c r="G97" s="1793">
        <f t="shared" si="10"/>
        <v>0</v>
      </c>
    </row>
    <row r="98" spans="1:7" x14ac:dyDescent="0.25">
      <c r="A98" s="1653"/>
      <c r="B98" s="1667"/>
      <c r="C98" s="1654"/>
      <c r="D98" s="1844"/>
      <c r="E98" s="1540">
        <f t="shared" si="9"/>
        <v>0</v>
      </c>
      <c r="F98" s="1936">
        <f t="shared" si="6"/>
        <v>0</v>
      </c>
      <c r="G98" s="1793">
        <f t="shared" si="10"/>
        <v>0</v>
      </c>
    </row>
    <row r="99" spans="1:7" x14ac:dyDescent="0.25">
      <c r="A99" s="1653"/>
      <c r="B99" s="1667"/>
      <c r="C99" s="1654"/>
      <c r="D99" s="1844"/>
      <c r="E99" s="1540">
        <f t="shared" si="9"/>
        <v>0</v>
      </c>
      <c r="F99" s="1936">
        <f t="shared" si="6"/>
        <v>0</v>
      </c>
      <c r="G99" s="1793">
        <f t="shared" si="10"/>
        <v>0</v>
      </c>
    </row>
    <row r="100" spans="1:7" x14ac:dyDescent="0.25">
      <c r="A100" s="1653"/>
      <c r="B100" s="1667"/>
      <c r="C100" s="1654"/>
      <c r="D100" s="1844"/>
      <c r="E100" s="1540">
        <f t="shared" ref="E100" si="11">IF(D100&lt;=25000,D100,IF(D100&gt;25000,25000,0))</f>
        <v>0</v>
      </c>
      <c r="F100" s="1936">
        <f t="shared" si="6"/>
        <v>0</v>
      </c>
      <c r="G100" s="1793">
        <f t="shared" ref="G100" si="12">IF(F100=0,0,D100-F100)</f>
        <v>0</v>
      </c>
    </row>
    <row r="101" spans="1:7" x14ac:dyDescent="0.25">
      <c r="A101" s="1653"/>
      <c r="B101" s="1667"/>
      <c r="C101" s="1654"/>
      <c r="D101" s="1844"/>
      <c r="E101" s="1540">
        <f t="shared" ref="E101:E113" si="13">IF(D101&lt;=25000,D101,IF(D101&gt;25000,25000,0))</f>
        <v>0</v>
      </c>
      <c r="F101" s="1936">
        <f t="shared" si="6"/>
        <v>0</v>
      </c>
      <c r="G101" s="1793">
        <f t="shared" ref="G101:G113" si="14">IF(F101=0,0,D101-F101)</f>
        <v>0</v>
      </c>
    </row>
    <row r="102" spans="1:7" x14ac:dyDescent="0.25">
      <c r="A102" s="1653"/>
      <c r="B102" s="1667"/>
      <c r="C102" s="1654"/>
      <c r="D102" s="1844"/>
      <c r="E102" s="1540">
        <f t="shared" si="13"/>
        <v>0</v>
      </c>
      <c r="F102" s="1936">
        <f t="shared" si="6"/>
        <v>0</v>
      </c>
      <c r="G102" s="1793">
        <f t="shared" si="14"/>
        <v>0</v>
      </c>
    </row>
    <row r="103" spans="1:7" x14ac:dyDescent="0.25">
      <c r="A103" s="1653"/>
      <c r="B103" s="1667"/>
      <c r="C103" s="1654"/>
      <c r="D103" s="1844"/>
      <c r="E103" s="1540">
        <f t="shared" si="13"/>
        <v>0</v>
      </c>
      <c r="F103" s="1936">
        <f t="shared" si="6"/>
        <v>0</v>
      </c>
      <c r="G103" s="1793">
        <f t="shared" si="14"/>
        <v>0</v>
      </c>
    </row>
    <row r="104" spans="1:7" x14ac:dyDescent="0.25">
      <c r="A104" s="1653"/>
      <c r="B104" s="1667"/>
      <c r="C104" s="1654"/>
      <c r="D104" s="1844"/>
      <c r="E104" s="1540">
        <f t="shared" si="13"/>
        <v>0</v>
      </c>
      <c r="F104" s="1936">
        <f t="shared" si="6"/>
        <v>0</v>
      </c>
      <c r="G104" s="1793">
        <f t="shared" si="14"/>
        <v>0</v>
      </c>
    </row>
    <row r="105" spans="1:7" x14ac:dyDescent="0.25">
      <c r="A105" s="1653"/>
      <c r="B105" s="1667"/>
      <c r="C105" s="1654"/>
      <c r="D105" s="1844"/>
      <c r="E105" s="1540">
        <f t="shared" si="13"/>
        <v>0</v>
      </c>
      <c r="F105" s="1936">
        <f t="shared" si="6"/>
        <v>0</v>
      </c>
      <c r="G105" s="1793">
        <f t="shared" si="14"/>
        <v>0</v>
      </c>
    </row>
    <row r="106" spans="1:7" x14ac:dyDescent="0.25">
      <c r="A106" s="1653"/>
      <c r="B106" s="1667"/>
      <c r="C106" s="1654"/>
      <c r="D106" s="1844"/>
      <c r="E106" s="1540">
        <f t="shared" si="13"/>
        <v>0</v>
      </c>
      <c r="F106" s="1936">
        <f t="shared" si="6"/>
        <v>0</v>
      </c>
      <c r="G106" s="1793">
        <f t="shared" si="14"/>
        <v>0</v>
      </c>
    </row>
    <row r="107" spans="1:7" x14ac:dyDescent="0.25">
      <c r="A107" s="1653"/>
      <c r="B107" s="1667"/>
      <c r="C107" s="1654"/>
      <c r="D107" s="1844"/>
      <c r="E107" s="1540">
        <f t="shared" si="13"/>
        <v>0</v>
      </c>
      <c r="F107" s="1936">
        <f t="shared" si="6"/>
        <v>0</v>
      </c>
      <c r="G107" s="1793">
        <f t="shared" si="14"/>
        <v>0</v>
      </c>
    </row>
    <row r="108" spans="1:7" x14ac:dyDescent="0.25">
      <c r="A108" s="1653"/>
      <c r="B108" s="1667"/>
      <c r="C108" s="1654"/>
      <c r="D108" s="1844"/>
      <c r="E108" s="1540">
        <f t="shared" si="13"/>
        <v>0</v>
      </c>
      <c r="F108" s="1936">
        <f t="shared" si="6"/>
        <v>0</v>
      </c>
      <c r="G108" s="1793">
        <f t="shared" si="14"/>
        <v>0</v>
      </c>
    </row>
    <row r="109" spans="1:7" x14ac:dyDescent="0.25">
      <c r="A109" s="1653"/>
      <c r="B109" s="1667"/>
      <c r="C109" s="1654"/>
      <c r="D109" s="1844"/>
      <c r="E109" s="1540">
        <f t="shared" si="13"/>
        <v>0</v>
      </c>
      <c r="F109" s="1936">
        <f t="shared" si="6"/>
        <v>0</v>
      </c>
      <c r="G109" s="1793">
        <f t="shared" si="14"/>
        <v>0</v>
      </c>
    </row>
    <row r="110" spans="1:7" x14ac:dyDescent="0.25">
      <c r="A110" s="1653"/>
      <c r="B110" s="1667"/>
      <c r="C110" s="1654"/>
      <c r="D110" s="1844"/>
      <c r="E110" s="1540">
        <f t="shared" si="13"/>
        <v>0</v>
      </c>
      <c r="F110" s="1936">
        <f t="shared" si="6"/>
        <v>0</v>
      </c>
      <c r="G110" s="1793">
        <f t="shared" si="14"/>
        <v>0</v>
      </c>
    </row>
    <row r="111" spans="1:7" x14ac:dyDescent="0.25">
      <c r="A111" s="1653"/>
      <c r="B111" s="1667"/>
      <c r="C111" s="1654"/>
      <c r="D111" s="1844"/>
      <c r="E111" s="1540">
        <f t="shared" si="13"/>
        <v>0</v>
      </c>
      <c r="F111" s="1936">
        <f t="shared" si="6"/>
        <v>0</v>
      </c>
      <c r="G111" s="1793">
        <f t="shared" si="14"/>
        <v>0</v>
      </c>
    </row>
    <row r="112" spans="1:7" x14ac:dyDescent="0.25">
      <c r="A112" s="1653"/>
      <c r="B112" s="1667"/>
      <c r="C112" s="1654"/>
      <c r="D112" s="1844"/>
      <c r="E112" s="1540">
        <f t="shared" si="13"/>
        <v>0</v>
      </c>
      <c r="F112" s="1936">
        <f t="shared" si="6"/>
        <v>0</v>
      </c>
      <c r="G112" s="1793">
        <f t="shared" si="14"/>
        <v>0</v>
      </c>
    </row>
    <row r="113" spans="1:7" x14ac:dyDescent="0.25">
      <c r="A113" s="1653"/>
      <c r="B113" s="1667"/>
      <c r="C113" s="1654"/>
      <c r="D113" s="1844"/>
      <c r="E113" s="1540">
        <f t="shared" si="13"/>
        <v>0</v>
      </c>
      <c r="F113" s="1936">
        <f t="shared" si="6"/>
        <v>0</v>
      </c>
      <c r="G113" s="1793">
        <f t="shared" si="14"/>
        <v>0</v>
      </c>
    </row>
    <row r="114" spans="1:7" x14ac:dyDescent="0.25">
      <c r="A114" s="1653"/>
      <c r="B114" s="1667"/>
      <c r="C114" s="1654"/>
      <c r="D114" s="1844"/>
      <c r="E114" s="1540">
        <f t="shared" ref="E114:E126" si="15">IF(D114&lt;=25000,D114,IF(D114&gt;25000,25000,0))</f>
        <v>0</v>
      </c>
      <c r="F114" s="1936">
        <f t="shared" si="6"/>
        <v>0</v>
      </c>
      <c r="G114" s="1793">
        <f t="shared" ref="G114:G126" si="16">IF(F114=0,0,D114-F114)</f>
        <v>0</v>
      </c>
    </row>
    <row r="115" spans="1:7" x14ac:dyDescent="0.25">
      <c r="A115" s="1653"/>
      <c r="B115" s="1667"/>
      <c r="C115" s="1654"/>
      <c r="D115" s="1844"/>
      <c r="E115" s="1540">
        <f t="shared" si="15"/>
        <v>0</v>
      </c>
      <c r="F115" s="1936">
        <f t="shared" si="6"/>
        <v>0</v>
      </c>
      <c r="G115" s="1793">
        <f t="shared" si="16"/>
        <v>0</v>
      </c>
    </row>
    <row r="116" spans="1:7" x14ac:dyDescent="0.25">
      <c r="A116" s="1653"/>
      <c r="B116" s="1667"/>
      <c r="C116" s="1654"/>
      <c r="D116" s="1844"/>
      <c r="E116" s="1540">
        <f t="shared" si="15"/>
        <v>0</v>
      </c>
      <c r="F116" s="1936">
        <f t="shared" si="6"/>
        <v>0</v>
      </c>
      <c r="G116" s="1793">
        <f t="shared" si="16"/>
        <v>0</v>
      </c>
    </row>
    <row r="117" spans="1:7" x14ac:dyDescent="0.25">
      <c r="A117" s="1653"/>
      <c r="B117" s="1667"/>
      <c r="C117" s="1654"/>
      <c r="D117" s="1844"/>
      <c r="E117" s="1540">
        <f t="shared" si="15"/>
        <v>0</v>
      </c>
      <c r="F117" s="1936">
        <f t="shared" si="6"/>
        <v>0</v>
      </c>
      <c r="G117" s="1793">
        <f t="shared" si="16"/>
        <v>0</v>
      </c>
    </row>
    <row r="118" spans="1:7" x14ac:dyDescent="0.25">
      <c r="A118" s="1653"/>
      <c r="B118" s="1667"/>
      <c r="C118" s="1654"/>
      <c r="D118" s="1844"/>
      <c r="E118" s="1540">
        <f t="shared" si="15"/>
        <v>0</v>
      </c>
      <c r="F118" s="1936">
        <f t="shared" si="6"/>
        <v>0</v>
      </c>
      <c r="G118" s="1793">
        <f t="shared" si="16"/>
        <v>0</v>
      </c>
    </row>
    <row r="119" spans="1:7" x14ac:dyDescent="0.25">
      <c r="A119" s="1653"/>
      <c r="B119" s="1667"/>
      <c r="C119" s="1654"/>
      <c r="D119" s="1844"/>
      <c r="E119" s="1540">
        <f t="shared" si="15"/>
        <v>0</v>
      </c>
      <c r="F119" s="1936">
        <f t="shared" si="6"/>
        <v>0</v>
      </c>
      <c r="G119" s="1793">
        <f t="shared" si="16"/>
        <v>0</v>
      </c>
    </row>
    <row r="120" spans="1:7" x14ac:dyDescent="0.25">
      <c r="A120" s="1653"/>
      <c r="B120" s="1667"/>
      <c r="C120" s="1654"/>
      <c r="D120" s="1844"/>
      <c r="E120" s="1540">
        <f t="shared" si="15"/>
        <v>0</v>
      </c>
      <c r="F120" s="1936">
        <f t="shared" si="6"/>
        <v>0</v>
      </c>
      <c r="G120" s="1793">
        <f t="shared" si="16"/>
        <v>0</v>
      </c>
    </row>
    <row r="121" spans="1:7" x14ac:dyDescent="0.25">
      <c r="A121" s="1653"/>
      <c r="B121" s="1667"/>
      <c r="C121" s="1654"/>
      <c r="D121" s="1844"/>
      <c r="E121" s="1540">
        <f t="shared" si="15"/>
        <v>0</v>
      </c>
      <c r="F121" s="1936">
        <f t="shared" si="6"/>
        <v>0</v>
      </c>
      <c r="G121" s="1793">
        <f t="shared" si="16"/>
        <v>0</v>
      </c>
    </row>
    <row r="122" spans="1:7" x14ac:dyDescent="0.25">
      <c r="A122" s="1653"/>
      <c r="B122" s="1667"/>
      <c r="C122" s="1654"/>
      <c r="D122" s="1844"/>
      <c r="E122" s="1540">
        <f t="shared" si="15"/>
        <v>0</v>
      </c>
      <c r="F122" s="1936">
        <f t="shared" si="6"/>
        <v>0</v>
      </c>
      <c r="G122" s="1793">
        <f t="shared" si="16"/>
        <v>0</v>
      </c>
    </row>
    <row r="123" spans="1:7" x14ac:dyDescent="0.25">
      <c r="A123" s="1653"/>
      <c r="B123" s="1667"/>
      <c r="C123" s="1654"/>
      <c r="D123" s="1844"/>
      <c r="E123" s="1540">
        <f t="shared" si="15"/>
        <v>0</v>
      </c>
      <c r="F123" s="1936">
        <f t="shared" si="6"/>
        <v>0</v>
      </c>
      <c r="G123" s="1793">
        <f t="shared" si="16"/>
        <v>0</v>
      </c>
    </row>
    <row r="124" spans="1:7" x14ac:dyDescent="0.25">
      <c r="A124" s="1653"/>
      <c r="B124" s="1667"/>
      <c r="C124" s="1654"/>
      <c r="D124" s="1844"/>
      <c r="E124" s="1540">
        <f t="shared" si="15"/>
        <v>0</v>
      </c>
      <c r="F124" s="1936">
        <f t="shared" si="6"/>
        <v>0</v>
      </c>
      <c r="G124" s="1793">
        <f t="shared" si="16"/>
        <v>0</v>
      </c>
    </row>
    <row r="125" spans="1:7" x14ac:dyDescent="0.25">
      <c r="A125" s="1653"/>
      <c r="B125" s="1667"/>
      <c r="C125" s="1654"/>
      <c r="D125" s="1844"/>
      <c r="E125" s="1540">
        <f t="shared" si="15"/>
        <v>0</v>
      </c>
      <c r="F125" s="1936">
        <f t="shared" si="6"/>
        <v>0</v>
      </c>
      <c r="G125" s="1793">
        <f t="shared" si="16"/>
        <v>0</v>
      </c>
    </row>
    <row r="126" spans="1:7" x14ac:dyDescent="0.25">
      <c r="A126" s="1653"/>
      <c r="B126" s="1667"/>
      <c r="C126" s="1654"/>
      <c r="D126" s="1844"/>
      <c r="E126" s="1540">
        <f t="shared" si="15"/>
        <v>0</v>
      </c>
      <c r="F126" s="1936">
        <f t="shared" si="6"/>
        <v>0</v>
      </c>
      <c r="G126" s="1793">
        <f t="shared" si="16"/>
        <v>0</v>
      </c>
    </row>
    <row r="127" spans="1:7" x14ac:dyDescent="0.25">
      <c r="A127" s="1653"/>
      <c r="B127" s="1667"/>
      <c r="C127" s="1654"/>
      <c r="D127" s="1844"/>
      <c r="E127" s="1540">
        <f t="shared" ref="E127:E135" si="17">IF(D127&lt;=25000,D127,IF(D127&gt;25000,25000,0))</f>
        <v>0</v>
      </c>
      <c r="F127" s="1936">
        <f t="shared" si="6"/>
        <v>0</v>
      </c>
      <c r="G127" s="1793">
        <f t="shared" ref="G127:G135" si="18">IF(F127=0,0,D127-F127)</f>
        <v>0</v>
      </c>
    </row>
    <row r="128" spans="1:7" x14ac:dyDescent="0.25">
      <c r="A128" s="1653"/>
      <c r="B128" s="1667"/>
      <c r="C128" s="1654"/>
      <c r="D128" s="1844"/>
      <c r="E128" s="1540">
        <f t="shared" si="17"/>
        <v>0</v>
      </c>
      <c r="F128" s="1936">
        <f t="shared" si="6"/>
        <v>0</v>
      </c>
      <c r="G128" s="1793">
        <f t="shared" si="18"/>
        <v>0</v>
      </c>
    </row>
    <row r="129" spans="1:7" x14ac:dyDescent="0.25">
      <c r="A129" s="1653"/>
      <c r="B129" s="1667"/>
      <c r="C129" s="1654"/>
      <c r="D129" s="1844"/>
      <c r="E129" s="1540">
        <f t="shared" si="17"/>
        <v>0</v>
      </c>
      <c r="F129" s="1936">
        <f t="shared" si="6"/>
        <v>0</v>
      </c>
      <c r="G129" s="1793">
        <f t="shared" si="18"/>
        <v>0</v>
      </c>
    </row>
    <row r="130" spans="1:7" x14ac:dyDescent="0.25">
      <c r="A130" s="1653"/>
      <c r="B130" s="1667"/>
      <c r="C130" s="1654"/>
      <c r="D130" s="1844"/>
      <c r="E130" s="1540">
        <f t="shared" si="17"/>
        <v>0</v>
      </c>
      <c r="F130" s="1936">
        <f t="shared" si="6"/>
        <v>0</v>
      </c>
      <c r="G130" s="1793">
        <f t="shared" si="18"/>
        <v>0</v>
      </c>
    </row>
    <row r="131" spans="1:7" x14ac:dyDescent="0.25">
      <c r="A131" s="1653"/>
      <c r="B131" s="1667"/>
      <c r="C131" s="1654"/>
      <c r="D131" s="1844"/>
      <c r="E131" s="1540">
        <f t="shared" si="17"/>
        <v>0</v>
      </c>
      <c r="F131" s="1936">
        <f t="shared" si="6"/>
        <v>0</v>
      </c>
      <c r="G131" s="1793">
        <f t="shared" si="18"/>
        <v>0</v>
      </c>
    </row>
    <row r="132" spans="1:7" x14ac:dyDescent="0.25">
      <c r="A132" s="1653"/>
      <c r="B132" s="1837"/>
      <c r="C132" s="1654"/>
      <c r="D132" s="1844"/>
      <c r="E132" s="1540">
        <f t="shared" si="17"/>
        <v>0</v>
      </c>
      <c r="F132" s="1936">
        <f t="shared" si="6"/>
        <v>0</v>
      </c>
      <c r="G132" s="1793">
        <f t="shared" si="18"/>
        <v>0</v>
      </c>
    </row>
    <row r="133" spans="1:7" x14ac:dyDescent="0.25">
      <c r="A133" s="1653"/>
      <c r="B133" s="1837"/>
      <c r="C133" s="1654"/>
      <c r="D133" s="1844"/>
      <c r="E133" s="1540">
        <f t="shared" si="17"/>
        <v>0</v>
      </c>
      <c r="F133" s="1936">
        <f t="shared" si="6"/>
        <v>0</v>
      </c>
      <c r="G133" s="1793">
        <f t="shared" si="18"/>
        <v>0</v>
      </c>
    </row>
    <row r="134" spans="1:7" x14ac:dyDescent="0.25">
      <c r="A134" s="1653"/>
      <c r="B134" s="1667"/>
      <c r="C134" s="1654"/>
      <c r="D134" s="1844"/>
      <c r="E134" s="1540">
        <f t="shared" si="17"/>
        <v>0</v>
      </c>
      <c r="F134" s="1936">
        <f t="shared" si="6"/>
        <v>0</v>
      </c>
      <c r="G134" s="1793">
        <f t="shared" si="18"/>
        <v>0</v>
      </c>
    </row>
    <row r="135" spans="1:7" x14ac:dyDescent="0.25">
      <c r="A135" s="1653"/>
      <c r="B135" s="1667"/>
      <c r="C135" s="1654"/>
      <c r="D135" s="1844"/>
      <c r="E135" s="1540">
        <f t="shared" si="17"/>
        <v>0</v>
      </c>
      <c r="F135" s="1936">
        <f t="shared" si="6"/>
        <v>0</v>
      </c>
      <c r="G135" s="1793">
        <f t="shared" si="18"/>
        <v>0</v>
      </c>
    </row>
    <row r="136" spans="1:7" x14ac:dyDescent="0.25">
      <c r="A136" s="1653"/>
      <c r="B136" s="1667"/>
      <c r="C136" s="1654"/>
      <c r="D136" s="1844"/>
      <c r="E136" s="1540">
        <f t="shared" ref="E136:E140" si="19">IF(D136&lt;=25000,D136,IF(D136&gt;25000,25000,0))</f>
        <v>0</v>
      </c>
      <c r="F136" s="1936">
        <f t="shared" si="6"/>
        <v>0</v>
      </c>
      <c r="G136" s="1793">
        <f t="shared" ref="G136:G140" si="20">IF(F136=0,0,D136-F136)</f>
        <v>0</v>
      </c>
    </row>
    <row r="137" spans="1:7" x14ac:dyDescent="0.25">
      <c r="A137" s="1653"/>
      <c r="B137" s="1667"/>
      <c r="C137" s="1654"/>
      <c r="D137" s="1844"/>
      <c r="E137" s="1540">
        <f t="shared" si="19"/>
        <v>0</v>
      </c>
      <c r="F137" s="1936">
        <f t="shared" si="6"/>
        <v>0</v>
      </c>
      <c r="G137" s="1793">
        <f t="shared" si="20"/>
        <v>0</v>
      </c>
    </row>
    <row r="138" spans="1:7" x14ac:dyDescent="0.25">
      <c r="A138" s="1653"/>
      <c r="B138" s="1667"/>
      <c r="C138" s="1654"/>
      <c r="D138" s="1844"/>
      <c r="E138" s="1540">
        <f t="shared" si="19"/>
        <v>0</v>
      </c>
      <c r="F138" s="1936">
        <f t="shared" si="6"/>
        <v>0</v>
      </c>
      <c r="G138" s="1793">
        <f t="shared" si="20"/>
        <v>0</v>
      </c>
    </row>
    <row r="139" spans="1:7" x14ac:dyDescent="0.25">
      <c r="A139" s="1653"/>
      <c r="B139" s="1667"/>
      <c r="C139" s="1654"/>
      <c r="D139" s="1844"/>
      <c r="E139" s="1540">
        <f t="shared" si="19"/>
        <v>0</v>
      </c>
      <c r="F139" s="1936">
        <f t="shared" si="6"/>
        <v>0</v>
      </c>
      <c r="G139" s="1793">
        <f t="shared" si="20"/>
        <v>0</v>
      </c>
    </row>
    <row r="140" spans="1:7" x14ac:dyDescent="0.25">
      <c r="A140" s="1653"/>
      <c r="B140" s="1667"/>
      <c r="C140" s="1654"/>
      <c r="D140" s="1844"/>
      <c r="E140" s="1540">
        <f t="shared" si="19"/>
        <v>0</v>
      </c>
      <c r="F140" s="1936">
        <f t="shared" si="6"/>
        <v>0</v>
      </c>
      <c r="G140" s="1793">
        <f t="shared" si="20"/>
        <v>0</v>
      </c>
    </row>
    <row r="141" spans="1:7" x14ac:dyDescent="0.25">
      <c r="A141" s="1653"/>
      <c r="B141" s="1666"/>
      <c r="C141" s="1654"/>
      <c r="D141" s="1844"/>
      <c r="E141" s="1540">
        <f t="shared" si="2"/>
        <v>0</v>
      </c>
      <c r="F141" s="1936">
        <f t="shared" si="6"/>
        <v>0</v>
      </c>
      <c r="G141" s="1793">
        <f t="shared" si="3"/>
        <v>0</v>
      </c>
    </row>
    <row r="142" spans="1:7" x14ac:dyDescent="0.25">
      <c r="A142" s="1796" t="s">
        <v>156</v>
      </c>
      <c r="B142" s="1797"/>
      <c r="C142" s="1798"/>
      <c r="D142" s="1794">
        <f>SUM(D18:D141)</f>
        <v>2180974</v>
      </c>
      <c r="E142" s="1541">
        <f t="shared" si="0"/>
        <v>25000</v>
      </c>
      <c r="F142" s="1932">
        <f>SUM(F18:F141)</f>
        <v>25000</v>
      </c>
      <c r="G142" s="1795">
        <f>SUM(G18:G141)</f>
        <v>2155974</v>
      </c>
    </row>
  </sheetData>
  <sheetProtection selectLockedCells="1"/>
  <mergeCells count="6">
    <mergeCell ref="A14:G14"/>
    <mergeCell ref="A4:G5"/>
    <mergeCell ref="A12:G12"/>
    <mergeCell ref="A8:G8"/>
    <mergeCell ref="A9:G9"/>
    <mergeCell ref="A10:G10"/>
  </mergeCells>
  <pageMargins left="0.2" right="0.2" top="0.5" bottom="0.25" header="0.3" footer="0.3"/>
  <pageSetup scale="64" firstPageNumber="30" fitToHeight="0" orientation="portrait"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pageSetUpPr fitToPage="1"/>
  </sheetPr>
  <dimension ref="A1:I46"/>
  <sheetViews>
    <sheetView showGridLines="0" defaultGridColor="0" topLeftCell="A13" colorId="8" zoomScale="110" zoomScaleNormal="110" workbookViewId="0">
      <selection activeCell="O22" sqref="O2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4" t="s">
        <v>1679</v>
      </c>
      <c r="B5" s="2295"/>
      <c r="C5" s="2295"/>
      <c r="D5" s="2295"/>
      <c r="E5" s="2295"/>
      <c r="F5" s="2295"/>
      <c r="G5" s="2296"/>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v>931354</v>
      </c>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99" t="s">
        <v>1975</v>
      </c>
      <c r="B11" s="2300"/>
      <c r="C11" s="2300"/>
      <c r="D11" s="2301"/>
      <c r="E11" s="977">
        <v>72372</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12135984</v>
      </c>
      <c r="F19" s="1799"/>
      <c r="G19" s="1801">
        <f>'Expenditures 15-22'!K33-SUM('Expenditures 15-22'!G33,'Expenditures 15-22'!I33)+'Expenditures 15-22'!D229</f>
        <v>12135984</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1366085</v>
      </c>
      <c r="F21" s="1802"/>
      <c r="G21" s="1805">
        <f>'Expenditures 15-22'!K42-SUM('Expenditures 15-22'!G42,'Expenditures 15-22'!I42)+'Expenditures 15-22'!K120-SUM('Expenditures 15-22'!G120,'Expenditures 15-22'!I120)+'Expenditures 15-22'!K180-SUM('Expenditures 15-22'!G180,'Expenditures 15-22'!I180)+'Expenditures 15-22'!D238</f>
        <v>1366085</v>
      </c>
      <c r="H21" s="987"/>
      <c r="I21" s="162"/>
    </row>
    <row r="22" spans="1:9" s="668" customFormat="1" ht="12" customHeight="1" x14ac:dyDescent="0.2">
      <c r="A22" s="994" t="s">
        <v>564</v>
      </c>
      <c r="B22" s="995"/>
      <c r="C22" s="993">
        <v>2200</v>
      </c>
      <c r="D22" s="1802"/>
      <c r="E22" s="1804">
        <f>'Expenditures 15-22'!K47-SUM('Expenditures 15-22'!G47,'Expenditures 15-22'!I47)+'Expenditures 15-22'!D243</f>
        <v>949858</v>
      </c>
      <c r="F22" s="1802"/>
      <c r="G22" s="1805">
        <f>'Expenditures 15-22'!K47-SUM('Expenditures 15-22'!G47,'Expenditures 15-22'!I47)+'Expenditures 15-22'!D243</f>
        <v>949858</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992837</v>
      </c>
      <c r="F23" s="1802"/>
      <c r="G23" s="1804">
        <f>'Expenditures 15-22'!K53-SUM('Expenditures 15-22'!G53,'Expenditures 15-22'!I53)+'Expenditures 15-22'!D257+'Expenditures 15-22'!K330-SUM('Expenditures 15-22'!G330,'Expenditures 15-22'!I330)</f>
        <v>992837</v>
      </c>
      <c r="H23" s="987"/>
      <c r="I23" s="162"/>
    </row>
    <row r="24" spans="1:9" s="668" customFormat="1" ht="12" customHeight="1" x14ac:dyDescent="0.2">
      <c r="A24" s="994" t="s">
        <v>566</v>
      </c>
      <c r="B24" s="995"/>
      <c r="C24" s="993">
        <v>2400</v>
      </c>
      <c r="D24" s="1802"/>
      <c r="E24" s="1804">
        <f>'Expenditures 15-22'!K57-SUM('Expenditures 15-22'!G57,'Expenditures 15-22'!I57)+'Expenditures 15-22'!D261</f>
        <v>1549260</v>
      </c>
      <c r="F24" s="1802"/>
      <c r="G24" s="1805">
        <f>'Expenditures 15-22'!K57-SUM('Expenditures 15-22'!G57,'Expenditures 15-22'!I57)+'Expenditures 15-22'!D261</f>
        <v>1549260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142085</v>
      </c>
      <c r="E27" s="1804">
        <f>E8</f>
        <v>0</v>
      </c>
      <c r="F27" s="1804">
        <f>'Expenditures 15-22'!K60-SUM('Expenditures 15-22'!G60,'Expenditures 15-22'!I60)+'Expenditures 15-22'!D264-E8</f>
        <v>142085</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2053761</v>
      </c>
      <c r="F28" s="1806">
        <f>'Expenditures 15-22'!K61-SUM('Expenditures 15-22'!G61,'Expenditures 15-22'!I61)+'Expenditures 15-22'!K124-SUM('Expenditures 15-22'!G124,'Expenditures 15-22'!I124)+'Expenditures 15-22'!D266-E9</f>
        <v>1122407</v>
      </c>
      <c r="G28" s="1805">
        <f>E9</f>
        <v>931354</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2366372</v>
      </c>
      <c r="F29" s="1802"/>
      <c r="G29" s="1805">
        <f>'Expenditures 15-22'!K62-SUM('Expenditures 15-22'!G62,'Expenditures 15-22'!I62)+'Expenditures 15-22'!K125-SUM('Expenditures 15-22'!G125,'Expenditures 15-22'!I125)+'Expenditures 15-22'!K182-SUM('Expenditures 15-22'!G182,'Expenditures 15-22'!I182)+'Expenditures 15-22'!D267</f>
        <v>2366372</v>
      </c>
      <c r="H29" s="985"/>
    </row>
    <row r="30" spans="1:9" ht="12" customHeight="1" x14ac:dyDescent="0.2">
      <c r="A30" s="994" t="s">
        <v>100</v>
      </c>
      <c r="B30" s="997"/>
      <c r="C30" s="993">
        <v>2560</v>
      </c>
      <c r="D30" s="1802"/>
      <c r="E30" s="1804">
        <f>'Expenditures 15-22'!K63-SUM('Expenditures 15-22'!G63,'Expenditures 15-22'!I63)+'Expenditures 15-22'!D268-E10</f>
        <v>872913</v>
      </c>
      <c r="F30" s="1802"/>
      <c r="G30" s="1804">
        <f>'Expenditures 15-22'!K63-SUM('Expenditures 15-22'!G63,'Expenditures 15-22'!I63)+'Expenditures 15-22'!D268-E10</f>
        <v>872913</v>
      </c>
    </row>
    <row r="31" spans="1:9" ht="12" customHeight="1" x14ac:dyDescent="0.2">
      <c r="A31" s="994" t="s">
        <v>101</v>
      </c>
      <c r="B31" s="997"/>
      <c r="C31" s="993">
        <v>2570</v>
      </c>
      <c r="D31" s="1804">
        <f>'Expenditures 15-22'!K64-SUM('Expenditures 15-22'!G64,'Expenditures 15-22'!I64)+'Expenditures 15-22'!D269-E12</f>
        <v>1060</v>
      </c>
      <c r="E31" s="1804">
        <f>E12</f>
        <v>0</v>
      </c>
      <c r="F31" s="1804">
        <f>'Expenditures 15-22'!K64-SUM('Expenditures 15-22'!G64,'Expenditures 15-22'!I64)+'Expenditures 15-22'!D269-E12</f>
        <v>1060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117077</v>
      </c>
      <c r="F33" s="1802"/>
      <c r="G33" s="1804">
        <f>'Expenditures 15-22'!K67-SUM('Expenditures 15-22'!G67,'Expenditures 15-22'!I67)+'Expenditures 15-22'!D272</f>
        <v>117077</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3695</v>
      </c>
      <c r="F35" s="1802"/>
      <c r="G35" s="1804">
        <f>'Expenditures 15-22'!K69-SUM('Expenditures 15-22'!G69,'Expenditures 15-22'!I69)+'Expenditures 15-22'!D274</f>
        <v>3695</v>
      </c>
    </row>
    <row r="36" spans="1:7" ht="12" customHeight="1" x14ac:dyDescent="0.2">
      <c r="A36" s="994" t="s">
        <v>403</v>
      </c>
      <c r="B36" s="997"/>
      <c r="C36" s="993">
        <v>2640</v>
      </c>
      <c r="D36" s="1804">
        <f>'Expenditures 15-22'!K70-SUM('Expenditures 15-22'!G70,'Expenditures 15-22'!I70)+'Expenditures 15-22'!D275-E13</f>
        <v>137</v>
      </c>
      <c r="E36" s="1804">
        <f>E13</f>
        <v>0</v>
      </c>
      <c r="F36" s="1804">
        <f>'Expenditures 15-22'!K70-SUM('Expenditures 15-22'!G70,'Expenditures 15-22'!I70)+'Expenditures 15-22'!D275-E13</f>
        <v>137</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29'!G142</f>
        <v>-2155974</v>
      </c>
      <c r="F40" s="1802"/>
      <c r="G40" s="1806">
        <f>-'Contracts Paid in CY 29'!G142</f>
        <v>-2155974</v>
      </c>
    </row>
    <row r="41" spans="1:7" ht="12" customHeight="1" x14ac:dyDescent="0.2">
      <c r="A41" s="998" t="s">
        <v>156</v>
      </c>
      <c r="B41" s="999"/>
      <c r="C41" s="1000"/>
      <c r="D41" s="1806">
        <f>SUM(D19:D39)</f>
        <v>143282</v>
      </c>
      <c r="E41" s="1806">
        <f>SUM(E19:E40)</f>
        <v>20251868</v>
      </c>
      <c r="F41" s="1806">
        <f>SUM(F19:F39)</f>
        <v>1265689</v>
      </c>
      <c r="G41" s="1806">
        <f>SUM(G19:G40)</f>
        <v>19129461</v>
      </c>
    </row>
    <row r="42" spans="1:7" x14ac:dyDescent="0.2">
      <c r="A42" s="987"/>
      <c r="B42" s="162"/>
      <c r="C42" s="1001"/>
      <c r="D42" s="2297" t="s">
        <v>522</v>
      </c>
      <c r="E42" s="2298"/>
      <c r="F42" s="1002" t="s">
        <v>523</v>
      </c>
      <c r="G42" s="1003"/>
    </row>
    <row r="43" spans="1:7" ht="12" customHeight="1" x14ac:dyDescent="0.2">
      <c r="A43" s="987"/>
      <c r="B43" s="162"/>
      <c r="C43" s="1001"/>
      <c r="D43" s="1807" t="s">
        <v>473</v>
      </c>
      <c r="E43" s="1808">
        <f>D41</f>
        <v>143282</v>
      </c>
      <c r="F43" s="1807" t="s">
        <v>473</v>
      </c>
      <c r="G43" s="1808">
        <f>F41</f>
        <v>1265689</v>
      </c>
    </row>
    <row r="44" spans="1:7" ht="12" customHeight="1" x14ac:dyDescent="0.2">
      <c r="A44" s="987"/>
      <c r="B44" s="162"/>
      <c r="C44" s="1001"/>
      <c r="D44" s="1807" t="s">
        <v>474</v>
      </c>
      <c r="E44" s="1808">
        <f>E41</f>
        <v>20251868</v>
      </c>
      <c r="F44" s="1807" t="s">
        <v>474</v>
      </c>
      <c r="G44" s="1808">
        <f>G41</f>
        <v>19129461</v>
      </c>
    </row>
    <row r="45" spans="1:7" ht="12" customHeight="1" x14ac:dyDescent="0.2">
      <c r="A45" s="987"/>
      <c r="B45" s="162"/>
      <c r="C45" s="162"/>
      <c r="D45" s="1809" t="s">
        <v>1006</v>
      </c>
      <c r="E45" s="1810">
        <f>(E43/E44)</f>
        <v>7.0750016739196606E-3</v>
      </c>
      <c r="F45" s="1809" t="s">
        <v>1006</v>
      </c>
      <c r="G45" s="1810">
        <f>(G43/G44)</f>
        <v>6.6164383826601281E-2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5" activePane="bottomLeft" state="frozen"/>
      <selection activeCell="I5" sqref="I5"/>
      <selection pane="bottomLeft" activeCell="I5" sqref="I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16" t="s">
        <v>1379</v>
      </c>
      <c r="B1" s="2316"/>
      <c r="C1" s="2316"/>
      <c r="D1" s="2316"/>
      <c r="E1" s="2316"/>
      <c r="F1" s="2316"/>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17" t="s">
        <v>1546</v>
      </c>
      <c r="B5" s="2318"/>
      <c r="C5" s="2319"/>
      <c r="D5" s="2319"/>
      <c r="E5" s="2319"/>
      <c r="F5" s="2319"/>
    </row>
    <row r="6" spans="1:10" ht="12" customHeight="1" x14ac:dyDescent="0.25">
      <c r="A6" s="1850"/>
      <c r="B6" s="1851"/>
      <c r="C6" s="2320" t="str">
        <f>COVER!A17</f>
        <v>Charleston CUSD 1</v>
      </c>
      <c r="D6" s="2320"/>
      <c r="E6" s="2320"/>
      <c r="F6" s="1852"/>
    </row>
    <row r="7" spans="1:10" ht="11.25" customHeight="1" thickBot="1" x14ac:dyDescent="0.3">
      <c r="A7" s="1850"/>
      <c r="B7" s="1851"/>
      <c r="C7" s="2321">
        <f>COVER!A13</f>
        <v>11015001026</v>
      </c>
      <c r="D7" s="2321"/>
      <c r="E7" s="2321"/>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2065</v>
      </c>
      <c r="D26" s="1865" t="s">
        <v>2065</v>
      </c>
      <c r="E26" s="1868" t="s">
        <v>2065</v>
      </c>
      <c r="F26" s="1867" t="s">
        <v>2106</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2065</v>
      </c>
      <c r="D30" s="1865" t="s">
        <v>2065</v>
      </c>
      <c r="E30" s="1868" t="s">
        <v>2065</v>
      </c>
      <c r="F30" s="1867" t="s">
        <v>2170</v>
      </c>
      <c r="H30" s="1878">
        <f t="shared" si="0"/>
        <v>5</v>
      </c>
      <c r="I30" s="1878">
        <f t="shared" si="1"/>
        <v>5</v>
      </c>
      <c r="J30" s="1878">
        <f t="shared" si="2"/>
        <v>5</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10</v>
      </c>
      <c r="K34" s="1878">
        <f>SUM(H34:J34)</f>
        <v>30</v>
      </c>
    </row>
    <row r="35" spans="1:11" ht="12" customHeight="1" x14ac:dyDescent="0.2">
      <c r="A35" s="1871" t="s">
        <v>1392</v>
      </c>
      <c r="B35" s="1872"/>
      <c r="C35" s="2322"/>
      <c r="D35" s="2322"/>
      <c r="E35" s="2322"/>
      <c r="F35" s="2323"/>
    </row>
    <row r="36" spans="1:11" ht="12" customHeight="1" x14ac:dyDescent="0.2">
      <c r="A36" s="2305"/>
      <c r="B36" s="2306"/>
      <c r="C36" s="2306"/>
      <c r="D36" s="2306"/>
      <c r="E36" s="2306"/>
      <c r="F36" s="2307"/>
    </row>
    <row r="37" spans="1:11" ht="12" customHeight="1" x14ac:dyDescent="0.2">
      <c r="A37" s="2305"/>
      <c r="B37" s="2306"/>
      <c r="C37" s="2306"/>
      <c r="D37" s="2306"/>
      <c r="E37" s="2306"/>
      <c r="F37" s="2307"/>
    </row>
    <row r="38" spans="1:11" ht="12" customHeight="1" x14ac:dyDescent="0.2">
      <c r="A38" s="2308"/>
      <c r="B38" s="2309"/>
      <c r="C38" s="2309"/>
      <c r="D38" s="2309"/>
      <c r="E38" s="2309"/>
      <c r="F38" s="2310"/>
    </row>
    <row r="39" spans="1:11" ht="4.5" hidden="1" customHeight="1" x14ac:dyDescent="0.2">
      <c r="A39" s="1873"/>
      <c r="B39" s="1873"/>
      <c r="C39" s="1873"/>
      <c r="D39" s="1873"/>
      <c r="E39" s="1873"/>
      <c r="F39" s="1873"/>
    </row>
    <row r="40" spans="1:11" s="1870" customFormat="1" ht="12" customHeight="1" x14ac:dyDescent="0.25">
      <c r="A40" s="1874" t="s">
        <v>1391</v>
      </c>
      <c r="B40" s="1875"/>
      <c r="C40" s="2311"/>
      <c r="D40" s="2311"/>
      <c r="E40" s="2311"/>
      <c r="F40" s="2312"/>
      <c r="H40" s="1879"/>
      <c r="I40" s="1879"/>
      <c r="J40" s="1879"/>
      <c r="K40" s="1879"/>
    </row>
    <row r="41" spans="1:11" s="1870" customFormat="1" ht="12" customHeight="1" x14ac:dyDescent="0.25">
      <c r="A41" s="2313"/>
      <c r="B41" s="2314"/>
      <c r="C41" s="2314"/>
      <c r="D41" s="2314"/>
      <c r="E41" s="2314"/>
      <c r="F41" s="2315"/>
      <c r="H41" s="1879"/>
      <c r="I41" s="1879"/>
      <c r="J41" s="1879"/>
      <c r="K41" s="1879"/>
    </row>
    <row r="42" spans="1:11" s="1870" customFormat="1" ht="12" customHeight="1" x14ac:dyDescent="0.25">
      <c r="A42" s="2313"/>
      <c r="B42" s="2314"/>
      <c r="C42" s="2314"/>
      <c r="D42" s="2314"/>
      <c r="E42" s="2314"/>
      <c r="F42" s="2315"/>
      <c r="H42" s="1879"/>
      <c r="I42" s="1879"/>
      <c r="J42" s="1879"/>
      <c r="K42" s="1879"/>
    </row>
    <row r="43" spans="1:11" s="1870" customFormat="1" ht="15" x14ac:dyDescent="0.25">
      <c r="A43" s="2302"/>
      <c r="B43" s="2303"/>
      <c r="C43" s="2303"/>
      <c r="D43" s="2303"/>
      <c r="E43" s="2303"/>
      <c r="F43" s="2304"/>
      <c r="H43" s="1879"/>
      <c r="I43" s="1879"/>
      <c r="J43" s="1879"/>
      <c r="K43" s="1879"/>
    </row>
    <row r="44" spans="1:11" s="1870" customFormat="1" ht="12" hidden="1" customHeight="1" x14ac:dyDescent="0.25">
      <c r="A44" s="2302"/>
      <c r="B44" s="2303"/>
      <c r="C44" s="2303"/>
      <c r="D44" s="2303"/>
      <c r="E44" s="2303"/>
      <c r="F44" s="2304"/>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topLeftCell="A7" colorId="8" zoomScale="110" zoomScaleNormal="110" workbookViewId="0">
      <selection activeCell="A13" sqref="A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9" t="str">
        <f>COVER!A17</f>
        <v>Charleston CUSD 1</v>
      </c>
      <c r="J6" s="2330"/>
      <c r="Q6" s="1664"/>
    </row>
    <row r="7" spans="1:17" x14ac:dyDescent="0.2">
      <c r="A7" s="2331" t="s">
        <v>869</v>
      </c>
      <c r="B7" s="2332"/>
      <c r="C7" s="2332"/>
      <c r="D7" s="2332"/>
      <c r="E7" s="2333"/>
      <c r="F7" s="1017"/>
      <c r="G7" s="1009"/>
      <c r="H7" s="1016" t="s">
        <v>372</v>
      </c>
      <c r="I7" s="2334">
        <f>COVER!A13</f>
        <v>11015001026</v>
      </c>
      <c r="J7" s="2334"/>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5" t="s">
        <v>481</v>
      </c>
      <c r="B11" s="2336"/>
      <c r="C11" s="2337"/>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557732</v>
      </c>
      <c r="F12" s="1039"/>
      <c r="G12" s="1811">
        <f t="shared" ref="G12:G18" si="0">SUM(E12:F12)</f>
        <v>557732</v>
      </c>
      <c r="H12" s="1040">
        <v>288325</v>
      </c>
      <c r="I12" s="1039"/>
      <c r="J12" s="1811">
        <f t="shared" ref="J12:J18" si="1">SUM(H12:I12)</f>
        <v>288325</v>
      </c>
    </row>
    <row r="13" spans="1:17" ht="15" customHeight="1" x14ac:dyDescent="0.2">
      <c r="A13" s="1035">
        <v>2</v>
      </c>
      <c r="B13" s="1036" t="s">
        <v>42</v>
      </c>
      <c r="C13" s="1037"/>
      <c r="D13" s="1038">
        <v>2330</v>
      </c>
      <c r="E13" s="1811">
        <f>'Expenditures 15-22'!K51</f>
        <v>42445</v>
      </c>
      <c r="F13" s="1039"/>
      <c r="G13" s="1811">
        <f t="shared" si="0"/>
        <v>42445</v>
      </c>
      <c r="H13" s="1040">
        <v>43848</v>
      </c>
      <c r="I13" s="1039"/>
      <c r="J13" s="1811">
        <f t="shared" si="1"/>
        <v>43848</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1060</v>
      </c>
      <c r="F16" s="1039"/>
      <c r="G16" s="1811">
        <f t="shared" si="0"/>
        <v>1060</v>
      </c>
      <c r="H16" s="1040">
        <v>5208</v>
      </c>
      <c r="I16" s="1039"/>
      <c r="J16" s="1811">
        <f t="shared" si="1"/>
        <v>5208</v>
      </c>
    </row>
    <row r="17" spans="1:10" ht="15" customHeight="1" x14ac:dyDescent="0.2">
      <c r="A17" s="1035">
        <v>6</v>
      </c>
      <c r="B17" s="1036" t="s">
        <v>1060</v>
      </c>
      <c r="C17" s="1037"/>
      <c r="D17" s="1038">
        <v>2610</v>
      </c>
      <c r="E17" s="1811">
        <f>'Expenditures 15-22'!K67</f>
        <v>115814</v>
      </c>
      <c r="F17" s="1039"/>
      <c r="G17" s="1811">
        <f t="shared" si="0"/>
        <v>115814</v>
      </c>
      <c r="H17" s="1040">
        <v>123851</v>
      </c>
      <c r="I17" s="1039"/>
      <c r="J17" s="1811">
        <f t="shared" si="1"/>
        <v>123851</v>
      </c>
    </row>
    <row r="18" spans="1:10" ht="22.5" customHeight="1" x14ac:dyDescent="0.2">
      <c r="A18" s="1042">
        <v>7</v>
      </c>
      <c r="B18" s="2338" t="s">
        <v>7</v>
      </c>
      <c r="C18" s="2339"/>
      <c r="D18" s="2340"/>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717051</v>
      </c>
      <c r="F19" s="1813">
        <f t="shared" si="2"/>
        <v>0</v>
      </c>
      <c r="G19" s="1813">
        <f t="shared" si="2"/>
        <v>717051</v>
      </c>
      <c r="H19" s="1813">
        <f t="shared" si="2"/>
        <v>461232</v>
      </c>
      <c r="I19" s="1813">
        <f t="shared" si="2"/>
        <v>0</v>
      </c>
      <c r="J19" s="1813">
        <f t="shared" si="2"/>
        <v>461232</v>
      </c>
    </row>
    <row r="20" spans="1:10" ht="13.5" thickTop="1" x14ac:dyDescent="0.2">
      <c r="A20" s="1035">
        <v>9</v>
      </c>
      <c r="B20" s="2341" t="s">
        <v>1979</v>
      </c>
      <c r="C20" s="2341"/>
      <c r="D20" s="2342"/>
      <c r="E20" s="1046"/>
      <c r="F20" s="1046"/>
      <c r="G20" s="1046"/>
      <c r="H20" s="1046"/>
      <c r="I20" s="1046"/>
      <c r="J20" s="1814">
        <f>IF(AND(G19&gt;0,J19&gt;0),(((J19-G19)/G19)),"Enter Budget Data")</f>
        <v>-0.35676541835936354</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47"/>
      <c r="D26" s="2347"/>
      <c r="E26" s="1050"/>
      <c r="F26" s="2346"/>
      <c r="G26" s="2346"/>
    </row>
    <row r="27" spans="1:10" x14ac:dyDescent="0.2">
      <c r="B27" s="1047"/>
      <c r="C27" s="1051" t="s">
        <v>1033</v>
      </c>
      <c r="D27" s="1052"/>
      <c r="E27" s="1053"/>
      <c r="F27" s="2343" t="s">
        <v>1509</v>
      </c>
      <c r="G27" s="2343"/>
    </row>
    <row r="28" spans="1:10" ht="28.5" customHeight="1" x14ac:dyDescent="0.2">
      <c r="B28" s="1047"/>
      <c r="C28" s="2345" t="s">
        <v>2173</v>
      </c>
      <c r="D28" s="2345"/>
      <c r="E28" s="1054"/>
      <c r="F28" s="2345" t="s">
        <v>2080</v>
      </c>
      <c r="G28" s="2345"/>
    </row>
    <row r="29" spans="1:10" x14ac:dyDescent="0.2">
      <c r="B29" s="1047"/>
      <c r="C29" s="1055" t="s">
        <v>1561</v>
      </c>
      <c r="E29" s="1056"/>
      <c r="F29" s="2344" t="s">
        <v>1510</v>
      </c>
      <c r="G29" s="2344"/>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6" t="s">
        <v>132</v>
      </c>
      <c r="D33" s="2327"/>
      <c r="E33" s="2327"/>
      <c r="F33" s="2327"/>
      <c r="G33" s="2327"/>
      <c r="H33" s="2327"/>
      <c r="I33" s="2327"/>
    </row>
    <row r="34" spans="1:10" ht="10.35" customHeight="1" x14ac:dyDescent="0.2">
      <c r="C34" s="2327"/>
      <c r="D34" s="2327"/>
      <c r="E34" s="2327"/>
      <c r="F34" s="2327"/>
      <c r="G34" s="2327"/>
      <c r="H34" s="2327"/>
      <c r="I34" s="2327"/>
    </row>
    <row r="35" spans="1:10" ht="7.5" customHeight="1" x14ac:dyDescent="0.2">
      <c r="C35" s="1062"/>
    </row>
    <row r="36" spans="1:10" ht="13.5" customHeight="1" x14ac:dyDescent="0.2">
      <c r="B36" s="1061"/>
      <c r="C36" s="2328" t="s">
        <v>1981</v>
      </c>
      <c r="D36" s="2327"/>
      <c r="E36" s="2327"/>
      <c r="F36" s="2327"/>
      <c r="G36" s="2327"/>
      <c r="H36" s="2327"/>
      <c r="I36" s="2327"/>
      <c r="J36" s="1063"/>
    </row>
    <row r="37" spans="1:10" ht="22.5" customHeight="1" x14ac:dyDescent="0.2">
      <c r="C37" s="2327"/>
      <c r="D37" s="2327"/>
      <c r="E37" s="2327"/>
      <c r="F37" s="2327"/>
      <c r="G37" s="2327"/>
      <c r="H37" s="2327"/>
      <c r="I37" s="2327"/>
      <c r="J37" s="1063"/>
    </row>
    <row r="38" spans="1:10" ht="7.5" customHeight="1" x14ac:dyDescent="0.2">
      <c r="C38" s="1062"/>
      <c r="D38" s="1064"/>
      <c r="E38" s="1065"/>
      <c r="F38" s="1066"/>
      <c r="G38" s="1065"/>
    </row>
    <row r="39" spans="1:10" ht="13.5" customHeight="1" x14ac:dyDescent="0.2">
      <c r="B39" s="1061"/>
      <c r="C39" s="2324" t="s">
        <v>882</v>
      </c>
      <c r="D39" s="2325"/>
      <c r="E39" s="2325"/>
      <c r="F39" s="2325"/>
      <c r="G39" s="2325"/>
      <c r="H39" s="2325"/>
      <c r="I39" s="232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I5" sqref="I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2165</v>
      </c>
    </row>
    <row r="6" spans="1:2" x14ac:dyDescent="0.2">
      <c r="A6" s="1068">
        <v>2</v>
      </c>
      <c r="B6" s="329" t="s">
        <v>2166</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Charleston CUSD 1</v>
      </c>
    </row>
    <row r="65" spans="2:2" x14ac:dyDescent="0.2">
      <c r="B65" s="1070">
        <f>COVER!A13</f>
        <v>11015001026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X22" sqref="X2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5" t="s">
        <v>1065</v>
      </c>
      <c r="B35" s="2065"/>
      <c r="C35" s="2065"/>
      <c r="D35" s="2065"/>
      <c r="E35" s="206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2" t="s">
        <v>691</v>
      </c>
      <c r="B40" s="2062"/>
      <c r="C40" s="2062"/>
      <c r="D40" s="2062"/>
      <c r="E40" s="2062"/>
    </row>
    <row r="41" spans="1:5" x14ac:dyDescent="0.2">
      <c r="A41" s="2063" t="s">
        <v>1608</v>
      </c>
      <c r="B41" s="2063"/>
      <c r="C41" s="2063"/>
      <c r="D41" s="2063"/>
      <c r="E41" s="2063"/>
    </row>
    <row r="42" spans="1:5" ht="12.75" customHeight="1" x14ac:dyDescent="0.2">
      <c r="A42" s="2064" t="s">
        <v>1022</v>
      </c>
      <c r="B42" s="2064"/>
      <c r="C42" s="2064"/>
      <c r="D42" s="2064"/>
      <c r="E42" s="2064"/>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FF000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0000"/>
  </sheetPr>
  <dimension ref="A11:F18"/>
  <sheetViews>
    <sheetView showGridLines="0" zoomScale="110" zoomScaleNormal="110" workbookViewId="0">
      <selection activeCell="E12" sqref="E1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8" t="s">
        <v>1685</v>
      </c>
      <c r="B18" s="234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342900</xdr:colOff>
                <xdr:row>2</xdr:row>
                <xdr:rowOff>152400</xdr:rowOff>
              </from>
              <to>
                <xdr:col>1</xdr:col>
                <xdr:colOff>1257300</xdr:colOff>
                <xdr:row>7</xdr:row>
                <xdr:rowOff>104775</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1476375</xdr:colOff>
                <xdr:row>2</xdr:row>
                <xdr:rowOff>152400</xdr:rowOff>
              </from>
              <to>
                <xdr:col>1</xdr:col>
                <xdr:colOff>2390775</xdr:colOff>
                <xdr:row>7</xdr:row>
                <xdr:rowOff>104775</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2628900</xdr:colOff>
                <xdr:row>3</xdr:row>
                <xdr:rowOff>0</xdr:rowOff>
              </from>
              <to>
                <xdr:col>1</xdr:col>
                <xdr:colOff>3543300</xdr:colOff>
                <xdr:row>7</xdr:row>
                <xdr:rowOff>123825</xdr:rowOff>
              </to>
            </anchor>
          </objectPr>
        </oleObject>
      </mc:Choice>
      <mc:Fallback>
        <oleObject progId="Acrobat Document" dvAspect="DVASPECT_ICON" shapeId="36867"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FF0000"/>
    <pageSetUpPr fitToPage="1"/>
  </sheetPr>
  <dimension ref="A1:H48"/>
  <sheetViews>
    <sheetView showGridLines="0" showZeros="0" topLeftCell="A4" zoomScale="110" zoomScaleNormal="110" workbookViewId="0">
      <selection activeCell="M41" sqref="M4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9" t="s">
        <v>1690</v>
      </c>
      <c r="B1" s="2350"/>
      <c r="C1" s="2350"/>
      <c r="D1" s="2350"/>
      <c r="E1" s="2350"/>
      <c r="F1" s="2351"/>
    </row>
    <row r="2" spans="1:8" ht="45" customHeight="1" x14ac:dyDescent="0.2">
      <c r="A2" s="2359" t="s">
        <v>1985</v>
      </c>
      <c r="B2" s="2360"/>
      <c r="C2" s="2360"/>
      <c r="D2" s="2360"/>
      <c r="E2" s="2360"/>
      <c r="F2" s="2361"/>
      <c r="G2" s="1074"/>
      <c r="H2" s="1074"/>
    </row>
    <row r="3" spans="1:8" ht="57" customHeight="1" x14ac:dyDescent="0.2">
      <c r="A3" s="2362" t="s">
        <v>1686</v>
      </c>
      <c r="B3" s="2363"/>
      <c r="C3" s="2363"/>
      <c r="D3" s="2363"/>
      <c r="E3" s="2363"/>
      <c r="F3" s="2364"/>
      <c r="G3" s="1074"/>
      <c r="H3" s="1074"/>
    </row>
    <row r="4" spans="1:8" ht="14.25" customHeight="1" x14ac:dyDescent="0.2">
      <c r="A4" s="2368" t="s">
        <v>1986</v>
      </c>
      <c r="B4" s="2369"/>
      <c r="C4" s="2369"/>
      <c r="D4" s="2369"/>
      <c r="E4" s="2369"/>
      <c r="F4" s="2370"/>
      <c r="G4" s="1074"/>
      <c r="H4" s="1074"/>
    </row>
    <row r="5" spans="1:8" ht="14.25" customHeight="1" x14ac:dyDescent="0.2">
      <c r="A5" s="2371" t="s">
        <v>1982</v>
      </c>
      <c r="B5" s="2372"/>
      <c r="C5" s="2372"/>
      <c r="D5" s="2372"/>
      <c r="E5" s="2372"/>
      <c r="F5" s="2373"/>
      <c r="G5" s="1074"/>
      <c r="H5" s="1074"/>
    </row>
    <row r="6" spans="1:8" s="1075" customFormat="1" ht="41.25" customHeight="1" x14ac:dyDescent="0.2">
      <c r="A6" s="2365" t="s">
        <v>1691</v>
      </c>
      <c r="B6" s="2366"/>
      <c r="C6" s="2366"/>
      <c r="D6" s="2366"/>
      <c r="E6" s="2366"/>
      <c r="F6" s="2367"/>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20964454</v>
      </c>
      <c r="C8" s="1815">
        <f>'Acct Summary 7-8'!D8</f>
        <v>2201216</v>
      </c>
      <c r="D8" s="1815">
        <f>'Acct Summary 7-8'!F8</f>
        <v>3343318</v>
      </c>
      <c r="E8" s="1815">
        <f>'Acct Summary 7-8'!I8</f>
        <v>181468</v>
      </c>
      <c r="F8" s="1815">
        <f>SUM(B8:E8)</f>
        <v>26690456</v>
      </c>
    </row>
    <row r="9" spans="1:8" s="1079" customFormat="1" ht="14.25" customHeight="1" thickBot="1" x14ac:dyDescent="0.25">
      <c r="A9" s="1078" t="s">
        <v>1369</v>
      </c>
      <c r="B9" s="1816">
        <f>'Acct Summary 7-8'!C17</f>
        <v>19570162</v>
      </c>
      <c r="C9" s="1816">
        <f>'Acct Summary 7-8'!D17</f>
        <v>1961778</v>
      </c>
      <c r="D9" s="1816">
        <f>'Acct Summary 7-8'!F17</f>
        <v>2370222</v>
      </c>
      <c r="E9" s="1815"/>
      <c r="F9" s="1815">
        <f>SUM(B9:E9)</f>
        <v>23902162</v>
      </c>
    </row>
    <row r="10" spans="1:8" s="1079" customFormat="1" ht="14.25" thickTop="1" thickBot="1" x14ac:dyDescent="0.25">
      <c r="A10" s="1080" t="s">
        <v>1370</v>
      </c>
      <c r="B10" s="1817">
        <f>(B8-B9)</f>
        <v>1394292</v>
      </c>
      <c r="C10" s="1817">
        <f>(C8-C9)</f>
        <v>239438</v>
      </c>
      <c r="D10" s="1817">
        <f>(D8-D9)</f>
        <v>973096</v>
      </c>
      <c r="E10" s="1816">
        <f>(E8-E9)</f>
        <v>181468</v>
      </c>
      <c r="F10" s="1818">
        <f>SUM(F8-F9)</f>
        <v>2788294</v>
      </c>
    </row>
    <row r="11" spans="1:8" s="1079" customFormat="1" ht="14.25" thickTop="1" thickBot="1" x14ac:dyDescent="0.25">
      <c r="A11" s="1081" t="s">
        <v>1983</v>
      </c>
      <c r="B11" s="1819">
        <f>'Acct Summary 7-8'!C81</f>
        <v>9543833</v>
      </c>
      <c r="C11" s="1819">
        <f>'Acct Summary 7-8'!D81</f>
        <v>1011951</v>
      </c>
      <c r="D11" s="1819">
        <f>'Acct Summary 7-8'!F81</f>
        <v>267902</v>
      </c>
      <c r="E11" s="1819">
        <f>'Acct Summary 7-8'!I81</f>
        <v>2666791</v>
      </c>
      <c r="F11" s="1820">
        <f>SUM(B11:E11)</f>
        <v>13490477</v>
      </c>
    </row>
    <row r="12" spans="1:8" ht="16.5" customHeight="1" thickTop="1" x14ac:dyDescent="0.2">
      <c r="A12" s="1082"/>
      <c r="B12" s="1083"/>
      <c r="C12" s="2353" t="str">
        <f>IF(AND(F10&lt;0,F11&gt;=0,ABS(F10*3)&gt;ABS(F11)),A16,IF(AND(F10&lt;0,F11&gt;0,ABS(F10*3)&lt;=ABS(F11)),A17,IF(AND(F10&lt;0,F11&lt;0),A16,IF(F11=0,A19,A18))))</f>
        <v>Balanced - no deficit reduction plan is required.</v>
      </c>
      <c r="D12" s="2354"/>
      <c r="E12" s="2354"/>
      <c r="F12" s="2355"/>
    </row>
    <row r="13" spans="1:8" ht="19.5" customHeight="1" x14ac:dyDescent="0.2">
      <c r="A13" s="1084"/>
      <c r="B13" s="1085"/>
      <c r="C13" s="2353"/>
      <c r="D13" s="2354"/>
      <c r="E13" s="2354"/>
      <c r="F13" s="2355"/>
      <c r="H13" s="1074"/>
    </row>
    <row r="14" spans="1:8" ht="19.5" customHeight="1" x14ac:dyDescent="0.2">
      <c r="A14" s="1084"/>
      <c r="B14" s="1085"/>
      <c r="C14" s="2353"/>
      <c r="D14" s="2354"/>
      <c r="E14" s="2354"/>
      <c r="F14" s="2355"/>
      <c r="H14" s="1074"/>
    </row>
    <row r="15" spans="1:8" ht="17.25" customHeight="1" x14ac:dyDescent="0.2">
      <c r="A15" s="1084"/>
      <c r="B15" s="1085"/>
      <c r="C15" s="2356"/>
      <c r="D15" s="2357"/>
      <c r="E15" s="2357"/>
      <c r="F15" s="2358"/>
      <c r="H15" s="1074"/>
    </row>
    <row r="16" spans="1:8" s="310" customFormat="1" ht="51.75" hidden="1" customHeight="1" x14ac:dyDescent="0.2">
      <c r="A16" s="2352" t="s">
        <v>1687</v>
      </c>
      <c r="B16" s="2352"/>
      <c r="C16" s="2352"/>
      <c r="D16" s="2352"/>
      <c r="E16" s="2352"/>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rgb="FFFF0000"/>
  </sheetPr>
  <dimension ref="A1:L82"/>
  <sheetViews>
    <sheetView showGridLines="0" defaultGridColor="0" topLeftCell="A60" colorId="8" zoomScale="110" zoomScaleNormal="110" workbookViewId="0">
      <selection activeCell="C80" sqref="C8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4" t="s">
        <v>665</v>
      </c>
      <c r="B3" s="2375"/>
      <c r="C3" s="2375"/>
      <c r="D3" s="2376"/>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5" t="s">
        <v>1504</v>
      </c>
      <c r="D7" s="2386"/>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7" t="s">
        <v>1008</v>
      </c>
      <c r="B15" s="2378"/>
      <c r="C15" s="2378"/>
      <c r="D15" s="2379"/>
    </row>
    <row r="16" spans="1:4" s="668" customFormat="1" ht="24" customHeight="1" x14ac:dyDescent="0.2">
      <c r="A16" s="2380" t="s">
        <v>663</v>
      </c>
      <c r="B16" s="2381"/>
      <c r="C16" s="2381"/>
      <c r="D16" s="2382"/>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9" t="s">
        <v>314</v>
      </c>
      <c r="D21" s="2390"/>
    </row>
    <row r="22" spans="1:10" ht="12.75" x14ac:dyDescent="0.2">
      <c r="A22" s="1139"/>
      <c r="B22" s="1140">
        <v>2</v>
      </c>
      <c r="C22" s="2387" t="s">
        <v>1524</v>
      </c>
      <c r="D22" s="2388"/>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91" t="s">
        <v>536</v>
      </c>
      <c r="D43" s="2392"/>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3" t="s">
        <v>784</v>
      </c>
      <c r="D56" s="2384"/>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83" t="s">
        <v>1696</v>
      </c>
      <c r="D70" s="2384"/>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11015001026</v>
      </c>
    </row>
    <row r="3" spans="1:2" x14ac:dyDescent="0.2">
      <c r="A3" t="s">
        <v>956</v>
      </c>
      <c r="B3" s="138" t="str">
        <f>COVER!A15</f>
        <v>Coles</v>
      </c>
    </row>
    <row r="4" spans="1:2" x14ac:dyDescent="0.2">
      <c r="A4" t="s">
        <v>1007</v>
      </c>
      <c r="B4" s="138" t="str">
        <f>COVER!A17</f>
        <v>Charleston CUSD 1</v>
      </c>
    </row>
    <row r="5" spans="1:2" x14ac:dyDescent="0.2">
      <c r="A5" t="s">
        <v>704</v>
      </c>
      <c r="B5" s="138" t="str">
        <f>COVER!A38</f>
        <v>Todd Vilardo</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66-003998</v>
      </c>
    </row>
    <row r="16" spans="1:2" x14ac:dyDescent="0.2">
      <c r="A16" t="s">
        <v>422</v>
      </c>
      <c r="B16" s="138" t="str">
        <f>COVER!T13</f>
        <v>Kemper CPA Group, LLP</v>
      </c>
    </row>
    <row r="17" spans="1:2" x14ac:dyDescent="0.2">
      <c r="A17" t="s">
        <v>884</v>
      </c>
      <c r="B17" s="138" t="str">
        <f>COVER!T15</f>
        <v>Tami Knight, CPA</v>
      </c>
    </row>
    <row r="18" spans="1:2" x14ac:dyDescent="0.2">
      <c r="A18" t="s">
        <v>1150</v>
      </c>
      <c r="B18" s="138" t="str">
        <f>COVER!T17</f>
        <v>80 Broadway Ave, Ste #102</v>
      </c>
    </row>
    <row r="19" spans="1:2" x14ac:dyDescent="0.2">
      <c r="A19" t="s">
        <v>886</v>
      </c>
      <c r="B19" s="138" t="str">
        <f>COVER!T25</f>
        <v>tknight@kempercpa.com</v>
      </c>
    </row>
    <row r="20" spans="1:2" x14ac:dyDescent="0.2">
      <c r="A20" t="s">
        <v>887</v>
      </c>
      <c r="B20" s="138" t="str">
        <f>COVER!T19</f>
        <v>Mattoon</v>
      </c>
    </row>
    <row r="21" spans="1:2" x14ac:dyDescent="0.2">
      <c r="A21" t="s">
        <v>479</v>
      </c>
      <c r="B21" s="138" t="str">
        <f>COVER!X19</f>
        <v>IL</v>
      </c>
    </row>
    <row r="22" spans="1:2" x14ac:dyDescent="0.2">
      <c r="A22" t="s">
        <v>888</v>
      </c>
      <c r="B22" s="138">
        <f>COVER!Z19</f>
        <v>61938</v>
      </c>
    </row>
    <row r="23" spans="1:2" x14ac:dyDescent="0.2">
      <c r="A23" t="s">
        <v>1152</v>
      </c>
      <c r="B23" s="138" t="str">
        <f>COVER!T21</f>
        <v>217-234-8801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35735</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6040571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9552779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8946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8946</v>
      </c>
      <c r="C91" s="2" t="s">
        <v>573</v>
      </c>
      <c r="D91" s="2" t="str">
        <f t="shared" si="0"/>
        <v>Error?</v>
      </c>
    </row>
    <row r="92" spans="1:4" x14ac:dyDescent="0.2">
      <c r="A92" s="5">
        <v>31</v>
      </c>
      <c r="B92" s="138">
        <f>'Assets-Liab 5-6'!C39</f>
        <v>9543833</v>
      </c>
      <c r="D92" s="2" t="str">
        <f t="shared" si="0"/>
        <v>Error?</v>
      </c>
    </row>
    <row r="93" spans="1:4" x14ac:dyDescent="0.2">
      <c r="A93" s="5">
        <v>32</v>
      </c>
      <c r="B93" s="138">
        <f>'Assets-Liab 5-6'!C41</f>
        <v>9552779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684387</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1013081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1130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1130</v>
      </c>
      <c r="C122" s="2" t="s">
        <v>573</v>
      </c>
      <c r="D122" s="2" t="str">
        <f t="shared" si="0"/>
        <v>Error?</v>
      </c>
    </row>
    <row r="123" spans="1:4" x14ac:dyDescent="0.2">
      <c r="A123" s="5">
        <v>62</v>
      </c>
      <c r="B123" s="138">
        <f>'Assets-Liab 5-6'!D39</f>
        <v>1011951</v>
      </c>
      <c r="D123" s="2" t="str">
        <f t="shared" si="0"/>
        <v>Error?</v>
      </c>
    </row>
    <row r="124" spans="1:4" x14ac:dyDescent="0.2">
      <c r="A124" s="5">
        <v>63</v>
      </c>
      <c r="B124" s="138">
        <f>'Assets-Liab 5-6'!D41</f>
        <v>1013081</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657256</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1492377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1224475</v>
      </c>
      <c r="C169" s="2" t="s">
        <v>573</v>
      </c>
      <c r="D169" s="2" t="str">
        <f t="shared" si="1"/>
        <v>Error?</v>
      </c>
    </row>
    <row r="170" spans="1:4" x14ac:dyDescent="0.2">
      <c r="A170" s="5">
        <v>109</v>
      </c>
      <c r="B170" s="138">
        <f>'Assets-Liab 5-6'!F39</f>
        <v>267902</v>
      </c>
      <c r="D170" s="2" t="str">
        <f t="shared" si="1"/>
        <v>Error?</v>
      </c>
    </row>
    <row r="171" spans="1:4" x14ac:dyDescent="0.2">
      <c r="A171" s="5">
        <v>110</v>
      </c>
      <c r="B171" s="138">
        <f>'Assets-Liab 5-6'!F41</f>
        <v>1492377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783260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1065972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797816</v>
      </c>
      <c r="D189" s="2" t="str">
        <f t="shared" si="1"/>
        <v>Error?</v>
      </c>
    </row>
    <row r="190" spans="1:4" x14ac:dyDescent="0.2">
      <c r="A190" s="5">
        <v>129</v>
      </c>
      <c r="B190" s="138">
        <f>'Assets-Liab 5-6'!G41</f>
        <v>1065972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808396</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1394457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1394457</v>
      </c>
      <c r="D212" s="2" t="str">
        <f t="shared" si="2"/>
        <v>Error?</v>
      </c>
    </row>
    <row r="213" spans="1:4" x14ac:dyDescent="0.2">
      <c r="A213" s="12">
        <v>152</v>
      </c>
      <c r="B213" s="138">
        <f>'Assets-Liab 5-6'!H41</f>
        <v>1394457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1099169</v>
      </c>
      <c r="D273" s="2" t="str">
        <f t="shared" si="3"/>
        <v>Error?</v>
      </c>
    </row>
    <row r="274" spans="1:4" x14ac:dyDescent="0.2">
      <c r="A274" s="5">
        <v>213</v>
      </c>
      <c r="B274" s="138">
        <f>'Assets-Liab 5-6'!M17</f>
        <v>45792451</v>
      </c>
      <c r="D274" s="2" t="str">
        <f t="shared" si="3"/>
        <v>Error?</v>
      </c>
    </row>
    <row r="275" spans="1:4" x14ac:dyDescent="0.2">
      <c r="A275" s="5">
        <v>214</v>
      </c>
      <c r="B275" s="138">
        <f>'Assets-Liab 5-6'!M18</f>
        <v>4194219</v>
      </c>
      <c r="D275" s="2" t="str">
        <f t="shared" si="3"/>
        <v>Error?</v>
      </c>
    </row>
    <row r="276" spans="1:4" x14ac:dyDescent="0.2">
      <c r="A276" s="5">
        <v>215</v>
      </c>
      <c r="B276" s="138">
        <f>'Assets-Liab 5-6'!M19</f>
        <v>682183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51768022</v>
      </c>
      <c r="C279" s="2" t="s">
        <v>573</v>
      </c>
      <c r="D279" s="2" t="str">
        <f t="shared" si="3"/>
        <v>Error?</v>
      </c>
    </row>
    <row r="280" spans="1:4" x14ac:dyDescent="0.2">
      <c r="A280" s="5">
        <v>219</v>
      </c>
      <c r="B280" s="138">
        <f>'Assets-Liab 5-6'!M40</f>
        <v>51768022</v>
      </c>
      <c r="D280" s="2" t="str">
        <f t="shared" si="3"/>
        <v>Error?</v>
      </c>
    </row>
    <row r="281" spans="1:4" x14ac:dyDescent="0.2">
      <c r="A281" s="5">
        <v>220</v>
      </c>
      <c r="B281" s="138">
        <f>'Assets-Liab 5-6'!M41</f>
        <v>51768022</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5303128</v>
      </c>
      <c r="D705" s="2" t="str">
        <f t="shared" si="10"/>
        <v>Error?</v>
      </c>
    </row>
    <row r="706" spans="1:4" x14ac:dyDescent="0.2">
      <c r="A706" s="5">
        <v>645</v>
      </c>
      <c r="B706" s="138">
        <f>'Expenditures 15-22'!C16</f>
        <v>35413</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15744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217561</v>
      </c>
      <c r="D717" s="2" t="str">
        <f t="shared" si="10"/>
        <v>Error?</v>
      </c>
    </row>
    <row r="718" spans="1:4" x14ac:dyDescent="0.2">
      <c r="A718" s="5">
        <v>657</v>
      </c>
      <c r="B718" s="138">
        <f>'Expenditures 15-22'!C14</f>
        <v>224081</v>
      </c>
      <c r="D718" s="2" t="str">
        <f t="shared" si="10"/>
        <v>Error?</v>
      </c>
    </row>
    <row r="719" spans="1:4" x14ac:dyDescent="0.2">
      <c r="A719" s="5">
        <v>658</v>
      </c>
      <c r="B719" s="138">
        <f>'Expenditures 15-22'!C15</f>
        <v>3715</v>
      </c>
      <c r="D719" s="2" t="str">
        <f t="shared" si="10"/>
        <v>Error?</v>
      </c>
    </row>
    <row r="720" spans="1:4" x14ac:dyDescent="0.2">
      <c r="A720" s="5">
        <v>659</v>
      </c>
      <c r="B720" s="138">
        <f>'Expenditures 15-22'!C33</f>
        <v>8617748</v>
      </c>
      <c r="C720" s="2" t="s">
        <v>573</v>
      </c>
      <c r="D720" s="2" t="str">
        <f t="shared" si="10"/>
        <v>Error?</v>
      </c>
    </row>
    <row r="721" spans="1:4" x14ac:dyDescent="0.2">
      <c r="A721" s="5">
        <v>660</v>
      </c>
      <c r="B721" s="138">
        <f>'Expenditures 15-22'!C36</f>
        <v>216477</v>
      </c>
      <c r="D721" s="2" t="str">
        <f t="shared" si="10"/>
        <v>Error?</v>
      </c>
    </row>
    <row r="722" spans="1:4" x14ac:dyDescent="0.2">
      <c r="A722" s="5">
        <v>661</v>
      </c>
      <c r="B722" s="138">
        <f>'Expenditures 15-22'!C37</f>
        <v>358808</v>
      </c>
      <c r="D722" s="2" t="str">
        <f t="shared" si="10"/>
        <v>Error?</v>
      </c>
    </row>
    <row r="723" spans="1:4" x14ac:dyDescent="0.2">
      <c r="A723" s="5">
        <v>662</v>
      </c>
      <c r="B723" s="138">
        <f>'Expenditures 15-22'!C38</f>
        <v>132861</v>
      </c>
      <c r="D723" s="2" t="str">
        <f t="shared" si="10"/>
        <v>Error?</v>
      </c>
    </row>
    <row r="724" spans="1:4" x14ac:dyDescent="0.2">
      <c r="A724" s="5">
        <v>663</v>
      </c>
      <c r="B724" s="138">
        <f>'Expenditures 15-22'!C39</f>
        <v>90144</v>
      </c>
      <c r="D724" s="2" t="str">
        <f t="shared" si="10"/>
        <v>Error?</v>
      </c>
    </row>
    <row r="725" spans="1:4" x14ac:dyDescent="0.2">
      <c r="A725" s="5">
        <v>664</v>
      </c>
      <c r="B725" s="138">
        <f>'Expenditures 15-22'!C40</f>
        <v>229562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1027852</v>
      </c>
      <c r="C727" s="2" t="s">
        <v>573</v>
      </c>
      <c r="D727" s="2" t="str">
        <f t="shared" si="10"/>
        <v>Error?</v>
      </c>
    </row>
    <row r="728" spans="1:4" x14ac:dyDescent="0.2">
      <c r="A728" s="5">
        <v>667</v>
      </c>
      <c r="B728" s="138">
        <f>'Expenditures 15-22'!C44</f>
        <v>210854</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210854</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463479</v>
      </c>
      <c r="D733" s="2" t="str">
        <f t="shared" si="10"/>
        <v>Error?</v>
      </c>
    </row>
    <row r="734" spans="1:4" x14ac:dyDescent="0.2">
      <c r="A734" s="5">
        <v>673</v>
      </c>
      <c r="B734" s="138">
        <f>'Expenditures 15-22'!C53</f>
        <v>497979</v>
      </c>
      <c r="C734" s="2" t="s">
        <v>573</v>
      </c>
      <c r="D734" s="2" t="str">
        <f t="shared" si="10"/>
        <v>Error?</v>
      </c>
    </row>
    <row r="735" spans="1:4" x14ac:dyDescent="0.2">
      <c r="A735" s="5">
        <v>674</v>
      </c>
      <c r="B735" s="138">
        <f>'Expenditures 15-22'!C55</f>
        <v>1032377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1032377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89909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89909</v>
      </c>
      <c r="C745" s="2" t="s">
        <v>573</v>
      </c>
      <c r="D745" s="2" t="str">
        <f t="shared" si="10"/>
        <v>Error?</v>
      </c>
    </row>
    <row r="746" spans="1:4" x14ac:dyDescent="0.2">
      <c r="A746" s="5">
        <v>685</v>
      </c>
      <c r="B746" s="138">
        <f>'Expenditures 15-22'!C67</f>
        <v>98444</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98444</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2957415</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11575163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1391901</v>
      </c>
      <c r="D763" s="2" t="str">
        <f t="shared" si="10"/>
        <v>Error?</v>
      </c>
    </row>
    <row r="764" spans="1:4" x14ac:dyDescent="0.2">
      <c r="A764" s="5">
        <v>703</v>
      </c>
      <c r="B764" s="138">
        <f>'Expenditures 15-22'!D16</f>
        <v>11869</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193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48732</v>
      </c>
      <c r="D775" s="2" t="str">
        <f t="shared" si="11"/>
        <v>Error?</v>
      </c>
    </row>
    <row r="776" spans="1:4" x14ac:dyDescent="0.2">
      <c r="A776" s="5">
        <v>715</v>
      </c>
      <c r="B776" s="138">
        <f>'Expenditures 15-22'!D14</f>
        <v>14605</v>
      </c>
      <c r="D776" s="2" t="str">
        <f t="shared" si="11"/>
        <v>Error?</v>
      </c>
    </row>
    <row r="777" spans="1:4" x14ac:dyDescent="0.2">
      <c r="A777" s="5">
        <v>716</v>
      </c>
      <c r="B777" s="138">
        <f>'Expenditures 15-22'!D15</f>
        <v>215</v>
      </c>
      <c r="D777" s="2" t="str">
        <f t="shared" si="11"/>
        <v>Error?</v>
      </c>
    </row>
    <row r="778" spans="1:4" x14ac:dyDescent="0.2">
      <c r="A778" s="5">
        <v>717</v>
      </c>
      <c r="B778" s="138">
        <f>'Expenditures 15-22'!D33</f>
        <v>2348993</v>
      </c>
      <c r="C778" s="2" t="s">
        <v>573</v>
      </c>
      <c r="D778" s="2" t="str">
        <f t="shared" si="11"/>
        <v>Error?</v>
      </c>
    </row>
    <row r="779" spans="1:4" x14ac:dyDescent="0.2">
      <c r="A779" s="5">
        <v>718</v>
      </c>
      <c r="B779" s="138">
        <f>'Expenditures 15-22'!D36</f>
        <v>57158</v>
      </c>
      <c r="D779" s="2" t="str">
        <f t="shared" si="11"/>
        <v>Error?</v>
      </c>
    </row>
    <row r="780" spans="1:4" x14ac:dyDescent="0.2">
      <c r="A780" s="5">
        <v>719</v>
      </c>
      <c r="B780" s="138">
        <f>'Expenditures 15-22'!D37</f>
        <v>79581</v>
      </c>
      <c r="D780" s="2" t="str">
        <f t="shared" si="11"/>
        <v>Error?</v>
      </c>
    </row>
    <row r="781" spans="1:4" x14ac:dyDescent="0.2">
      <c r="A781" s="5">
        <v>720</v>
      </c>
      <c r="B781" s="138">
        <f>'Expenditures 15-22'!D38</f>
        <v>29959</v>
      </c>
      <c r="D781" s="2" t="str">
        <f t="shared" si="11"/>
        <v>Error?</v>
      </c>
    </row>
    <row r="782" spans="1:4" x14ac:dyDescent="0.2">
      <c r="A782" s="5">
        <v>721</v>
      </c>
      <c r="B782" s="138">
        <f>'Expenditures 15-22'!D39</f>
        <v>24740</v>
      </c>
      <c r="D782" s="2" t="str">
        <f t="shared" si="11"/>
        <v>Error?</v>
      </c>
    </row>
    <row r="783" spans="1:4" x14ac:dyDescent="0.2">
      <c r="A783" s="5">
        <v>722</v>
      </c>
      <c r="B783" s="138">
        <f>'Expenditures 15-22'!D40</f>
        <v>54391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245829</v>
      </c>
      <c r="C785" s="2" t="s">
        <v>573</v>
      </c>
      <c r="D785" s="2" t="str">
        <f t="shared" si="11"/>
        <v>Error?</v>
      </c>
    </row>
    <row r="786" spans="1:4" x14ac:dyDescent="0.2">
      <c r="A786" s="5">
        <v>725</v>
      </c>
      <c r="B786" s="138">
        <f>'Expenditures 15-22'!D44</f>
        <v>349216</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349216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77960</v>
      </c>
      <c r="D791" s="2" t="str">
        <f t="shared" si="11"/>
        <v>Error?</v>
      </c>
    </row>
    <row r="792" spans="1:4" x14ac:dyDescent="0.2">
      <c r="A792" s="5">
        <v>731</v>
      </c>
      <c r="B792" s="138">
        <f>'Expenditures 15-22'!D53</f>
        <v>85905</v>
      </c>
      <c r="C792" s="2" t="s">
        <v>573</v>
      </c>
      <c r="D792" s="2" t="str">
        <f t="shared" si="11"/>
        <v>Error?</v>
      </c>
    </row>
    <row r="793" spans="1:4" x14ac:dyDescent="0.2">
      <c r="A793" s="5">
        <v>732</v>
      </c>
      <c r="B793" s="138">
        <f>'Expenditures 15-22'!D55</f>
        <v>227638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227638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14519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14519</v>
      </c>
      <c r="C803" s="2" t="s">
        <v>573</v>
      </c>
      <c r="D803" s="2" t="str">
        <f t="shared" si="11"/>
        <v>Error?</v>
      </c>
    </row>
    <row r="804" spans="1:4" x14ac:dyDescent="0.2">
      <c r="A804" s="5">
        <v>743</v>
      </c>
      <c r="B804" s="138">
        <f>'Expenditures 15-22'!D67</f>
        <v>17370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17370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940477</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3289470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1762</v>
      </c>
      <c r="D821" s="2" t="str">
        <f t="shared" si="11"/>
        <v>Error?</v>
      </c>
    </row>
    <row r="822" spans="1:4" x14ac:dyDescent="0.2">
      <c r="A822" s="5">
        <v>761</v>
      </c>
      <c r="B822" s="138">
        <f>'Expenditures 15-22'!E16</f>
        <v>899</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554613</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95144</v>
      </c>
      <c r="D834" s="2" t="str">
        <f t="shared" si="12"/>
        <v>Error?</v>
      </c>
    </row>
    <row r="835" spans="1:4" x14ac:dyDescent="0.2">
      <c r="A835" s="5">
        <v>774</v>
      </c>
      <c r="B835" s="138">
        <f>'Expenditures 15-22'!E15</f>
        <v>1580</v>
      </c>
      <c r="D835" s="2" t="str">
        <f t="shared" si="12"/>
        <v>Error?</v>
      </c>
    </row>
    <row r="836" spans="1:4" x14ac:dyDescent="0.2">
      <c r="A836" s="5">
        <v>775</v>
      </c>
      <c r="B836" s="138">
        <f>'Expenditures 15-22'!E33</f>
        <v>678938</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2948</v>
      </c>
      <c r="D839" s="2" t="str">
        <f t="shared" si="12"/>
        <v>Error?</v>
      </c>
    </row>
    <row r="840" spans="1:4" x14ac:dyDescent="0.2">
      <c r="A840" s="5">
        <v>779</v>
      </c>
      <c r="B840" s="138">
        <f>'Expenditures 15-22'!E39</f>
        <v>46375</v>
      </c>
      <c r="D840" s="2" t="str">
        <f t="shared" si="12"/>
        <v>Error?</v>
      </c>
    </row>
    <row r="841" spans="1:4" x14ac:dyDescent="0.2">
      <c r="A841" s="5">
        <v>780</v>
      </c>
      <c r="B841" s="138">
        <f>'Expenditures 15-22'!E40</f>
        <v>6885</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56208</v>
      </c>
      <c r="C843" s="2" t="s">
        <v>573</v>
      </c>
      <c r="D843" s="2" t="str">
        <f t="shared" si="12"/>
        <v>Error?</v>
      </c>
    </row>
    <row r="844" spans="1:4" x14ac:dyDescent="0.2">
      <c r="A844" s="5">
        <v>783</v>
      </c>
      <c r="B844" s="138">
        <f>'Expenditures 15-22'!E44</f>
        <v>226005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226005</v>
      </c>
      <c r="C847" s="2" t="s">
        <v>573</v>
      </c>
      <c r="D847" s="2" t="str">
        <f t="shared" si="12"/>
        <v>Error?</v>
      </c>
    </row>
    <row r="848" spans="1:4" x14ac:dyDescent="0.2">
      <c r="A848" s="5">
        <v>787</v>
      </c>
      <c r="B848" s="138">
        <f>'Expenditures 15-22'!E49</f>
        <v>333129</v>
      </c>
      <c r="D848" s="2" t="str">
        <f t="shared" si="12"/>
        <v>Error?</v>
      </c>
    </row>
    <row r="849" spans="1:4" x14ac:dyDescent="0.2">
      <c r="A849" s="5">
        <v>788</v>
      </c>
      <c r="B849" s="138">
        <f>'Expenditures 15-22'!E50</f>
        <v>1976</v>
      </c>
      <c r="D849" s="2" t="str">
        <f t="shared" si="12"/>
        <v>Error?</v>
      </c>
    </row>
    <row r="850" spans="1:4" x14ac:dyDescent="0.2">
      <c r="A850" s="5">
        <v>789</v>
      </c>
      <c r="B850" s="138">
        <f>'Expenditures 15-22'!E53</f>
        <v>335105</v>
      </c>
      <c r="C850" s="2" t="s">
        <v>573</v>
      </c>
      <c r="D850" s="2" t="str">
        <f t="shared" si="12"/>
        <v>Error?</v>
      </c>
    </row>
    <row r="851" spans="1:4" x14ac:dyDescent="0.2">
      <c r="A851" s="5">
        <v>790</v>
      </c>
      <c r="B851" s="138">
        <f>'Expenditures 15-22'!E55</f>
        <v>152437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152437</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21735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831870</v>
      </c>
      <c r="D858" s="2" t="str">
        <f t="shared" si="12"/>
        <v>Error?</v>
      </c>
    </row>
    <row r="859" spans="1:4" x14ac:dyDescent="0.2">
      <c r="A859" s="5">
        <v>798</v>
      </c>
      <c r="B859" s="138">
        <f>'Expenditures 15-22'!E64</f>
        <v>190</v>
      </c>
      <c r="D859" s="2" t="str">
        <f t="shared" si="12"/>
        <v>Error?</v>
      </c>
    </row>
    <row r="860" spans="1:4" x14ac:dyDescent="0.2">
      <c r="A860" s="10">
        <v>799</v>
      </c>
      <c r="D860" s="2" t="str">
        <f t="shared" si="12"/>
        <v>OK</v>
      </c>
    </row>
    <row r="861" spans="1:4" x14ac:dyDescent="0.2">
      <c r="A861" s="5">
        <v>800</v>
      </c>
      <c r="B861" s="138">
        <f>'Expenditures 15-22'!E65</f>
        <v>853795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3044</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3044</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1626594</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3423509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132581</v>
      </c>
      <c r="D879" s="2" t="str">
        <f t="shared" si="12"/>
        <v>Error?</v>
      </c>
    </row>
    <row r="880" spans="1:4" x14ac:dyDescent="0.2">
      <c r="A880" s="5">
        <v>819</v>
      </c>
      <c r="B880" s="138">
        <f>'Expenditures 15-22'!F16</f>
        <v>4098</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7396</v>
      </c>
      <c r="D891" s="2" t="str">
        <f t="shared" si="12"/>
        <v>Error?</v>
      </c>
    </row>
    <row r="892" spans="1:4" x14ac:dyDescent="0.2">
      <c r="A892" s="5">
        <v>831</v>
      </c>
      <c r="B892" s="138">
        <f>'Expenditures 15-22'!F14</f>
        <v>41159</v>
      </c>
      <c r="D892" s="2" t="str">
        <f t="shared" si="12"/>
        <v>Error?</v>
      </c>
    </row>
    <row r="893" spans="1:4" x14ac:dyDescent="0.2">
      <c r="A893" s="5">
        <v>832</v>
      </c>
      <c r="B893" s="138">
        <f>'Expenditures 15-22'!F15</f>
        <v>229</v>
      </c>
      <c r="D893" s="2" t="str">
        <f t="shared" si="12"/>
        <v>Error?</v>
      </c>
    </row>
    <row r="894" spans="1:4" x14ac:dyDescent="0.2">
      <c r="A894" s="5">
        <v>833</v>
      </c>
      <c r="B894" s="138">
        <f>'Expenditures 15-22'!F33</f>
        <v>253673</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3997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422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4419</v>
      </c>
      <c r="C901" s="2" t="s">
        <v>573</v>
      </c>
      <c r="D901" s="2" t="str">
        <f t="shared" si="13"/>
        <v>Error?</v>
      </c>
    </row>
    <row r="902" spans="1:4" x14ac:dyDescent="0.2">
      <c r="A902" s="5">
        <v>841</v>
      </c>
      <c r="B902" s="138">
        <f>'Expenditures 15-22'!F44</f>
        <v>141107</v>
      </c>
      <c r="D902" s="2" t="str">
        <f t="shared" si="13"/>
        <v>Error?</v>
      </c>
    </row>
    <row r="903" spans="1:4" x14ac:dyDescent="0.2">
      <c r="A903" s="5">
        <v>842</v>
      </c>
      <c r="B903" s="138">
        <f>'Expenditures 15-22'!F45</f>
        <v>2007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143114</v>
      </c>
      <c r="C905" s="2" t="s">
        <v>573</v>
      </c>
      <c r="D905" s="2" t="str">
        <f t="shared" si="13"/>
        <v>Error?</v>
      </c>
    </row>
    <row r="906" spans="1:4" x14ac:dyDescent="0.2">
      <c r="A906" s="5">
        <v>845</v>
      </c>
      <c r="B906" s="138">
        <f>'Expenditures 15-22'!F49</f>
        <v>2833</v>
      </c>
      <c r="D906" s="2" t="str">
        <f t="shared" si="13"/>
        <v>Error?</v>
      </c>
    </row>
    <row r="907" spans="1:4" x14ac:dyDescent="0.2">
      <c r="A907" s="5">
        <v>846</v>
      </c>
      <c r="B907" s="138">
        <f>'Expenditures 15-22'!F50</f>
        <v>10540</v>
      </c>
      <c r="D907" s="2" t="str">
        <f t="shared" si="13"/>
        <v>Error?</v>
      </c>
    </row>
    <row r="908" spans="1:4" x14ac:dyDescent="0.2">
      <c r="A908" s="5">
        <v>847</v>
      </c>
      <c r="B908" s="138">
        <f>'Expenditures 15-22'!F53</f>
        <v>13373</v>
      </c>
      <c r="C908" s="2" t="s">
        <v>573</v>
      </c>
      <c r="D908" s="2" t="str">
        <f t="shared" si="13"/>
        <v>Error?</v>
      </c>
    </row>
    <row r="909" spans="1:4" x14ac:dyDescent="0.2">
      <c r="A909" s="5">
        <v>848</v>
      </c>
      <c r="B909" s="138">
        <f>'Expenditures 15-22'!F55</f>
        <v>68538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68538</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2106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41043</v>
      </c>
      <c r="D916" s="2" t="str">
        <f t="shared" si="13"/>
        <v>Error?</v>
      </c>
    </row>
    <row r="917" spans="1:4" x14ac:dyDescent="0.2">
      <c r="A917" s="5">
        <v>856</v>
      </c>
      <c r="B917" s="138">
        <f>'Expenditures 15-22'!F64</f>
        <v>870</v>
      </c>
      <c r="D917" s="2" t="str">
        <f t="shared" si="13"/>
        <v>Error?</v>
      </c>
    </row>
    <row r="918" spans="1:4" x14ac:dyDescent="0.2">
      <c r="A918" s="10">
        <v>857</v>
      </c>
      <c r="D918" s="2" t="str">
        <f t="shared" si="13"/>
        <v>OK</v>
      </c>
    </row>
    <row r="919" spans="1:4" x14ac:dyDescent="0.2">
      <c r="A919" s="5">
        <v>858</v>
      </c>
      <c r="B919" s="138">
        <f>'Expenditures 15-22'!F65</f>
        <v>44019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273463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527136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8367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48890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1771</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1771</v>
      </c>
      <c r="C959" s="2" t="s">
        <v>573</v>
      </c>
      <c r="D959" s="2" t="str">
        <f t="shared" ref="D959:D1022" si="14">IF(ISBLANK(B959),"OK",IF(A959-B959=0,"OK","Error?"))</f>
        <v>Error?</v>
      </c>
    </row>
    <row r="960" spans="1:4" x14ac:dyDescent="0.2">
      <c r="A960" s="5">
        <v>899</v>
      </c>
      <c r="B960" s="138">
        <f>'Expenditures 15-22'!G44</f>
        <v>280668</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280668</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2733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2733</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285172</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334062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1500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1500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698</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698</v>
      </c>
      <c r="C1021" s="2" t="s">
        <v>573</v>
      </c>
      <c r="D1021" s="2" t="str">
        <f t="shared" si="14"/>
        <v>Error?</v>
      </c>
    </row>
    <row r="1022" spans="1:4" x14ac:dyDescent="0.2">
      <c r="A1022" s="5">
        <v>961</v>
      </c>
      <c r="B1022" s="138">
        <f>'Expenditures 15-22'!H49</f>
        <v>29465</v>
      </c>
      <c r="D1022" s="2" t="str">
        <f t="shared" si="14"/>
        <v>Error?</v>
      </c>
    </row>
    <row r="1023" spans="1:4" x14ac:dyDescent="0.2">
      <c r="A1023" s="5">
        <v>962</v>
      </c>
      <c r="B1023" s="138">
        <f>'Expenditures 15-22'!H50</f>
        <v>3777</v>
      </c>
      <c r="D1023" s="2" t="str">
        <f t="shared" ref="D1023:D1086" si="15">IF(ISBLANK(B1023),"OK",IF(A1023-B1023=0,"OK","Error?"))</f>
        <v>Error?</v>
      </c>
    </row>
    <row r="1024" spans="1:4" x14ac:dyDescent="0.2">
      <c r="A1024" s="5">
        <v>963</v>
      </c>
      <c r="B1024" s="138">
        <f>'Expenditures 15-22'!H53</f>
        <v>33242</v>
      </c>
      <c r="C1024" s="2" t="s">
        <v>573</v>
      </c>
      <c r="D1024" s="2" t="str">
        <f t="shared" si="15"/>
        <v>Error?</v>
      </c>
    </row>
    <row r="1025" spans="1:4" x14ac:dyDescent="0.2">
      <c r="A1025" s="5">
        <v>964</v>
      </c>
      <c r="B1025" s="138">
        <f>'Expenditures 15-22'!H55</f>
        <v>1919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1919</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750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750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651</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651</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37260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349884</v>
      </c>
      <c r="C1047" s="2" t="s">
        <v>573</v>
      </c>
      <c r="D1047" s="2" t="str">
        <f t="shared" si="15"/>
        <v>Error?</v>
      </c>
    </row>
    <row r="1048" spans="1:4" x14ac:dyDescent="0.2">
      <c r="A1048" s="5">
        <v>987</v>
      </c>
      <c r="B1048" s="138">
        <f>'Expenditures 15-22'!H105</f>
        <v>32178</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32178</v>
      </c>
      <c r="C1053" s="2" t="s">
        <v>573</v>
      </c>
      <c r="D1053" s="2" t="str">
        <f t="shared" si="15"/>
        <v>Error?</v>
      </c>
    </row>
    <row r="1054" spans="1:4" x14ac:dyDescent="0.2">
      <c r="A1054" s="5">
        <v>993</v>
      </c>
      <c r="B1054" s="138">
        <f>'Expenditures 15-22'!H114</f>
        <v>420822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6837739</v>
      </c>
      <c r="C1093" s="2" t="s">
        <v>573</v>
      </c>
      <c r="D1093" s="2" t="str">
        <f t="shared" si="16"/>
        <v>Error?</v>
      </c>
    </row>
    <row r="1094" spans="1:4" x14ac:dyDescent="0.2">
      <c r="A1094" s="5">
        <v>1033</v>
      </c>
      <c r="B1094" s="138">
        <f>'Expenditures 15-22'!K16</f>
        <v>52279</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15937</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554613</v>
      </c>
      <c r="C1104" s="2" t="s">
        <v>573</v>
      </c>
      <c r="D1104" s="2" t="str">
        <f t="shared" si="16"/>
        <v>Error?</v>
      </c>
    </row>
    <row r="1105" spans="1:4" x14ac:dyDescent="0.2">
      <c r="A1105" s="5">
        <v>1044</v>
      </c>
      <c r="B1105" s="138">
        <f>'Expenditures 15-22'!K13</f>
        <v>273689</v>
      </c>
      <c r="C1105" s="2" t="s">
        <v>573</v>
      </c>
      <c r="D1105" s="2" t="str">
        <f t="shared" si="16"/>
        <v>Error?</v>
      </c>
    </row>
    <row r="1106" spans="1:4" x14ac:dyDescent="0.2">
      <c r="A1106" s="5">
        <v>1045</v>
      </c>
      <c r="B1106" s="138">
        <f>'Expenditures 15-22'!K14</f>
        <v>376489</v>
      </c>
      <c r="C1106" s="2" t="s">
        <v>573</v>
      </c>
      <c r="D1106" s="2" t="str">
        <f t="shared" si="16"/>
        <v>Error?</v>
      </c>
    </row>
    <row r="1107" spans="1:4" x14ac:dyDescent="0.2">
      <c r="A1107" s="5">
        <v>1046</v>
      </c>
      <c r="B1107" s="138">
        <f>'Expenditures 15-22'!K15</f>
        <v>5739</v>
      </c>
      <c r="C1107" s="2" t="s">
        <v>573</v>
      </c>
      <c r="D1107" s="2" t="str">
        <f t="shared" si="16"/>
        <v>Error?</v>
      </c>
    </row>
    <row r="1108" spans="1:4" x14ac:dyDescent="0.2">
      <c r="A1108" s="5">
        <v>1047</v>
      </c>
      <c r="B1108" s="138">
        <f>'Expenditures 15-22'!K33</f>
        <v>11949742</v>
      </c>
      <c r="C1108" s="2" t="s">
        <v>573</v>
      </c>
      <c r="D1108" s="2" t="str">
        <f t="shared" si="16"/>
        <v>Error?</v>
      </c>
    </row>
    <row r="1109" spans="1:4" x14ac:dyDescent="0.2">
      <c r="A1109" s="5">
        <v>1048</v>
      </c>
      <c r="B1109" s="138">
        <f>'Expenditures 15-22'!K36</f>
        <v>273635</v>
      </c>
      <c r="C1109" s="2" t="s">
        <v>573</v>
      </c>
      <c r="D1109" s="2" t="str">
        <f t="shared" si="16"/>
        <v>Error?</v>
      </c>
    </row>
    <row r="1110" spans="1:4" x14ac:dyDescent="0.2">
      <c r="A1110" s="5">
        <v>1049</v>
      </c>
      <c r="B1110" s="138">
        <f>'Expenditures 15-22'!K37</f>
        <v>438389</v>
      </c>
      <c r="C1110" s="2" t="s">
        <v>573</v>
      </c>
      <c r="D1110" s="2" t="str">
        <f t="shared" si="16"/>
        <v>Error?</v>
      </c>
    </row>
    <row r="1111" spans="1:4" x14ac:dyDescent="0.2">
      <c r="A1111" s="5">
        <v>1050</v>
      </c>
      <c r="B1111" s="138">
        <f>'Expenditures 15-22'!K38</f>
        <v>171536</v>
      </c>
      <c r="C1111" s="2" t="s">
        <v>573</v>
      </c>
      <c r="D1111" s="2" t="str">
        <f t="shared" si="16"/>
        <v>Error?</v>
      </c>
    </row>
    <row r="1112" spans="1:4" x14ac:dyDescent="0.2">
      <c r="A1112" s="5">
        <v>1051</v>
      </c>
      <c r="B1112" s="138">
        <f>'Expenditures 15-22'!K39</f>
        <v>161259</v>
      </c>
      <c r="C1112" s="2" t="s">
        <v>573</v>
      </c>
      <c r="D1112" s="2" t="str">
        <f t="shared" si="16"/>
        <v>Error?</v>
      </c>
    </row>
    <row r="1113" spans="1:4" x14ac:dyDescent="0.2">
      <c r="A1113" s="5">
        <v>1052</v>
      </c>
      <c r="B1113" s="138">
        <f>'Expenditures 15-22'!K40</f>
        <v>291260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1336079</v>
      </c>
      <c r="C1115" s="2" t="s">
        <v>573</v>
      </c>
      <c r="D1115" s="2" t="str">
        <f t="shared" si="16"/>
        <v>Error?</v>
      </c>
    </row>
    <row r="1116" spans="1:4" x14ac:dyDescent="0.2">
      <c r="A1116" s="5">
        <v>1055</v>
      </c>
      <c r="B1116" s="138">
        <f>'Expenditures 15-22'!K44</f>
        <v>1208548</v>
      </c>
      <c r="C1116" s="2" t="s">
        <v>573</v>
      </c>
      <c r="D1116" s="2" t="str">
        <f t="shared" si="16"/>
        <v>Error?</v>
      </c>
    </row>
    <row r="1117" spans="1:4" x14ac:dyDescent="0.2">
      <c r="A1117" s="5">
        <v>1056</v>
      </c>
      <c r="B1117" s="138">
        <f>'Expenditures 15-22'!K45</f>
        <v>2007</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1210555</v>
      </c>
      <c r="C1119" s="2" t="s">
        <v>573</v>
      </c>
      <c r="D1119" s="2" t="str">
        <f t="shared" si="16"/>
        <v>Error?</v>
      </c>
    </row>
    <row r="1120" spans="1:4" x14ac:dyDescent="0.2">
      <c r="A1120" s="5">
        <v>1059</v>
      </c>
      <c r="B1120" s="138">
        <f>'Expenditures 15-22'!K49</f>
        <v>365427</v>
      </c>
      <c r="C1120" s="2" t="s">
        <v>573</v>
      </c>
      <c r="D1120" s="2" t="str">
        <f t="shared" si="16"/>
        <v>Error?</v>
      </c>
    </row>
    <row r="1121" spans="1:4" x14ac:dyDescent="0.2">
      <c r="A1121" s="5">
        <v>1060</v>
      </c>
      <c r="B1121" s="138">
        <f>'Expenditures 15-22'!K50</f>
        <v>557732</v>
      </c>
      <c r="C1121" s="2" t="s">
        <v>573</v>
      </c>
      <c r="D1121" s="2" t="str">
        <f t="shared" si="16"/>
        <v>Error?</v>
      </c>
    </row>
    <row r="1122" spans="1:4" x14ac:dyDescent="0.2">
      <c r="A1122" s="5">
        <v>1061</v>
      </c>
      <c r="B1122" s="138">
        <f>'Expenditures 15-22'!K53</f>
        <v>965604</v>
      </c>
      <c r="C1122" s="2" t="s">
        <v>573</v>
      </c>
      <c r="D1122" s="2" t="str">
        <f t="shared" si="16"/>
        <v>Error?</v>
      </c>
    </row>
    <row r="1123" spans="1:4" x14ac:dyDescent="0.2">
      <c r="A1123" s="5">
        <v>1062</v>
      </c>
      <c r="B1123" s="138">
        <f>'Expenditures 15-22'!K55</f>
        <v>1482909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1482909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129019</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875646</v>
      </c>
      <c r="C1130" s="2" t="s">
        <v>573</v>
      </c>
      <c r="D1130" s="2" t="str">
        <f t="shared" si="16"/>
        <v>Error?</v>
      </c>
    </row>
    <row r="1131" spans="1:4" x14ac:dyDescent="0.2">
      <c r="A1131" s="5">
        <v>1070</v>
      </c>
      <c r="B1131" s="138">
        <f>'Expenditures 15-22'!K64</f>
        <v>1060</v>
      </c>
      <c r="C1131" s="2" t="s">
        <v>573</v>
      </c>
      <c r="D1131" s="2" t="str">
        <f t="shared" si="16"/>
        <v>Error?</v>
      </c>
    </row>
    <row r="1132" spans="1:4" x14ac:dyDescent="0.2">
      <c r="A1132" s="10">
        <v>1071</v>
      </c>
      <c r="D1132" s="2" t="str">
        <f t="shared" si="16"/>
        <v>OK</v>
      </c>
    </row>
    <row r="1133" spans="1:4" x14ac:dyDescent="0.2">
      <c r="A1133" s="5">
        <v>1072</v>
      </c>
      <c r="B1133" s="138">
        <f>'Expenditures 15-22'!K65</f>
        <v>1005725</v>
      </c>
      <c r="C1133" s="2" t="s">
        <v>573</v>
      </c>
      <c r="D1133" s="2" t="str">
        <f t="shared" si="16"/>
        <v>Error?</v>
      </c>
    </row>
    <row r="1134" spans="1:4" x14ac:dyDescent="0.2">
      <c r="A1134" s="5">
        <v>1073</v>
      </c>
      <c r="B1134" s="138">
        <f>'Expenditures 15-22'!K67</f>
        <v>115814</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3695</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119509</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6120381</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1467861</v>
      </c>
      <c r="C1145" s="2" t="s">
        <v>573</v>
      </c>
      <c r="D1145" s="2" t="str">
        <f t="shared" si="16"/>
        <v>Error?</v>
      </c>
    </row>
    <row r="1146" spans="1:4" x14ac:dyDescent="0.2">
      <c r="A1146" s="5">
        <v>1085</v>
      </c>
      <c r="B1146" s="138">
        <f>'Expenditures 15-22'!K105</f>
        <v>32178</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32178</v>
      </c>
      <c r="C1151" s="2" t="s">
        <v>573</v>
      </c>
      <c r="D1151" s="2" t="str">
        <f t="shared" ref="D1151:D1214" si="17">IF(ISBLANK(B1151),"OK",IF(A1151-B1151=0,"OK","Error?"))</f>
        <v>Error?</v>
      </c>
    </row>
    <row r="1152" spans="1:4" x14ac:dyDescent="0.2">
      <c r="A1152" s="5">
        <v>1091</v>
      </c>
      <c r="B1152" s="138">
        <f>'Expenditures 15-22'!K114</f>
        <v>19570162</v>
      </c>
      <c r="C1152" s="2" t="s">
        <v>573</v>
      </c>
      <c r="D1152" s="2" t="str">
        <f t="shared" si="17"/>
        <v>Error?</v>
      </c>
    </row>
    <row r="1153" spans="1:4" x14ac:dyDescent="0.2">
      <c r="A1153" s="5">
        <v>1092</v>
      </c>
      <c r="B1153" s="138">
        <f>'Expenditures 15-22'!K115</f>
        <v>1394292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762521</v>
      </c>
      <c r="D1221" s="2" t="str">
        <f t="shared" si="18"/>
        <v>Error?</v>
      </c>
    </row>
    <row r="1222" spans="1:4" x14ac:dyDescent="0.2">
      <c r="A1222" s="10">
        <v>1161</v>
      </c>
      <c r="D1222" s="2" t="str">
        <f t="shared" si="18"/>
        <v>OK</v>
      </c>
    </row>
    <row r="1223" spans="1:4" x14ac:dyDescent="0.2">
      <c r="A1223" s="5">
        <v>1162</v>
      </c>
      <c r="B1223" s="138">
        <f>'Expenditures 15-22'!C127</f>
        <v>762521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762521</v>
      </c>
      <c r="C1225" s="2" t="s">
        <v>573</v>
      </c>
      <c r="D1225" s="2" t="str">
        <f t="shared" si="18"/>
        <v>Error?</v>
      </c>
    </row>
    <row r="1226" spans="1:4" x14ac:dyDescent="0.2">
      <c r="A1226" s="5">
        <v>1165</v>
      </c>
      <c r="B1226" s="138">
        <f>'Expenditures 15-22'!C151</f>
        <v>762521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168833</v>
      </c>
      <c r="D1229" s="2" t="str">
        <f t="shared" si="18"/>
        <v>Error?</v>
      </c>
    </row>
    <row r="1230" spans="1:4" x14ac:dyDescent="0.2">
      <c r="A1230" s="10">
        <v>1169</v>
      </c>
      <c r="D1230" s="2" t="str">
        <f t="shared" si="18"/>
        <v>OK</v>
      </c>
    </row>
    <row r="1231" spans="1:4" x14ac:dyDescent="0.2">
      <c r="A1231" s="5">
        <v>1170</v>
      </c>
      <c r="B1231" s="138">
        <f>'Expenditures 15-22'!D127</f>
        <v>168833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168833</v>
      </c>
      <c r="C1233" s="2" t="s">
        <v>573</v>
      </c>
      <c r="D1233" s="2" t="str">
        <f t="shared" si="18"/>
        <v>Error?</v>
      </c>
    </row>
    <row r="1234" spans="1:4" x14ac:dyDescent="0.2">
      <c r="A1234" s="5">
        <v>1173</v>
      </c>
      <c r="B1234" s="138">
        <f>'Expenditures 15-22'!D151</f>
        <v>168833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252761</v>
      </c>
      <c r="D1237" s="2" t="str">
        <f t="shared" si="18"/>
        <v>Error?</v>
      </c>
    </row>
    <row r="1238" spans="1:4" x14ac:dyDescent="0.2">
      <c r="A1238" s="10">
        <v>1177</v>
      </c>
      <c r="D1238" s="2" t="str">
        <f t="shared" si="18"/>
        <v>OK</v>
      </c>
    </row>
    <row r="1239" spans="1:4" x14ac:dyDescent="0.2">
      <c r="A1239" s="5">
        <v>1178</v>
      </c>
      <c r="B1239" s="138">
        <f>'Expenditures 15-22'!E127</f>
        <v>252761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252761</v>
      </c>
      <c r="C1241" s="2" t="s">
        <v>573</v>
      </c>
      <c r="D1241" s="2" t="str">
        <f t="shared" si="18"/>
        <v>Error?</v>
      </c>
    </row>
    <row r="1242" spans="1:4" x14ac:dyDescent="0.2">
      <c r="A1242" s="5">
        <v>1181</v>
      </c>
      <c r="B1242" s="138">
        <f>'Expenditures 15-22'!E151</f>
        <v>252761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749685</v>
      </c>
      <c r="D1245" s="2" t="str">
        <f t="shared" si="18"/>
        <v>Error?</v>
      </c>
    </row>
    <row r="1246" spans="1:4" x14ac:dyDescent="0.2">
      <c r="A1246" s="10">
        <v>1185</v>
      </c>
      <c r="D1246" s="2" t="str">
        <f t="shared" si="18"/>
        <v>OK</v>
      </c>
    </row>
    <row r="1247" spans="1:4" x14ac:dyDescent="0.2">
      <c r="A1247" s="5">
        <v>1186</v>
      </c>
      <c r="B1247" s="138">
        <f>'Expenditures 15-22'!F127</f>
        <v>749685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749685</v>
      </c>
      <c r="C1249" s="2" t="s">
        <v>573</v>
      </c>
      <c r="D1249" s="2" t="str">
        <f t="shared" si="18"/>
        <v>Error?</v>
      </c>
    </row>
    <row r="1250" spans="1:4" x14ac:dyDescent="0.2">
      <c r="A1250" s="5">
        <v>1189</v>
      </c>
      <c r="B1250" s="138">
        <f>'Expenditures 15-22'!F151</f>
        <v>749685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21760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21760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21760</v>
      </c>
      <c r="C1258" s="2" t="s">
        <v>573</v>
      </c>
      <c r="D1258" s="2" t="str">
        <f t="shared" si="18"/>
        <v>Error?</v>
      </c>
    </row>
    <row r="1259" spans="1:4" x14ac:dyDescent="0.2">
      <c r="A1259" s="5">
        <v>1198</v>
      </c>
      <c r="B1259" s="138">
        <f>'Expenditures 15-22'!G151</f>
        <v>21760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6218</v>
      </c>
      <c r="D1262" s="2" t="str">
        <f t="shared" si="18"/>
        <v>Error?</v>
      </c>
    </row>
    <row r="1263" spans="1:4" x14ac:dyDescent="0.2">
      <c r="A1263" s="10">
        <v>1202</v>
      </c>
      <c r="D1263" s="2" t="str">
        <f t="shared" si="18"/>
        <v>OK</v>
      </c>
    </row>
    <row r="1264" spans="1:4" x14ac:dyDescent="0.2">
      <c r="A1264" s="5">
        <v>1203</v>
      </c>
      <c r="B1264" s="138">
        <f>'Expenditures 15-22'!H127</f>
        <v>6218</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6218</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6218</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1961778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1961778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1961778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1961778</v>
      </c>
      <c r="C1288" s="2" t="s">
        <v>573</v>
      </c>
      <c r="D1288" s="2" t="str">
        <f t="shared" si="19"/>
        <v>Error?</v>
      </c>
    </row>
    <row r="1289" spans="1:4" x14ac:dyDescent="0.2">
      <c r="A1289" s="5">
        <v>1228</v>
      </c>
      <c r="B1289" s="138">
        <f>'Expenditures 15-22'!K152</f>
        <v>239438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2188156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2188156</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2188156</v>
      </c>
      <c r="C1353" s="2" t="s">
        <v>573</v>
      </c>
      <c r="D1353" s="2" t="str">
        <f t="shared" si="20"/>
        <v>Error?</v>
      </c>
    </row>
    <row r="1354" spans="1:4" x14ac:dyDescent="0.2">
      <c r="A1354" s="5">
        <v>1293</v>
      </c>
      <c r="B1354" s="138">
        <f>'Expenditures 15-22'!F182</f>
        <v>178216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178216</v>
      </c>
      <c r="C1358" s="2" t="s">
        <v>573</v>
      </c>
      <c r="D1358" s="2" t="str">
        <f t="shared" si="20"/>
        <v>Error?</v>
      </c>
    </row>
    <row r="1359" spans="1:4" x14ac:dyDescent="0.2">
      <c r="A1359" s="5">
        <v>1298</v>
      </c>
      <c r="B1359" s="138">
        <f>'Expenditures 15-22'!F210</f>
        <v>178216</v>
      </c>
      <c r="C1359" s="2" t="s">
        <v>573</v>
      </c>
      <c r="D1359" s="2" t="str">
        <f t="shared" si="20"/>
        <v>Error?</v>
      </c>
    </row>
    <row r="1360" spans="1:4" x14ac:dyDescent="0.2">
      <c r="A1360" s="5">
        <v>1299</v>
      </c>
      <c r="B1360" s="138">
        <f>'Expenditures 15-22'!G182</f>
        <v>3850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3850</v>
      </c>
      <c r="C1364" s="2" t="s">
        <v>573</v>
      </c>
      <c r="D1364" s="2" t="str">
        <f t="shared" si="20"/>
        <v>Error?</v>
      </c>
    </row>
    <row r="1365" spans="1:4" x14ac:dyDescent="0.2">
      <c r="A1365" s="5">
        <v>1304</v>
      </c>
      <c r="B1365" s="138">
        <f>'Expenditures 15-22'!G210</f>
        <v>3850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2370222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2370222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2370222</v>
      </c>
      <c r="C1388" s="2" t="s">
        <v>573</v>
      </c>
      <c r="D1388" s="2" t="str">
        <f t="shared" si="20"/>
        <v>Error?</v>
      </c>
    </row>
    <row r="1389" spans="1:4" x14ac:dyDescent="0.2">
      <c r="A1389" s="5">
        <v>1328</v>
      </c>
      <c r="B1389" s="138">
        <f>'Expenditures 15-22'!K211</f>
        <v>973096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514</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1093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2696</v>
      </c>
      <c r="D1407" s="2" t="str">
        <f t="shared" ref="D1407:D1470" si="21">IF(ISBLANK(B1407),"OK",IF(A1407-B1407=0,"OK","Error?"))</f>
        <v>Error?</v>
      </c>
    </row>
    <row r="1408" spans="1:4" x14ac:dyDescent="0.2">
      <c r="A1408" s="5">
        <v>1347</v>
      </c>
      <c r="B1408" s="138">
        <f>'Expenditures 15-22'!D223</f>
        <v>9947</v>
      </c>
      <c r="D1408" s="2" t="str">
        <f t="shared" si="21"/>
        <v>Error?</v>
      </c>
    </row>
    <row r="1409" spans="1:4" x14ac:dyDescent="0.2">
      <c r="A1409" s="5">
        <v>1348</v>
      </c>
      <c r="B1409" s="138">
        <f>'Expenditures 15-22'!D224</f>
        <v>267</v>
      </c>
      <c r="D1409" s="2" t="str">
        <f t="shared" si="21"/>
        <v>Error?</v>
      </c>
    </row>
    <row r="1410" spans="1:4" x14ac:dyDescent="0.2">
      <c r="A1410" s="5">
        <v>1349</v>
      </c>
      <c r="B1410" s="138">
        <f>'Expenditures 15-22'!D229</f>
        <v>235132</v>
      </c>
      <c r="C1410" s="2" t="s">
        <v>573</v>
      </c>
      <c r="D1410" s="2" t="str">
        <f t="shared" si="21"/>
        <v>Error?</v>
      </c>
    </row>
    <row r="1411" spans="1:4" x14ac:dyDescent="0.2">
      <c r="A1411" s="5">
        <v>1350</v>
      </c>
      <c r="B1411" s="138">
        <f>'Expenditures 15-22'!D232</f>
        <v>2847</v>
      </c>
      <c r="D1411" s="2" t="str">
        <f t="shared" si="21"/>
        <v>Error?</v>
      </c>
    </row>
    <row r="1412" spans="1:4" x14ac:dyDescent="0.2">
      <c r="A1412" s="5">
        <v>1351</v>
      </c>
      <c r="B1412" s="138">
        <f>'Expenditures 15-22'!D233</f>
        <v>5051</v>
      </c>
      <c r="D1412" s="2" t="str">
        <f t="shared" si="21"/>
        <v>Error?</v>
      </c>
    </row>
    <row r="1413" spans="1:4" x14ac:dyDescent="0.2">
      <c r="A1413" s="5">
        <v>1352</v>
      </c>
      <c r="B1413" s="138">
        <f>'Expenditures 15-22'!D234</f>
        <v>19352</v>
      </c>
      <c r="D1413" s="2" t="str">
        <f t="shared" si="21"/>
        <v>Error?</v>
      </c>
    </row>
    <row r="1414" spans="1:4" x14ac:dyDescent="0.2">
      <c r="A1414" s="5">
        <v>1353</v>
      </c>
      <c r="B1414" s="138">
        <f>'Expenditures 15-22'!D235</f>
        <v>1155</v>
      </c>
      <c r="D1414" s="2" t="str">
        <f t="shared" si="21"/>
        <v>Error?</v>
      </c>
    </row>
    <row r="1415" spans="1:4" x14ac:dyDescent="0.2">
      <c r="A1415" s="5">
        <v>1354</v>
      </c>
      <c r="B1415" s="138">
        <f>'Expenditures 15-22'!D236</f>
        <v>3372</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31777</v>
      </c>
      <c r="C1417" s="2" t="s">
        <v>573</v>
      </c>
      <c r="D1417" s="2" t="str">
        <f t="shared" si="21"/>
        <v>Error?</v>
      </c>
    </row>
    <row r="1418" spans="1:4" x14ac:dyDescent="0.2">
      <c r="A1418" s="5">
        <v>1357</v>
      </c>
      <c r="B1418" s="138">
        <f>'Expenditures 15-22'!D240</f>
        <v>19971</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19971</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26768</v>
      </c>
      <c r="D1423" s="2" t="str">
        <f t="shared" si="21"/>
        <v>Error?</v>
      </c>
    </row>
    <row r="1424" spans="1:4" x14ac:dyDescent="0.2">
      <c r="A1424" s="5">
        <v>1363</v>
      </c>
      <c r="B1424" s="138">
        <f>'Expenditures 15-22'!D257</f>
        <v>27233</v>
      </c>
      <c r="C1424" s="2" t="s">
        <v>573</v>
      </c>
      <c r="D1424" s="2" t="str">
        <f t="shared" si="21"/>
        <v>Error?</v>
      </c>
    </row>
    <row r="1425" spans="1:4" x14ac:dyDescent="0.2">
      <c r="A1425" s="5">
        <v>1364</v>
      </c>
      <c r="B1425" s="138">
        <f>'Expenditures 15-22'!D259</f>
        <v>66351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66351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13066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113743</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126809</v>
      </c>
      <c r="C1436" s="2" t="s">
        <v>573</v>
      </c>
      <c r="D1436" s="2" t="str">
        <f t="shared" si="21"/>
        <v>Error?</v>
      </c>
    </row>
    <row r="1437" spans="1:4" x14ac:dyDescent="0.2">
      <c r="A1437" s="5">
        <v>1376</v>
      </c>
      <c r="B1437" s="138">
        <f>'Expenditures 15-22'!D272</f>
        <v>1263</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137</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1400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273541</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508673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514</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1093</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2696</v>
      </c>
      <c r="C1471" s="2" t="s">
        <v>573</v>
      </c>
      <c r="D1471" s="2" t="str">
        <f t="shared" ref="D1471:D1534" si="22">IF(ISBLANK(B1471),"OK",IF(A1471-B1471=0,"OK","Error?"))</f>
        <v>Error?</v>
      </c>
    </row>
    <row r="1472" spans="1:4" x14ac:dyDescent="0.2">
      <c r="A1472" s="5">
        <v>1411</v>
      </c>
      <c r="B1472" s="138">
        <f>'Expenditures 15-22'!K223</f>
        <v>9947</v>
      </c>
      <c r="C1472" s="2" t="s">
        <v>573</v>
      </c>
      <c r="D1472" s="2" t="str">
        <f t="shared" si="22"/>
        <v>Error?</v>
      </c>
    </row>
    <row r="1473" spans="1:4" x14ac:dyDescent="0.2">
      <c r="A1473" s="5">
        <v>1412</v>
      </c>
      <c r="B1473" s="138">
        <f>'Expenditures 15-22'!K224</f>
        <v>267</v>
      </c>
      <c r="C1473" s="2" t="s">
        <v>573</v>
      </c>
      <c r="D1473" s="2" t="str">
        <f t="shared" si="22"/>
        <v>Error?</v>
      </c>
    </row>
    <row r="1474" spans="1:4" x14ac:dyDescent="0.2">
      <c r="A1474" s="5">
        <v>1413</v>
      </c>
      <c r="B1474" s="138">
        <f>'Expenditures 15-22'!K229</f>
        <v>235132</v>
      </c>
      <c r="C1474" s="2" t="s">
        <v>573</v>
      </c>
      <c r="D1474" s="2" t="str">
        <f t="shared" si="22"/>
        <v>Error?</v>
      </c>
    </row>
    <row r="1475" spans="1:4" x14ac:dyDescent="0.2">
      <c r="A1475" s="5">
        <v>1414</v>
      </c>
      <c r="B1475" s="138">
        <f>'Expenditures 15-22'!K232</f>
        <v>2847</v>
      </c>
      <c r="C1475" s="2" t="s">
        <v>573</v>
      </c>
      <c r="D1475" s="2" t="str">
        <f t="shared" si="22"/>
        <v>Error?</v>
      </c>
    </row>
    <row r="1476" spans="1:4" x14ac:dyDescent="0.2">
      <c r="A1476" s="5">
        <v>1415</v>
      </c>
      <c r="B1476" s="138">
        <f>'Expenditures 15-22'!K233</f>
        <v>5051</v>
      </c>
      <c r="C1476" s="2" t="s">
        <v>573</v>
      </c>
      <c r="D1476" s="2" t="str">
        <f t="shared" si="22"/>
        <v>Error?</v>
      </c>
    </row>
    <row r="1477" spans="1:4" x14ac:dyDescent="0.2">
      <c r="A1477" s="5">
        <v>1416</v>
      </c>
      <c r="B1477" s="138">
        <f>'Expenditures 15-22'!K234</f>
        <v>19352</v>
      </c>
      <c r="C1477" s="2" t="s">
        <v>573</v>
      </c>
      <c r="D1477" s="2" t="str">
        <f t="shared" si="22"/>
        <v>Error?</v>
      </c>
    </row>
    <row r="1478" spans="1:4" x14ac:dyDescent="0.2">
      <c r="A1478" s="5">
        <v>1417</v>
      </c>
      <c r="B1478" s="138">
        <f>'Expenditures 15-22'!K235</f>
        <v>1155</v>
      </c>
      <c r="C1478" s="2" t="s">
        <v>573</v>
      </c>
      <c r="D1478" s="2" t="str">
        <f t="shared" si="22"/>
        <v>Error?</v>
      </c>
    </row>
    <row r="1479" spans="1:4" x14ac:dyDescent="0.2">
      <c r="A1479" s="5">
        <v>1418</v>
      </c>
      <c r="B1479" s="138">
        <f>'Expenditures 15-22'!K236</f>
        <v>3372</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31777</v>
      </c>
      <c r="C1481" s="2" t="s">
        <v>573</v>
      </c>
      <c r="D1481" s="2" t="str">
        <f t="shared" si="22"/>
        <v>Error?</v>
      </c>
    </row>
    <row r="1482" spans="1:4" x14ac:dyDescent="0.2">
      <c r="A1482" s="5">
        <v>1421</v>
      </c>
      <c r="B1482" s="138">
        <f>'Expenditures 15-22'!K240</f>
        <v>19971</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19971</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26768</v>
      </c>
      <c r="C1487" s="2" t="s">
        <v>573</v>
      </c>
      <c r="D1487" s="2" t="str">
        <f t="shared" si="22"/>
        <v>Error?</v>
      </c>
    </row>
    <row r="1488" spans="1:4" x14ac:dyDescent="0.2">
      <c r="A1488" s="5">
        <v>1427</v>
      </c>
      <c r="B1488" s="138">
        <f>'Expenditures 15-22'!K257</f>
        <v>27233</v>
      </c>
      <c r="C1488" s="2" t="s">
        <v>573</v>
      </c>
      <c r="D1488" s="2" t="str">
        <f t="shared" si="22"/>
        <v>Error?</v>
      </c>
    </row>
    <row r="1489" spans="1:4" x14ac:dyDescent="0.2">
      <c r="A1489" s="5">
        <v>1428</v>
      </c>
      <c r="B1489" s="138">
        <f>'Expenditures 15-22'!K259</f>
        <v>66351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66351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13066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113743</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126809</v>
      </c>
      <c r="C1500" s="2" t="s">
        <v>573</v>
      </c>
      <c r="D1500" s="2" t="str">
        <f t="shared" si="22"/>
        <v>Error?</v>
      </c>
    </row>
    <row r="1501" spans="1:4" x14ac:dyDescent="0.2">
      <c r="A1501" s="5">
        <v>1440</v>
      </c>
      <c r="B1501" s="138">
        <f>'Expenditures 15-22'!K272</f>
        <v>1263</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137</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1400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273541</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508673</v>
      </c>
      <c r="C1517" s="2" t="s">
        <v>573</v>
      </c>
      <c r="D1517" s="2" t="str">
        <f t="shared" si="22"/>
        <v>Error?</v>
      </c>
    </row>
    <row r="1518" spans="1:4" x14ac:dyDescent="0.2">
      <c r="A1518" s="5">
        <v>1457</v>
      </c>
      <c r="B1518" s="138">
        <f>'Expenditures 15-22'!K296</f>
        <v>268156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1299780</v>
      </c>
      <c r="D1534" s="2" t="str">
        <f t="shared" si="22"/>
        <v>Error?</v>
      </c>
    </row>
    <row r="1535" spans="1:4" x14ac:dyDescent="0.2">
      <c r="A1535" s="5">
        <v>1474</v>
      </c>
      <c r="B1535" s="138">
        <f>'Expenditures 15-22'!E303</f>
        <v>1299780</v>
      </c>
      <c r="C1535" s="2" t="s">
        <v>573</v>
      </c>
      <c r="D1535" s="2" t="str">
        <f t="shared" ref="D1535:D1598" si="23">IF(ISBLANK(B1535),"OK",IF(A1535-B1535=0,"OK","Error?"))</f>
        <v>Error?</v>
      </c>
    </row>
    <row r="1536" spans="1:4" x14ac:dyDescent="0.2">
      <c r="A1536" s="5">
        <v>1475</v>
      </c>
      <c r="B1536" s="138">
        <f>'Expenditures 15-22'!E312</f>
        <v>1299780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204333</v>
      </c>
      <c r="D1540" s="2" t="str">
        <f t="shared" si="23"/>
        <v>Error?</v>
      </c>
    </row>
    <row r="1541" spans="1:4" x14ac:dyDescent="0.2">
      <c r="A1541" s="5">
        <v>1480</v>
      </c>
      <c r="B1541" s="138">
        <f>'Expenditures 15-22'!F303</f>
        <v>204333</v>
      </c>
      <c r="C1541" s="2" t="s">
        <v>573</v>
      </c>
      <c r="D1541" s="2" t="str">
        <f t="shared" si="23"/>
        <v>Error?</v>
      </c>
    </row>
    <row r="1542" spans="1:4" x14ac:dyDescent="0.2">
      <c r="A1542" s="5">
        <v>1481</v>
      </c>
      <c r="B1542" s="138">
        <f>'Expenditures 15-22'!F312</f>
        <v>204333</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361065</v>
      </c>
      <c r="D1546" s="2" t="str">
        <f t="shared" si="23"/>
        <v>Error?</v>
      </c>
    </row>
    <row r="1547" spans="1:4" x14ac:dyDescent="0.2">
      <c r="A1547" s="5">
        <v>1486</v>
      </c>
      <c r="B1547" s="138">
        <f>'Expenditures 15-22'!G303</f>
        <v>361065</v>
      </c>
      <c r="C1547" s="2" t="s">
        <v>573</v>
      </c>
      <c r="D1547" s="2" t="str">
        <f t="shared" si="23"/>
        <v>Error?</v>
      </c>
    </row>
    <row r="1548" spans="1:4" x14ac:dyDescent="0.2">
      <c r="A1548" s="5">
        <v>1487</v>
      </c>
      <c r="B1548" s="138">
        <f>'Expenditures 15-22'!G312</f>
        <v>361065</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1865178</v>
      </c>
      <c r="C1558" s="2" t="s">
        <v>573</v>
      </c>
      <c r="D1558" s="2" t="str">
        <f t="shared" si="23"/>
        <v>Error?</v>
      </c>
    </row>
    <row r="1559" spans="1:4" x14ac:dyDescent="0.2">
      <c r="A1559" s="5">
        <v>1498</v>
      </c>
      <c r="B1559" s="138">
        <f>'Expenditures 15-22'!K303</f>
        <v>1865178</v>
      </c>
      <c r="C1559" s="2" t="s">
        <v>573</v>
      </c>
      <c r="D1559" s="2" t="str">
        <f t="shared" si="23"/>
        <v>Error?</v>
      </c>
    </row>
    <row r="1560" spans="1:4" x14ac:dyDescent="0.2">
      <c r="A1560" s="5">
        <v>1499</v>
      </c>
      <c r="B1560" s="138">
        <f>'Expenditures 15-22'!K312</f>
        <v>1865178</v>
      </c>
      <c r="C1560" s="2" t="s">
        <v>573</v>
      </c>
      <c r="D1560" s="2" t="str">
        <f t="shared" si="23"/>
        <v>Error?</v>
      </c>
    </row>
    <row r="1561" spans="1:4" x14ac:dyDescent="0.2">
      <c r="A1561" s="5">
        <v>1500</v>
      </c>
      <c r="B1561" s="138">
        <f>'Expenditures 15-22'!K313</f>
        <v>343250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8149541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9543833</v>
      </c>
      <c r="C1630" s="2" t="s">
        <v>573</v>
      </c>
      <c r="D1630" s="2" t="str">
        <f t="shared" si="24"/>
        <v>Error?</v>
      </c>
    </row>
    <row r="1631" spans="1:4" x14ac:dyDescent="0.2">
      <c r="A1631" s="5">
        <v>1570</v>
      </c>
      <c r="B1631" s="138">
        <f>'Acct Summary 7-8'!D79</f>
        <v>771986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1011951</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-705194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267902</v>
      </c>
      <c r="C1672" s="2" t="s">
        <v>573</v>
      </c>
      <c r="D1672" s="2" t="str">
        <f t="shared" si="25"/>
        <v>Error?</v>
      </c>
    </row>
    <row r="1673" spans="1:4" x14ac:dyDescent="0.2">
      <c r="A1673" s="5">
        <v>1612</v>
      </c>
      <c r="B1673" s="138">
        <f>'Acct Summary 7-8'!G79</f>
        <v>797816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1065972</v>
      </c>
      <c r="C1686" s="2" t="s">
        <v>573</v>
      </c>
      <c r="D1686" s="2" t="str">
        <f t="shared" si="25"/>
        <v>Error?</v>
      </c>
    </row>
    <row r="1687" spans="1:4" x14ac:dyDescent="0.2">
      <c r="A1687" s="5">
        <v>1626</v>
      </c>
      <c r="B1687" s="138">
        <f>'Acct Summary 7-8'!H79</f>
        <v>1051207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1394457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9268421</v>
      </c>
      <c r="C1744" s="2" t="s">
        <v>573</v>
      </c>
      <c r="D1744" s="2" t="str">
        <f t="shared" si="26"/>
        <v>Error?</v>
      </c>
    </row>
    <row r="1745" spans="1:5" x14ac:dyDescent="0.2">
      <c r="A1745" s="5">
        <v>1684</v>
      </c>
      <c r="B1745" s="138">
        <f>'Tax Sched 23'!B5</f>
        <v>1838494</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1243829</v>
      </c>
      <c r="C1747" s="2" t="s">
        <v>573</v>
      </c>
      <c r="D1747" s="2" t="str">
        <f t="shared" si="26"/>
        <v>Error?</v>
      </c>
    </row>
    <row r="1748" spans="1:5" x14ac:dyDescent="0.2">
      <c r="A1748" s="5">
        <v>1687</v>
      </c>
      <c r="B1748" s="138">
        <f>'Tax Sched 23'!B8</f>
        <v>328177</v>
      </c>
      <c r="C1748" s="2" t="s">
        <v>573</v>
      </c>
      <c r="D1748" s="2" t="str">
        <f t="shared" si="26"/>
        <v>Error?</v>
      </c>
    </row>
    <row r="1749" spans="1:5" x14ac:dyDescent="0.2">
      <c r="A1749" s="5">
        <v>1688</v>
      </c>
      <c r="B1749" s="138">
        <f>'Tax Sched 23'!B10</f>
        <v>153353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10111</v>
      </c>
      <c r="C1752" s="2" t="s">
        <v>573</v>
      </c>
      <c r="D1752" s="2" t="str">
        <f t="shared" si="26"/>
        <v>Error?</v>
      </c>
    </row>
    <row r="1753" spans="1:5" x14ac:dyDescent="0.2">
      <c r="A1753" s="5">
        <v>1692</v>
      </c>
      <c r="B1753" s="138">
        <f>'Tax Sched 23'!B12</f>
        <v>149804</v>
      </c>
      <c r="C1753" s="2" t="s">
        <v>573</v>
      </c>
      <c r="D1753" s="2" t="str">
        <f t="shared" si="26"/>
        <v>Error?</v>
      </c>
    </row>
    <row r="1754" spans="1:5" x14ac:dyDescent="0.2">
      <c r="A1754" s="5">
        <v>1693</v>
      </c>
      <c r="B1754" s="138">
        <f>'Tax Sched 23'!B14</f>
        <v>136603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13578681</v>
      </c>
      <c r="C1759" s="2" t="s">
        <v>573</v>
      </c>
      <c r="D1759" s="2" t="str">
        <f t="shared" si="26"/>
        <v>Error?</v>
      </c>
    </row>
    <row r="1760" spans="1:5" x14ac:dyDescent="0.2">
      <c r="A1760" s="5">
        <v>1699</v>
      </c>
      <c r="B1760" s="138">
        <f>'Tax Sched 23'!D4</f>
        <v>2975734</v>
      </c>
      <c r="C1760" s="2" t="s">
        <v>573</v>
      </c>
      <c r="D1760" s="2" t="str">
        <f t="shared" si="26"/>
        <v>Error?</v>
      </c>
    </row>
    <row r="1761" spans="1:5" x14ac:dyDescent="0.2">
      <c r="A1761" s="5">
        <v>1700</v>
      </c>
      <c r="B1761" s="138">
        <f>'Tax Sched 23'!D5</f>
        <v>587832</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397849</v>
      </c>
      <c r="C1763" s="2" t="s">
        <v>573</v>
      </c>
      <c r="D1763" s="2" t="str">
        <f t="shared" si="26"/>
        <v>Error?</v>
      </c>
    </row>
    <row r="1764" spans="1:5" x14ac:dyDescent="0.2">
      <c r="A1764" s="5">
        <v>1703</v>
      </c>
      <c r="B1764" s="138">
        <f>'Tax Sched 23'!D8</f>
        <v>65788</v>
      </c>
      <c r="C1764" s="2" t="s">
        <v>573</v>
      </c>
      <c r="D1764" s="2" t="str">
        <f t="shared" si="26"/>
        <v>Error?</v>
      </c>
    </row>
    <row r="1765" spans="1:5" x14ac:dyDescent="0.2">
      <c r="A1765" s="5">
        <v>1704</v>
      </c>
      <c r="B1765" s="138">
        <f>'Tax Sched 23'!D10</f>
        <v>49394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3231</v>
      </c>
      <c r="C1768" s="2" t="s">
        <v>573</v>
      </c>
      <c r="D1768" s="2" t="str">
        <f t="shared" si="26"/>
        <v>Error?</v>
      </c>
    </row>
    <row r="1769" spans="1:5" x14ac:dyDescent="0.2">
      <c r="A1769" s="5">
        <v>1708</v>
      </c>
      <c r="B1769" s="138">
        <f>'Tax Sched 23'!D12</f>
        <v>48249</v>
      </c>
      <c r="C1769" s="2" t="s">
        <v>573</v>
      </c>
      <c r="D1769" s="2" t="str">
        <f t="shared" si="26"/>
        <v>Error?</v>
      </c>
    </row>
    <row r="1770" spans="1:5" x14ac:dyDescent="0.2">
      <c r="A1770" s="5">
        <v>1709</v>
      </c>
      <c r="B1770" s="138">
        <f>'Tax Sched 23'!D14</f>
        <v>43142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4314860</v>
      </c>
      <c r="C1775" s="2" t="s">
        <v>573</v>
      </c>
      <c r="D1775" s="2" t="str">
        <f t="shared" si="26"/>
        <v>Error?</v>
      </c>
    </row>
    <row r="1776" spans="1:5" x14ac:dyDescent="0.2">
      <c r="A1776" s="5">
        <v>1715</v>
      </c>
      <c r="B1776" s="138">
        <f>'Tax Sched 23'!C4</f>
        <v>6292687</v>
      </c>
      <c r="D1776" s="2" t="str">
        <f t="shared" si="26"/>
        <v>Error?</v>
      </c>
    </row>
    <row r="1777" spans="1:4" x14ac:dyDescent="0.2">
      <c r="A1777" s="5">
        <v>1716</v>
      </c>
      <c r="B1777" s="138">
        <f>'Tax Sched 23'!C5</f>
        <v>1250662</v>
      </c>
      <c r="D1777" s="2" t="str">
        <f t="shared" si="26"/>
        <v>Error?</v>
      </c>
    </row>
    <row r="1778" spans="1:4" x14ac:dyDescent="0.2">
      <c r="A1778" s="5">
        <v>1717</v>
      </c>
      <c r="B1778" s="138">
        <f>'Tax Sched 23'!C6</f>
        <v>0</v>
      </c>
      <c r="D1778" s="2" t="str">
        <f t="shared" si="26"/>
        <v>Error?</v>
      </c>
    </row>
    <row r="1779" spans="1:4" x14ac:dyDescent="0.2">
      <c r="A1779" s="5">
        <v>1718</v>
      </c>
      <c r="B1779" s="138">
        <f>'Tax Sched 23'!C7</f>
        <v>845980</v>
      </c>
      <c r="D1779" s="2" t="str">
        <f t="shared" si="26"/>
        <v>Error?</v>
      </c>
    </row>
    <row r="1780" spans="1:4" x14ac:dyDescent="0.2">
      <c r="A1780" s="5">
        <v>1719</v>
      </c>
      <c r="B1780" s="138">
        <f>'Tax Sched 23'!C8</f>
        <v>262389</v>
      </c>
      <c r="D1780" s="2" t="str">
        <f t="shared" si="26"/>
        <v>Error?</v>
      </c>
    </row>
    <row r="1781" spans="1:4" x14ac:dyDescent="0.2">
      <c r="A1781" s="5">
        <v>1720</v>
      </c>
      <c r="B1781" s="138">
        <f>'Tax Sched 23'!C10</f>
        <v>103959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6880</v>
      </c>
      <c r="D1784" s="2" t="str">
        <f t="shared" si="26"/>
        <v>Error?</v>
      </c>
    </row>
    <row r="1785" spans="1:4" x14ac:dyDescent="0.2">
      <c r="A1785" s="5">
        <v>1724</v>
      </c>
      <c r="B1785" s="138">
        <f>'Tax Sched 23'!C12</f>
        <v>101555</v>
      </c>
      <c r="D1785" s="2" t="str">
        <f t="shared" si="26"/>
        <v>Error?</v>
      </c>
    </row>
    <row r="1786" spans="1:4" x14ac:dyDescent="0.2">
      <c r="A1786" s="5">
        <v>1725</v>
      </c>
      <c r="B1786" s="138">
        <f>'Tax Sched 23'!C14</f>
        <v>93461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9263821</v>
      </c>
      <c r="C1791" s="2" t="s">
        <v>573</v>
      </c>
      <c r="D1791" s="2" t="str">
        <f t="shared" ref="D1791:D1854" si="27">IF(ISBLANK(B1791),"OK",IF(A1791-B1791=0,"OK","Error?"))</f>
        <v>Error?</v>
      </c>
    </row>
    <row r="1792" spans="1:4" x14ac:dyDescent="0.2">
      <c r="A1792" s="5">
        <v>1731</v>
      </c>
      <c r="B1792" s="138">
        <f>'Tax Sched 23'!F4</f>
        <v>3207313</v>
      </c>
      <c r="C1792" s="2" t="s">
        <v>573</v>
      </c>
      <c r="D1792" s="2" t="str">
        <f t="shared" si="27"/>
        <v>Error?</v>
      </c>
    </row>
    <row r="1793" spans="1:4" x14ac:dyDescent="0.2">
      <c r="A1793" s="5">
        <v>1732</v>
      </c>
      <c r="B1793" s="138">
        <f>'Tax Sched 23'!F5</f>
        <v>658338</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444020</v>
      </c>
      <c r="C1795" s="2" t="s">
        <v>573</v>
      </c>
      <c r="D1795" s="2" t="str">
        <f t="shared" si="27"/>
        <v>Error?</v>
      </c>
    </row>
    <row r="1796" spans="1:4" x14ac:dyDescent="0.2">
      <c r="A1796" s="5">
        <v>1735</v>
      </c>
      <c r="B1796" s="138">
        <f>'Tax Sched 23'!F8</f>
        <v>80111</v>
      </c>
      <c r="C1796" s="2" t="s">
        <v>573</v>
      </c>
      <c r="D1796" s="2" t="str">
        <f t="shared" si="27"/>
        <v>Error?</v>
      </c>
    </row>
    <row r="1797" spans="1:4" x14ac:dyDescent="0.2">
      <c r="A1797" s="5">
        <v>1736</v>
      </c>
      <c r="B1797" s="138">
        <f>'Tax Sched 23'!F10</f>
        <v>51604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3620</v>
      </c>
      <c r="C1800" s="2" t="s">
        <v>573</v>
      </c>
      <c r="D1800" s="2" t="str">
        <f t="shared" si="27"/>
        <v>Error?</v>
      </c>
    </row>
    <row r="1801" spans="1:4" x14ac:dyDescent="0.2">
      <c r="A1801" s="5">
        <v>1740</v>
      </c>
      <c r="B1801" s="138">
        <f>'Tax Sched 23'!F12</f>
        <v>50406</v>
      </c>
      <c r="C1801" s="2" t="s">
        <v>573</v>
      </c>
      <c r="D1801" s="2" t="str">
        <f t="shared" si="27"/>
        <v>Error?</v>
      </c>
    </row>
    <row r="1802" spans="1:4" x14ac:dyDescent="0.2">
      <c r="A1802" s="5">
        <v>1741</v>
      </c>
      <c r="B1802" s="138">
        <f>'Tax Sched 23'!F14</f>
        <v>51789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4712075</v>
      </c>
      <c r="C1807" s="2" t="s">
        <v>573</v>
      </c>
      <c r="D1807" s="2" t="str">
        <f t="shared" si="27"/>
        <v>Error?</v>
      </c>
    </row>
    <row r="1808" spans="1:4" x14ac:dyDescent="0.2">
      <c r="A1808" s="5">
        <v>1747</v>
      </c>
      <c r="B1808" s="138">
        <f>'Tax Sched 23'!E4</f>
        <v>9500000</v>
      </c>
      <c r="D1808" s="2" t="str">
        <f t="shared" si="27"/>
        <v>Error?</v>
      </c>
    </row>
    <row r="1809" spans="1:4" x14ac:dyDescent="0.2">
      <c r="A1809" s="5">
        <v>1748</v>
      </c>
      <c r="B1809" s="138">
        <f>'Tax Sched 23'!E5</f>
        <v>1909000</v>
      </c>
      <c r="D1809" s="2" t="str">
        <f t="shared" si="27"/>
        <v>Error?</v>
      </c>
    </row>
    <row r="1810" spans="1:4" x14ac:dyDescent="0.2">
      <c r="A1810" s="5">
        <v>1749</v>
      </c>
      <c r="B1810" s="138">
        <f>'Tax Sched 23'!E6</f>
        <v>0</v>
      </c>
      <c r="D1810" s="2" t="str">
        <f t="shared" si="27"/>
        <v>Error?</v>
      </c>
    </row>
    <row r="1811" spans="1:4" x14ac:dyDescent="0.2">
      <c r="A1811" s="5">
        <v>1750</v>
      </c>
      <c r="B1811" s="138">
        <f>'Tax Sched 23'!E7</f>
        <v>1290000</v>
      </c>
      <c r="D1811" s="2" t="str">
        <f t="shared" si="27"/>
        <v>Error?</v>
      </c>
    </row>
    <row r="1812" spans="1:4" x14ac:dyDescent="0.2">
      <c r="A1812" s="5">
        <v>1751</v>
      </c>
      <c r="B1812" s="138">
        <f>'Tax Sched 23'!E8</f>
        <v>342500</v>
      </c>
      <c r="D1812" s="2" t="str">
        <f t="shared" si="27"/>
        <v>Error?</v>
      </c>
    </row>
    <row r="1813" spans="1:4" x14ac:dyDescent="0.2">
      <c r="A1813" s="5">
        <v>1752</v>
      </c>
      <c r="B1813" s="138">
        <f>'Tax Sched 23'!E10</f>
        <v>155563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10500</v>
      </c>
      <c r="D1816" s="2" t="str">
        <f t="shared" si="27"/>
        <v>Error?</v>
      </c>
    </row>
    <row r="1817" spans="1:4" x14ac:dyDescent="0.2">
      <c r="A1817" s="5">
        <v>1756</v>
      </c>
      <c r="B1817" s="138">
        <f>'Tax Sched 23'!E12</f>
        <v>151961</v>
      </c>
      <c r="D1817" s="2" t="str">
        <f t="shared" si="27"/>
        <v>Error?</v>
      </c>
    </row>
    <row r="1818" spans="1:4" x14ac:dyDescent="0.2">
      <c r="A1818" s="5">
        <v>1757</v>
      </c>
      <c r="B1818" s="138">
        <f>'Tax Sched 23'!E14</f>
        <v>145250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13975896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2250000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2250000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2250000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2250000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136603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136603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136603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966869</v>
      </c>
      <c r="D2008" s="2" t="str">
        <f t="shared" si="30"/>
        <v>Error?</v>
      </c>
    </row>
    <row r="2009" spans="1:4" x14ac:dyDescent="0.2">
      <c r="A2009" s="5">
        <v>1948</v>
      </c>
      <c r="B2009" s="138">
        <f>'Cap Outlay Deprec 26'!C8</f>
        <v>39076362</v>
      </c>
      <c r="D2009" s="2" t="str">
        <f t="shared" si="30"/>
        <v>Error?</v>
      </c>
    </row>
    <row r="2010" spans="1:4" x14ac:dyDescent="0.2">
      <c r="A2010" s="5">
        <v>1949</v>
      </c>
      <c r="B2010" s="138">
        <f>'Cap Outlay Deprec 26'!C10</f>
        <v>6039844</v>
      </c>
      <c r="D2010" s="2" t="str">
        <f t="shared" si="30"/>
        <v>Error?</v>
      </c>
    </row>
    <row r="2011" spans="1:4" x14ac:dyDescent="0.2">
      <c r="A2011" s="5">
        <v>1950</v>
      </c>
      <c r="B2011" s="138">
        <f>'Cap Outlay Deprec 26'!C12</f>
        <v>4042385</v>
      </c>
      <c r="D2011" s="2" t="str">
        <f t="shared" si="30"/>
        <v>Error?</v>
      </c>
    </row>
    <row r="2012" spans="1:4" x14ac:dyDescent="0.2">
      <c r="A2012" s="5">
        <v>1951</v>
      </c>
      <c r="B2012" s="138">
        <f>'Cap Outlay Deprec 26'!C13</f>
        <v>185598</v>
      </c>
      <c r="D2012" s="2" t="str">
        <f t="shared" si="30"/>
        <v>Error?</v>
      </c>
    </row>
    <row r="2013" spans="1:4" x14ac:dyDescent="0.2">
      <c r="A2013" s="5">
        <v>1952</v>
      </c>
      <c r="B2013" s="138">
        <f>'Cap Outlay Deprec 26'!C16</f>
        <v>50362970</v>
      </c>
      <c r="C2013" s="2" t="s">
        <v>573</v>
      </c>
      <c r="D2013" s="2" t="str">
        <f t="shared" si="30"/>
        <v>Error?</v>
      </c>
    </row>
    <row r="2014" spans="1:4" x14ac:dyDescent="0.2">
      <c r="A2014" s="5">
        <v>1953</v>
      </c>
      <c r="B2014" s="138">
        <f>'Cap Outlay Deprec 26'!D5</f>
        <v>132300</v>
      </c>
      <c r="D2014" s="2" t="str">
        <f t="shared" si="30"/>
        <v>Error?</v>
      </c>
    </row>
    <row r="2015" spans="1:4" x14ac:dyDescent="0.2">
      <c r="A2015" s="5">
        <v>1954</v>
      </c>
      <c r="B2015" s="138">
        <f>'Cap Outlay Deprec 26'!D8</f>
        <v>555201</v>
      </c>
      <c r="D2015" s="2" t="str">
        <f t="shared" si="30"/>
        <v>Error?</v>
      </c>
    </row>
    <row r="2016" spans="1:4" x14ac:dyDescent="0.2">
      <c r="A2016" s="5">
        <v>1955</v>
      </c>
      <c r="B2016" s="138">
        <f>'Cap Outlay Deprec 26'!D10</f>
        <v>121044</v>
      </c>
      <c r="D2016" s="2" t="str">
        <f t="shared" si="30"/>
        <v>Error?</v>
      </c>
    </row>
    <row r="2017" spans="1:4" x14ac:dyDescent="0.2">
      <c r="A2017" s="5">
        <v>1956</v>
      </c>
      <c r="B2017" s="138">
        <f>'Cap Outlay Deprec 26'!D12</f>
        <v>448706</v>
      </c>
      <c r="D2017" s="2" t="str">
        <f t="shared" si="30"/>
        <v>Error?</v>
      </c>
    </row>
    <row r="2018" spans="1:4" x14ac:dyDescent="0.2">
      <c r="A2018" s="5">
        <v>1957</v>
      </c>
      <c r="B2018" s="138">
        <f>'Cap Outlay Deprec 26'!D13</f>
        <v>6802</v>
      </c>
      <c r="D2018" s="2" t="str">
        <f t="shared" si="30"/>
        <v>Error?</v>
      </c>
    </row>
    <row r="2019" spans="1:4" x14ac:dyDescent="0.2">
      <c r="A2019" s="5">
        <v>1958</v>
      </c>
      <c r="B2019" s="138">
        <f>'Cap Outlay Deprec 26'!D16</f>
        <v>1908478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496336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503426</v>
      </c>
      <c r="C2025" s="2" t="s">
        <v>573</v>
      </c>
      <c r="D2025" s="2" t="str">
        <f t="shared" si="30"/>
        <v>Error?</v>
      </c>
    </row>
    <row r="2026" spans="1:4" x14ac:dyDescent="0.2">
      <c r="A2026" s="5">
        <v>1965</v>
      </c>
      <c r="B2026" s="138">
        <f>'Cap Outlay Deprec 26'!F5</f>
        <v>1099169</v>
      </c>
      <c r="C2026" s="2" t="s">
        <v>573</v>
      </c>
      <c r="D2026" s="2" t="str">
        <f t="shared" si="30"/>
        <v>Error?</v>
      </c>
    </row>
    <row r="2027" spans="1:4" x14ac:dyDescent="0.2">
      <c r="A2027" s="5">
        <v>1966</v>
      </c>
      <c r="B2027" s="138">
        <f>'Cap Outlay Deprec 26'!F8</f>
        <v>39631563</v>
      </c>
      <c r="C2027" s="2" t="s">
        <v>573</v>
      </c>
      <c r="D2027" s="2" t="str">
        <f t="shared" si="30"/>
        <v>Error?</v>
      </c>
    </row>
    <row r="2028" spans="1:4" x14ac:dyDescent="0.2">
      <c r="A2028" s="5">
        <v>1967</v>
      </c>
      <c r="B2028" s="138">
        <f>'Cap Outlay Deprec 26'!F10</f>
        <v>6160888</v>
      </c>
      <c r="C2028" s="2" t="s">
        <v>573</v>
      </c>
      <c r="D2028" s="2" t="str">
        <f t="shared" si="30"/>
        <v>Error?</v>
      </c>
    </row>
    <row r="2029" spans="1:4" x14ac:dyDescent="0.2">
      <c r="A2029" s="5">
        <v>1968</v>
      </c>
      <c r="B2029" s="138">
        <f>'Cap Outlay Deprec 26'!F12</f>
        <v>3994755</v>
      </c>
      <c r="C2029" s="2" t="s">
        <v>573</v>
      </c>
      <c r="D2029" s="2" t="str">
        <f t="shared" si="30"/>
        <v>Error?</v>
      </c>
    </row>
    <row r="2030" spans="1:4" x14ac:dyDescent="0.2">
      <c r="A2030" s="5">
        <v>1969</v>
      </c>
      <c r="B2030" s="138">
        <f>'Cap Outlay Deprec 26'!F13</f>
        <v>192400</v>
      </c>
      <c r="C2030" s="2" t="s">
        <v>573</v>
      </c>
      <c r="D2030" s="2" t="str">
        <f t="shared" si="30"/>
        <v>Error?</v>
      </c>
    </row>
    <row r="2031" spans="1:4" x14ac:dyDescent="0.2">
      <c r="A2031" s="5">
        <v>1970</v>
      </c>
      <c r="B2031" s="138">
        <f>'Cap Outlay Deprec 26'!F16</f>
        <v>51768022</v>
      </c>
      <c r="C2031" s="2" t="s">
        <v>573</v>
      </c>
      <c r="D2031" s="2" t="str">
        <f t="shared" si="30"/>
        <v>Error?</v>
      </c>
    </row>
    <row r="2032" spans="1:4" x14ac:dyDescent="0.2">
      <c r="A2032" s="10">
        <v>1971</v>
      </c>
      <c r="D2032" s="2" t="str">
        <f t="shared" si="30"/>
        <v>OK</v>
      </c>
    </row>
    <row r="2033" spans="1:4" x14ac:dyDescent="0.2">
      <c r="A2033" s="5">
        <v>1972</v>
      </c>
      <c r="B2033" s="138">
        <f>'Cap Outlay Deprec 26'!H8</f>
        <v>19340225</v>
      </c>
      <c r="D2033" s="2" t="str">
        <f t="shared" si="30"/>
        <v>Error?</v>
      </c>
    </row>
    <row r="2034" spans="1:4" x14ac:dyDescent="0.2">
      <c r="A2034" s="5">
        <v>1973</v>
      </c>
      <c r="B2034" s="138">
        <f>'Cap Outlay Deprec 26'!H10</f>
        <v>4572616</v>
      </c>
      <c r="D2034" s="2" t="str">
        <f t="shared" si="30"/>
        <v>Error?</v>
      </c>
    </row>
    <row r="2035" spans="1:4" x14ac:dyDescent="0.2">
      <c r="A2035" s="5">
        <v>1974</v>
      </c>
      <c r="B2035" s="138">
        <f>'Cap Outlay Deprec 26'!H12</f>
        <v>2071208</v>
      </c>
      <c r="D2035" s="2" t="str">
        <f t="shared" si="30"/>
        <v>Error?</v>
      </c>
    </row>
    <row r="2036" spans="1:4" x14ac:dyDescent="0.2">
      <c r="A2036" s="5">
        <v>1975</v>
      </c>
      <c r="B2036" s="138">
        <f>'Cap Outlay Deprec 26'!H13</f>
        <v>160225</v>
      </c>
      <c r="D2036" s="2" t="str">
        <f t="shared" si="30"/>
        <v>Error?</v>
      </c>
    </row>
    <row r="2037" spans="1:4" x14ac:dyDescent="0.2">
      <c r="A2037" s="5">
        <v>1976</v>
      </c>
      <c r="B2037" s="138">
        <f>'Cap Outlay Deprec 26'!H16</f>
        <v>26145379</v>
      </c>
      <c r="C2037" s="2" t="s">
        <v>573</v>
      </c>
      <c r="D2037" s="2" t="str">
        <f t="shared" si="30"/>
        <v>Error?</v>
      </c>
    </row>
    <row r="2038" spans="1:4" x14ac:dyDescent="0.2">
      <c r="A2038" s="10">
        <v>1977</v>
      </c>
      <c r="D2038" s="2" t="str">
        <f t="shared" si="30"/>
        <v>OK</v>
      </c>
    </row>
    <row r="2039" spans="1:4" x14ac:dyDescent="0.2">
      <c r="A2039" s="5">
        <v>1978</v>
      </c>
      <c r="B2039" s="138">
        <f>'Cap Outlay Deprec 26'!I8</f>
        <v>675694</v>
      </c>
      <c r="D2039" s="2" t="str">
        <f t="shared" si="30"/>
        <v>Error?</v>
      </c>
    </row>
    <row r="2040" spans="1:4" x14ac:dyDescent="0.2">
      <c r="A2040" s="5">
        <v>1979</v>
      </c>
      <c r="B2040" s="138">
        <f>'Cap Outlay Deprec 26'!I10</f>
        <v>273135</v>
      </c>
      <c r="D2040" s="2" t="str">
        <f t="shared" si="30"/>
        <v>Error?</v>
      </c>
    </row>
    <row r="2041" spans="1:4" x14ac:dyDescent="0.2">
      <c r="A2041" s="5">
        <v>1980</v>
      </c>
      <c r="B2041" s="138">
        <f>'Cap Outlay Deprec 26'!I12</f>
        <v>369293</v>
      </c>
      <c r="D2041" s="2" t="str">
        <f t="shared" si="30"/>
        <v>Error?</v>
      </c>
    </row>
    <row r="2042" spans="1:4" x14ac:dyDescent="0.2">
      <c r="A2042" s="5">
        <v>1981</v>
      </c>
      <c r="B2042" s="138">
        <f>'Cap Outlay Deprec 26'!I13</f>
        <v>10203</v>
      </c>
      <c r="D2042" s="2" t="str">
        <f t="shared" si="30"/>
        <v>Error?</v>
      </c>
    </row>
    <row r="2043" spans="1:4" x14ac:dyDescent="0.2">
      <c r="A2043" s="5">
        <v>1982</v>
      </c>
      <c r="B2043" s="138">
        <f>'Cap Outlay Deprec 26'!I16</f>
        <v>1330680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470404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470404</v>
      </c>
      <c r="C2049" s="2" t="s">
        <v>573</v>
      </c>
      <c r="D2049" s="2" t="str">
        <f t="shared" si="31"/>
        <v>Error?</v>
      </c>
    </row>
    <row r="2050" spans="1:4" x14ac:dyDescent="0.2">
      <c r="A2050" s="10">
        <v>1989</v>
      </c>
      <c r="D2050" s="2" t="str">
        <f t="shared" si="31"/>
        <v>OK</v>
      </c>
    </row>
    <row r="2051" spans="1:4" x14ac:dyDescent="0.2">
      <c r="A2051" s="5">
        <v>1990</v>
      </c>
      <c r="B2051" s="138">
        <f>'Cap Outlay Deprec 26'!K8</f>
        <v>20015919</v>
      </c>
      <c r="C2051" s="2" t="s">
        <v>573</v>
      </c>
      <c r="D2051" s="2" t="str">
        <f t="shared" si="31"/>
        <v>Error?</v>
      </c>
    </row>
    <row r="2052" spans="1:4" x14ac:dyDescent="0.2">
      <c r="A2052" s="5">
        <v>1991</v>
      </c>
      <c r="B2052" s="138">
        <f>'Cap Outlay Deprec 26'!K10</f>
        <v>4845751</v>
      </c>
      <c r="C2052" s="2" t="s">
        <v>573</v>
      </c>
      <c r="D2052" s="2" t="str">
        <f t="shared" si="31"/>
        <v>Error?</v>
      </c>
    </row>
    <row r="2053" spans="1:4" x14ac:dyDescent="0.2">
      <c r="A2053" s="5">
        <v>1992</v>
      </c>
      <c r="B2053" s="138">
        <f>'Cap Outlay Deprec 26'!K12</f>
        <v>1970097</v>
      </c>
      <c r="C2053" s="2" t="s">
        <v>573</v>
      </c>
      <c r="D2053" s="2" t="str">
        <f t="shared" si="31"/>
        <v>Error?</v>
      </c>
    </row>
    <row r="2054" spans="1:4" x14ac:dyDescent="0.2">
      <c r="A2054" s="5">
        <v>1993</v>
      </c>
      <c r="B2054" s="138">
        <f>'Cap Outlay Deprec 26'!K13</f>
        <v>170428</v>
      </c>
      <c r="C2054" s="2" t="s">
        <v>573</v>
      </c>
      <c r="D2054" s="2" t="str">
        <f t="shared" si="31"/>
        <v>Error?</v>
      </c>
    </row>
    <row r="2055" spans="1:4" x14ac:dyDescent="0.2">
      <c r="A2055" s="5">
        <v>1994</v>
      </c>
      <c r="B2055" s="138">
        <f>'Cap Outlay Deprec 26'!K16</f>
        <v>27005655</v>
      </c>
      <c r="C2055" s="2" t="s">
        <v>573</v>
      </c>
      <c r="D2055" s="2" t="str">
        <f t="shared" si="31"/>
        <v>Error?</v>
      </c>
    </row>
    <row r="2056" spans="1:4" x14ac:dyDescent="0.2">
      <c r="A2056" s="5">
        <v>1995</v>
      </c>
      <c r="B2056" s="138">
        <f>'Cap Outlay Deprec 26'!L5</f>
        <v>1099169</v>
      </c>
      <c r="C2056" s="2" t="s">
        <v>573</v>
      </c>
      <c r="D2056" s="2" t="str">
        <f t="shared" si="31"/>
        <v>Error?</v>
      </c>
    </row>
    <row r="2057" spans="1:4" x14ac:dyDescent="0.2">
      <c r="A2057" s="5">
        <v>1996</v>
      </c>
      <c r="B2057" s="138">
        <f>'Cap Outlay Deprec 26'!L8</f>
        <v>19615644</v>
      </c>
      <c r="C2057" s="2" t="s">
        <v>573</v>
      </c>
      <c r="D2057" s="2" t="str">
        <f t="shared" si="31"/>
        <v>Error?</v>
      </c>
    </row>
    <row r="2058" spans="1:4" x14ac:dyDescent="0.2">
      <c r="A2058" s="5">
        <v>1997</v>
      </c>
      <c r="B2058" s="138">
        <f>'Cap Outlay Deprec 26'!L10</f>
        <v>1315137</v>
      </c>
      <c r="C2058" s="2" t="s">
        <v>573</v>
      </c>
      <c r="D2058" s="2" t="str">
        <f t="shared" si="31"/>
        <v>Error?</v>
      </c>
    </row>
    <row r="2059" spans="1:4" x14ac:dyDescent="0.2">
      <c r="A2059" s="5">
        <v>1998</v>
      </c>
      <c r="B2059" s="138">
        <f>'Cap Outlay Deprec 26'!L12</f>
        <v>2024658</v>
      </c>
      <c r="C2059" s="2" t="s">
        <v>573</v>
      </c>
      <c r="D2059" s="2" t="str">
        <f t="shared" si="31"/>
        <v>Error?</v>
      </c>
    </row>
    <row r="2060" spans="1:4" x14ac:dyDescent="0.2">
      <c r="A2060" s="5">
        <v>1999</v>
      </c>
      <c r="B2060" s="138">
        <f>'Cap Outlay Deprec 26'!L13</f>
        <v>21972</v>
      </c>
      <c r="C2060" s="2" t="s">
        <v>573</v>
      </c>
      <c r="D2060" s="2" t="str">
        <f t="shared" si="31"/>
        <v>Error?</v>
      </c>
    </row>
    <row r="2061" spans="1:4" x14ac:dyDescent="0.2">
      <c r="A2061" s="5">
        <v>2000</v>
      </c>
      <c r="B2061" s="138">
        <f>'Cap Outlay Deprec 26'!L16</f>
        <v>24762367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12278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1130255</v>
      </c>
      <c r="C2088" s="2" t="s">
        <v>573</v>
      </c>
      <c r="D2088" s="2" t="str">
        <f t="shared" si="31"/>
        <v>Error?</v>
      </c>
    </row>
    <row r="2089" spans="1:4" x14ac:dyDescent="0.2">
      <c r="A2089" s="5">
        <v>2028</v>
      </c>
      <c r="B2089" s="138">
        <f>'Expenditures 15-22'!K92</f>
        <v>337606</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268156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11828305</v>
      </c>
      <c r="C2551" s="2" t="s">
        <v>573</v>
      </c>
      <c r="D2551" s="2" t="str">
        <f t="shared" si="38"/>
        <v>Error?</v>
      </c>
    </row>
    <row r="2552" spans="1:4" x14ac:dyDescent="0.2">
      <c r="A2552" s="10">
        <v>2491</v>
      </c>
      <c r="D2552" s="2" t="str">
        <f t="shared" si="38"/>
        <v>OK</v>
      </c>
    </row>
    <row r="2553" spans="1:4" x14ac:dyDescent="0.2">
      <c r="A2553" s="5">
        <v>2492</v>
      </c>
      <c r="B2553" s="138">
        <f>'Acct Summary 7-8'!C6</f>
        <v>7269590</v>
      </c>
      <c r="C2553" s="2" t="s">
        <v>573</v>
      </c>
      <c r="D2553" s="2" t="str">
        <f t="shared" si="38"/>
        <v>Error?</v>
      </c>
    </row>
    <row r="2554" spans="1:4" x14ac:dyDescent="0.2">
      <c r="A2554" s="5">
        <v>2493</v>
      </c>
      <c r="B2554" s="138">
        <f>'Acct Summary 7-8'!C7</f>
        <v>1639559</v>
      </c>
      <c r="C2554" s="2" t="s">
        <v>573</v>
      </c>
      <c r="D2554" s="2" t="str">
        <f t="shared" si="38"/>
        <v>Error?</v>
      </c>
    </row>
    <row r="2555" spans="1:4" x14ac:dyDescent="0.2">
      <c r="A2555" s="5">
        <v>2494</v>
      </c>
      <c r="B2555" s="138">
        <f>'Acct Summary 7-8'!C8</f>
        <v>20964454</v>
      </c>
      <c r="C2555" s="2" t="s">
        <v>573</v>
      </c>
      <c r="D2555" s="2" t="str">
        <f t="shared" si="38"/>
        <v>Error?</v>
      </c>
    </row>
    <row r="2556" spans="1:4" x14ac:dyDescent="0.2">
      <c r="A2556" s="5">
        <v>2495</v>
      </c>
      <c r="B2556" s="138">
        <f>'Acct Summary 7-8'!C12</f>
        <v>11949742</v>
      </c>
      <c r="C2556" s="2" t="s">
        <v>573</v>
      </c>
      <c r="D2556" s="2" t="str">
        <f t="shared" si="38"/>
        <v>Error?</v>
      </c>
    </row>
    <row r="2557" spans="1:4" x14ac:dyDescent="0.2">
      <c r="A2557" s="5">
        <v>2496</v>
      </c>
      <c r="B2557" s="138">
        <f>'Acct Summary 7-8'!C13</f>
        <v>6120381</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1467861</v>
      </c>
      <c r="C2559" s="2" t="s">
        <v>573</v>
      </c>
      <c r="D2559" s="2" t="str">
        <f t="shared" ref="D2559:D2622" si="39">IF(ISBLANK(B2559),"OK",IF(A2559-B2559=0,"OK","Error?"))</f>
        <v>Error?</v>
      </c>
    </row>
    <row r="2560" spans="1:4" x14ac:dyDescent="0.2">
      <c r="A2560" s="5">
        <v>2499</v>
      </c>
      <c r="B2560" s="138">
        <f>'Acct Summary 7-8'!C16</f>
        <v>32178</v>
      </c>
      <c r="C2560" s="2" t="s">
        <v>573</v>
      </c>
      <c r="D2560" s="2" t="str">
        <f t="shared" si="39"/>
        <v>Error?</v>
      </c>
    </row>
    <row r="2561" spans="1:4" x14ac:dyDescent="0.2">
      <c r="A2561" s="5">
        <v>2500</v>
      </c>
      <c r="B2561" s="138">
        <f>'Acct Summary 7-8'!C17</f>
        <v>19570162</v>
      </c>
      <c r="C2561" s="2" t="s">
        <v>573</v>
      </c>
      <c r="D2561" s="2" t="str">
        <f t="shared" si="39"/>
        <v>Error?</v>
      </c>
    </row>
    <row r="2562" spans="1:4" x14ac:dyDescent="0.2">
      <c r="A2562" s="5">
        <v>2501</v>
      </c>
      <c r="B2562" s="138">
        <f>'Acct Summary 7-8'!C20</f>
        <v>1394292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1901216</v>
      </c>
      <c r="C2564" s="2" t="s">
        <v>573</v>
      </c>
      <c r="D2564" s="2" t="str">
        <f t="shared" si="39"/>
        <v>Error?</v>
      </c>
    </row>
    <row r="2565" spans="1:4" x14ac:dyDescent="0.2">
      <c r="A2565" s="10">
        <v>2504</v>
      </c>
      <c r="D2565" s="2" t="str">
        <f t="shared" si="39"/>
        <v>OK</v>
      </c>
    </row>
    <row r="2566" spans="1:4" x14ac:dyDescent="0.2">
      <c r="A2566" s="5">
        <v>2505</v>
      </c>
      <c r="B2566" s="138">
        <f>'Acct Summary 7-8'!D6</f>
        <v>300000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2201216</v>
      </c>
      <c r="C2568" s="2" t="s">
        <v>573</v>
      </c>
      <c r="D2568" s="2" t="str">
        <f t="shared" si="39"/>
        <v>Error?</v>
      </c>
    </row>
    <row r="2569" spans="1:4" x14ac:dyDescent="0.2">
      <c r="A2569" s="5">
        <v>2508</v>
      </c>
      <c r="B2569" s="138">
        <f>'Acct Summary 7-8'!D13</f>
        <v>1961778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1961778</v>
      </c>
      <c r="C2573" s="2" t="s">
        <v>573</v>
      </c>
      <c r="D2573" s="2" t="str">
        <f t="shared" si="39"/>
        <v>Error?</v>
      </c>
    </row>
    <row r="2574" spans="1:4" x14ac:dyDescent="0.2">
      <c r="A2574" s="5">
        <v>2513</v>
      </c>
      <c r="B2574" s="138">
        <f>'Acct Summary 7-8'!D20</f>
        <v>239438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1285473</v>
      </c>
      <c r="C2591" s="2" t="s">
        <v>573</v>
      </c>
      <c r="D2591" s="2" t="str">
        <f t="shared" si="39"/>
        <v>Error?</v>
      </c>
    </row>
    <row r="2592" spans="1:4" x14ac:dyDescent="0.2">
      <c r="A2592" s="10">
        <v>2531</v>
      </c>
      <c r="D2592" s="2" t="str">
        <f t="shared" si="39"/>
        <v>OK</v>
      </c>
    </row>
    <row r="2593" spans="1:4" x14ac:dyDescent="0.2">
      <c r="A2593" s="5">
        <v>2532</v>
      </c>
      <c r="B2593" s="138">
        <f>'Acct Summary 7-8'!F6</f>
        <v>2057845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3343318</v>
      </c>
      <c r="C2595" s="2" t="s">
        <v>573</v>
      </c>
      <c r="D2595" s="2" t="str">
        <f t="shared" si="39"/>
        <v>Error?</v>
      </c>
    </row>
    <row r="2596" spans="1:4" x14ac:dyDescent="0.2">
      <c r="A2596" s="5">
        <v>2535</v>
      </c>
      <c r="B2596" s="138">
        <f>'Acct Summary 7-8'!F13</f>
        <v>2370222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2370222</v>
      </c>
      <c r="C2600" s="2" t="s">
        <v>573</v>
      </c>
      <c r="D2600" s="2" t="str">
        <f t="shared" si="39"/>
        <v>Error?</v>
      </c>
    </row>
    <row r="2601" spans="1:4" x14ac:dyDescent="0.2">
      <c r="A2601" s="5">
        <v>2540</v>
      </c>
      <c r="B2601" s="138">
        <f>'Acct Summary 7-8'!F20</f>
        <v>973096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776829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776829</v>
      </c>
      <c r="C2606" s="2" t="s">
        <v>573</v>
      </c>
      <c r="D2606" s="2" t="str">
        <f t="shared" si="39"/>
        <v>Error?</v>
      </c>
    </row>
    <row r="2607" spans="1:4" x14ac:dyDescent="0.2">
      <c r="A2607" s="5">
        <v>2546</v>
      </c>
      <c r="B2607" s="138">
        <f>'Acct Summary 7-8'!G12</f>
        <v>235132</v>
      </c>
      <c r="C2607" s="2" t="s">
        <v>573</v>
      </c>
      <c r="D2607" s="2" t="str">
        <f t="shared" si="39"/>
        <v>Error?</v>
      </c>
    </row>
    <row r="2608" spans="1:4" x14ac:dyDescent="0.2">
      <c r="A2608" s="5">
        <v>2547</v>
      </c>
      <c r="B2608" s="138">
        <f>'Acct Summary 7-8'!G13</f>
        <v>273541</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508673</v>
      </c>
      <c r="C2612" s="2" t="s">
        <v>573</v>
      </c>
      <c r="D2612" s="2" t="str">
        <f t="shared" si="39"/>
        <v>Error?</v>
      </c>
    </row>
    <row r="2613" spans="1:4" x14ac:dyDescent="0.2">
      <c r="A2613" s="5">
        <v>2552</v>
      </c>
      <c r="B2613" s="138">
        <f>'Acct Summary 7-8'!G20</f>
        <v>268156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2208428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2208428</v>
      </c>
      <c r="C2658" s="2" t="s">
        <v>573</v>
      </c>
      <c r="D2658" s="2" t="str">
        <f t="shared" si="40"/>
        <v>Error?</v>
      </c>
    </row>
    <row r="2659" spans="1:4" x14ac:dyDescent="0.2">
      <c r="A2659" s="5">
        <v>2598</v>
      </c>
      <c r="B2659" s="138">
        <f>'Acct Summary 7-8'!H13</f>
        <v>1865178</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1865178</v>
      </c>
      <c r="C2661" s="2" t="s">
        <v>573</v>
      </c>
      <c r="D2661" s="2" t="str">
        <f t="shared" si="40"/>
        <v>Error?</v>
      </c>
    </row>
    <row r="2662" spans="1:4" x14ac:dyDescent="0.2">
      <c r="A2662" s="5">
        <v>2601</v>
      </c>
      <c r="B2662" s="138">
        <f>'Acct Summary 7-8'!H20</f>
        <v>343250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34500</v>
      </c>
      <c r="D2718" s="2" t="str">
        <f t="shared" si="41"/>
        <v>Error?</v>
      </c>
    </row>
    <row r="2719" spans="1:4" x14ac:dyDescent="0.2">
      <c r="A2719" s="5">
        <v>2658</v>
      </c>
      <c r="B2719" s="138">
        <f>'Expenditures 15-22'!D51</f>
        <v>7945</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42445</v>
      </c>
      <c r="C2724" s="2" t="s">
        <v>573</v>
      </c>
      <c r="D2724" s="2" t="str">
        <f t="shared" si="41"/>
        <v>Error?</v>
      </c>
    </row>
    <row r="2725" spans="1:4" x14ac:dyDescent="0.2">
      <c r="A2725" s="5">
        <v>2664</v>
      </c>
      <c r="B2725" s="138">
        <f>'Expenditures 15-22'!D247</f>
        <v>465</v>
      </c>
      <c r="D2725" s="2" t="str">
        <f t="shared" si="41"/>
        <v>Error?</v>
      </c>
    </row>
    <row r="2726" spans="1:4" x14ac:dyDescent="0.2">
      <c r="A2726" s="5">
        <v>2665</v>
      </c>
      <c r="B2726" s="138">
        <f>'Expenditures 15-22'!K247</f>
        <v>465</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1117977</v>
      </c>
      <c r="C2789" s="2" t="s">
        <v>573</v>
      </c>
      <c r="D2789" s="2" t="str">
        <f t="shared" si="42"/>
        <v>Error?</v>
      </c>
    </row>
    <row r="2790" spans="1:4" x14ac:dyDescent="0.2">
      <c r="A2790" s="5">
        <v>2729</v>
      </c>
      <c r="B2790" s="138">
        <f>'Expenditures 15-22'!E102</f>
        <v>1117977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931354</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1325113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2666791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213590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2666791</v>
      </c>
      <c r="D2912" s="2" t="str">
        <f t="shared" si="44"/>
        <v>Error?</v>
      </c>
    </row>
    <row r="2913" spans="1:4" x14ac:dyDescent="0.2">
      <c r="A2913" s="5">
        <v>2852</v>
      </c>
      <c r="B2913" s="138">
        <f>'Assets-Liab 5-6'!I41</f>
        <v>2666791</v>
      </c>
      <c r="C2913" s="2" t="s">
        <v>573</v>
      </c>
      <c r="D2913" s="2" t="str">
        <f t="shared" si="44"/>
        <v>Error?</v>
      </c>
    </row>
    <row r="2914" spans="1:4" x14ac:dyDescent="0.2">
      <c r="A2914" s="5">
        <v>2853</v>
      </c>
      <c r="B2914" s="138">
        <f>'Assets-Liab 5-6'!L33</f>
        <v>213590</v>
      </c>
      <c r="D2914" s="2" t="str">
        <f t="shared" si="44"/>
        <v>Error?</v>
      </c>
    </row>
    <row r="2915" spans="1:4" x14ac:dyDescent="0.2">
      <c r="A2915" s="10">
        <v>2854</v>
      </c>
      <c r="D2915" s="2" t="str">
        <f t="shared" si="44"/>
        <v>OK</v>
      </c>
    </row>
    <row r="2916" spans="1:4" x14ac:dyDescent="0.2">
      <c r="A2916" s="5">
        <v>2855</v>
      </c>
      <c r="B2916" s="138">
        <f>'Assets-Liab 5-6'!L34</f>
        <v>213590</v>
      </c>
      <c r="C2916" s="2" t="s">
        <v>573</v>
      </c>
      <c r="D2916" s="2" t="str">
        <f t="shared" si="44"/>
        <v>Error?</v>
      </c>
    </row>
    <row r="2917" spans="1:4" x14ac:dyDescent="0.2">
      <c r="A2917" s="5">
        <v>2856</v>
      </c>
      <c r="B2917" s="138">
        <f>'Assets-Liab 5-6'!L41</f>
        <v>213590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1117977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12278</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1117977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12278</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497609</v>
      </c>
      <c r="D3055" s="2" t="str">
        <f t="shared" si="46"/>
        <v>Error?</v>
      </c>
    </row>
    <row r="3056" spans="1:4" x14ac:dyDescent="0.2">
      <c r="A3056" s="5">
        <v>2995</v>
      </c>
      <c r="B3056" s="138">
        <f>'Expenditures 15-22'!D10</f>
        <v>172644</v>
      </c>
      <c r="D3056" s="2" t="str">
        <f t="shared" si="46"/>
        <v>Error?</v>
      </c>
    </row>
    <row r="3057" spans="1:4" x14ac:dyDescent="0.2">
      <c r="A3057" s="5">
        <v>2996</v>
      </c>
      <c r="B3057" s="138">
        <f>'Expenditures 15-22'!E10</f>
        <v>24940</v>
      </c>
      <c r="D3057" s="2" t="str">
        <f t="shared" si="46"/>
        <v>Error?</v>
      </c>
    </row>
    <row r="3058" spans="1:4" x14ac:dyDescent="0.2">
      <c r="A3058" s="5">
        <v>2997</v>
      </c>
      <c r="B3058" s="138">
        <f>'Expenditures 15-22'!F10</f>
        <v>66443</v>
      </c>
      <c r="D3058" s="2" t="str">
        <f t="shared" si="46"/>
        <v>Error?</v>
      </c>
    </row>
    <row r="3059" spans="1:4" x14ac:dyDescent="0.2">
      <c r="A3059" s="5">
        <v>2998</v>
      </c>
      <c r="B3059" s="138">
        <f>'Expenditures 15-22'!G10</f>
        <v>40523</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802159</v>
      </c>
      <c r="C3062" s="2" t="s">
        <v>573</v>
      </c>
      <c r="D3062" s="2" t="str">
        <f t="shared" si="46"/>
        <v>Error?</v>
      </c>
    </row>
    <row r="3063" spans="1:4" x14ac:dyDescent="0.2">
      <c r="A3063" s="10">
        <v>3002</v>
      </c>
      <c r="D3063" s="2" t="str">
        <f t="shared" si="46"/>
        <v>OK</v>
      </c>
    </row>
    <row r="3064" spans="1:4" x14ac:dyDescent="0.2">
      <c r="A3064" s="5">
        <v>3003</v>
      </c>
      <c r="B3064" s="138">
        <f>'Expenditures 15-22'!D219</f>
        <v>14983</v>
      </c>
      <c r="D3064" s="2" t="str">
        <f t="shared" si="46"/>
        <v>Error?</v>
      </c>
    </row>
    <row r="3065" spans="1:4" x14ac:dyDescent="0.2">
      <c r="A3065" s="5">
        <v>3004</v>
      </c>
      <c r="B3065" s="138">
        <f>'Expenditures 15-22'!K219</f>
        <v>14983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181468</v>
      </c>
      <c r="C3225" s="2" t="s">
        <v>573</v>
      </c>
      <c r="D3225" s="2" t="str">
        <f t="shared" si="49"/>
        <v>Error?</v>
      </c>
    </row>
    <row r="3226" spans="1:4" x14ac:dyDescent="0.2">
      <c r="A3226" s="5">
        <v>3165</v>
      </c>
      <c r="B3226" s="138">
        <f>'Acct Summary 7-8'!I8</f>
        <v>181468</v>
      </c>
      <c r="C3226" s="2" t="s">
        <v>573</v>
      </c>
      <c r="D3226" s="2" t="str">
        <f t="shared" si="49"/>
        <v>Error?</v>
      </c>
    </row>
    <row r="3227" spans="1:4" x14ac:dyDescent="0.2">
      <c r="A3227" s="5">
        <v>3166</v>
      </c>
      <c r="B3227" s="138">
        <f>'Acct Summary 7-8'!I20</f>
        <v>181468</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1394292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527</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527</v>
      </c>
      <c r="C3238" s="2" t="s">
        <v>573</v>
      </c>
      <c r="D3238" s="2" t="str">
        <f t="shared" si="49"/>
        <v>Error?</v>
      </c>
    </row>
    <row r="3239" spans="1:4" x14ac:dyDescent="0.2">
      <c r="A3239" s="5">
        <v>3178</v>
      </c>
      <c r="B3239" s="138">
        <f>'Acct Summary 7-8'!D78</f>
        <v>239965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973096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268156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343250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181468</v>
      </c>
      <c r="C3320" s="2" t="s">
        <v>573</v>
      </c>
      <c r="D3320" s="2" t="str">
        <f t="shared" si="50"/>
        <v>Error?</v>
      </c>
    </row>
    <row r="3321" spans="1:4" x14ac:dyDescent="0.2">
      <c r="A3321" s="5">
        <v>3260</v>
      </c>
      <c r="B3321" s="138">
        <f>'Acct Summary 7-8'!I79</f>
        <v>2485323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2666791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2176481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686928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1767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2865176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75166</v>
      </c>
      <c r="D3387" s="2" t="str">
        <f t="shared" si="51"/>
        <v>Error?</v>
      </c>
    </row>
    <row r="3388" spans="1:4" x14ac:dyDescent="0.2">
      <c r="A3388" s="5">
        <v>3327</v>
      </c>
      <c r="B3388" s="138">
        <f>'Expenditures 15-22'!D217</f>
        <v>129464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75166</v>
      </c>
      <c r="C3390" s="2" t="s">
        <v>573</v>
      </c>
      <c r="D3390" s="2" t="str">
        <f t="shared" si="51"/>
        <v>Error?</v>
      </c>
    </row>
    <row r="3391" spans="1:4" x14ac:dyDescent="0.2">
      <c r="A3391" s="5">
        <v>3330</v>
      </c>
      <c r="B3391" s="138">
        <f>'Expenditures 15-22'!K217</f>
        <v>129464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227000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3512208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328694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835121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282712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586061</v>
      </c>
      <c r="D3425" s="2" t="str">
        <f t="shared" si="52"/>
        <v>Error?</v>
      </c>
    </row>
    <row r="3426" spans="1:4" x14ac:dyDescent="0.2">
      <c r="A3426" s="10">
        <v>3365</v>
      </c>
      <c r="D3426" s="2" t="str">
        <f t="shared" si="52"/>
        <v>OK</v>
      </c>
    </row>
    <row r="3427" spans="1:4" x14ac:dyDescent="0.2">
      <c r="A3427" s="5">
        <v>3366</v>
      </c>
      <c r="B3427" s="138">
        <f>'Assets-Liab 5-6'!I4</f>
        <v>117203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213590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385193</v>
      </c>
      <c r="C3446" s="2" t="s">
        <v>573</v>
      </c>
      <c r="D3446" s="2" t="str">
        <f t="shared" si="52"/>
        <v>Error?</v>
      </c>
    </row>
    <row r="3447" spans="1:4" x14ac:dyDescent="0.2">
      <c r="A3447" s="5">
        <v>3386</v>
      </c>
      <c r="B3447" s="138">
        <f>'Tax Sched 23'!D16</f>
        <v>122804</v>
      </c>
      <c r="C3447" s="2" t="s">
        <v>573</v>
      </c>
      <c r="D3447" s="2" t="str">
        <f t="shared" si="52"/>
        <v>Error?</v>
      </c>
    </row>
    <row r="3448" spans="1:4" x14ac:dyDescent="0.2">
      <c r="A3448" s="5">
        <v>3387</v>
      </c>
      <c r="B3448" s="138">
        <f>'Tax Sched 23'!C16</f>
        <v>262389</v>
      </c>
      <c r="D3448" s="2" t="str">
        <f t="shared" si="52"/>
        <v>Error?</v>
      </c>
    </row>
    <row r="3449" spans="1:4" x14ac:dyDescent="0.2">
      <c r="A3449" s="5">
        <v>3388</v>
      </c>
      <c r="B3449" s="138">
        <f>'Tax Sched 23'!F16</f>
        <v>143111</v>
      </c>
      <c r="C3449" s="2" t="s">
        <v>573</v>
      </c>
      <c r="D3449" s="2" t="str">
        <f t="shared" si="52"/>
        <v>Error?</v>
      </c>
    </row>
    <row r="3450" spans="1:4" x14ac:dyDescent="0.2">
      <c r="A3450" s="5">
        <v>3389</v>
      </c>
      <c r="B3450" s="138">
        <f>'Tax Sched 23'!E16</f>
        <v>405500</v>
      </c>
      <c r="D3450" s="2" t="str">
        <f t="shared" si="52"/>
        <v>Error?</v>
      </c>
    </row>
    <row r="3451" spans="1:4" x14ac:dyDescent="0.2">
      <c r="A3451" s="5">
        <v>3390</v>
      </c>
      <c r="B3451" s="138">
        <f>'Cap Outlay Deprec 26'!C15</f>
        <v>44848</v>
      </c>
      <c r="D3451" s="2" t="str">
        <f t="shared" si="52"/>
        <v>Error?</v>
      </c>
    </row>
    <row r="3452" spans="1:4" x14ac:dyDescent="0.2">
      <c r="A3452" s="5">
        <v>3391</v>
      </c>
      <c r="B3452" s="138">
        <f>'Cap Outlay Deprec 26'!D15</f>
        <v>644425</v>
      </c>
      <c r="D3452" s="2" t="str">
        <f t="shared" si="52"/>
        <v>Error?</v>
      </c>
    </row>
    <row r="3453" spans="1:4" x14ac:dyDescent="0.2">
      <c r="A3453" s="5">
        <v>3392</v>
      </c>
      <c r="B3453" s="138">
        <f>'Cap Outlay Deprec 26'!E15</f>
        <v>7090</v>
      </c>
      <c r="D3453" s="2" t="str">
        <f t="shared" si="52"/>
        <v>Error?</v>
      </c>
    </row>
    <row r="3454" spans="1:4" x14ac:dyDescent="0.2">
      <c r="A3454" s="5">
        <v>3393</v>
      </c>
      <c r="B3454" s="138">
        <f>'Cap Outlay Deprec 26'!F15</f>
        <v>682183</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682183</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527</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100942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359445</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460387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460387</v>
      </c>
      <c r="D3567" s="2" t="str">
        <f t="shared" si="54"/>
        <v>Error?</v>
      </c>
    </row>
    <row r="3568" spans="1:4" x14ac:dyDescent="0.2">
      <c r="A3568" s="5">
        <v>3507</v>
      </c>
      <c r="B3568" s="138">
        <f>'Assets-Liab 5-6'!K41</f>
        <v>460387</v>
      </c>
      <c r="C3568" s="2" t="s">
        <v>573</v>
      </c>
      <c r="D3568" s="2" t="str">
        <f t="shared" si="54"/>
        <v>Error?</v>
      </c>
    </row>
    <row r="3569" spans="1:4" x14ac:dyDescent="0.2">
      <c r="A3569" s="5">
        <v>3508</v>
      </c>
      <c r="B3569" s="138">
        <f>'Acct Summary 7-8'!K4</f>
        <v>157115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157115</v>
      </c>
      <c r="C3571" s="2" t="s">
        <v>573</v>
      </c>
      <c r="D3571" s="2" t="str">
        <f t="shared" si="54"/>
        <v>Error?</v>
      </c>
    </row>
    <row r="3572" spans="1:4" x14ac:dyDescent="0.2">
      <c r="A3572" s="5">
        <v>3511</v>
      </c>
      <c r="B3572" s="138">
        <f>'Acct Summary 7-8'!K13</f>
        <v>119465</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119465</v>
      </c>
      <c r="C3575" s="2" t="s">
        <v>573</v>
      </c>
      <c r="D3575" s="2" t="str">
        <f t="shared" si="54"/>
        <v>Error?</v>
      </c>
    </row>
    <row r="3576" spans="1:4" x14ac:dyDescent="0.2">
      <c r="A3576" s="5">
        <v>3515</v>
      </c>
      <c r="B3576" s="138">
        <f>'Acct Summary 7-8'!K20</f>
        <v>37650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37650</v>
      </c>
      <c r="C3588" s="2" t="s">
        <v>573</v>
      </c>
      <c r="D3588" s="2" t="str">
        <f t="shared" si="55"/>
        <v>Error?</v>
      </c>
    </row>
    <row r="3589" spans="1:4" x14ac:dyDescent="0.2">
      <c r="A3589" s="5">
        <v>3528</v>
      </c>
      <c r="B3589" s="138">
        <f>'Acct Summary 7-8'!K79</f>
        <v>422737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460387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47500</v>
      </c>
      <c r="D3631" s="2" t="str">
        <f t="shared" si="55"/>
        <v>Error?</v>
      </c>
    </row>
    <row r="3632" spans="1:4" x14ac:dyDescent="0.2">
      <c r="A3632" s="5">
        <v>3571</v>
      </c>
      <c r="B3632" s="138">
        <f>'Expenditures 15-22'!E349</f>
        <v>15733</v>
      </c>
      <c r="D3632" s="2" t="str">
        <f t="shared" si="55"/>
        <v>Error?</v>
      </c>
    </row>
    <row r="3633" spans="1:4" x14ac:dyDescent="0.2">
      <c r="A3633" s="5">
        <v>3572</v>
      </c>
      <c r="B3633" s="138">
        <f>'Expenditures 15-22'!E350</f>
        <v>63233</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63233</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1885</v>
      </c>
      <c r="D3639" s="2" t="str">
        <f t="shared" si="55"/>
        <v>Error?</v>
      </c>
    </row>
    <row r="3640" spans="1:4" x14ac:dyDescent="0.2">
      <c r="A3640" s="5">
        <v>3579</v>
      </c>
      <c r="B3640" s="138">
        <f>'Expenditures 15-22'!F350</f>
        <v>1885</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1885</v>
      </c>
      <c r="C3642" s="2" t="s">
        <v>573</v>
      </c>
      <c r="D3642" s="2" t="str">
        <f t="shared" si="55"/>
        <v>Error?</v>
      </c>
    </row>
    <row r="3643" spans="1:4" x14ac:dyDescent="0.2">
      <c r="A3643" s="5">
        <v>3582</v>
      </c>
      <c r="B3643" s="138">
        <f>'Expenditures 15-22'!F367</f>
        <v>1885</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54347</v>
      </c>
      <c r="D3646" s="2" t="str">
        <f t="shared" si="55"/>
        <v>Error?</v>
      </c>
    </row>
    <row r="3647" spans="1:4" x14ac:dyDescent="0.2">
      <c r="A3647" s="5">
        <v>3586</v>
      </c>
      <c r="B3647" s="138">
        <f>'Expenditures 15-22'!G350</f>
        <v>54347</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54347</v>
      </c>
      <c r="C3649" s="2" t="s">
        <v>573</v>
      </c>
      <c r="D3649" s="2" t="str">
        <f t="shared" si="56"/>
        <v>Error?</v>
      </c>
    </row>
    <row r="3650" spans="1:4" x14ac:dyDescent="0.2">
      <c r="A3650" s="5">
        <v>3589</v>
      </c>
      <c r="B3650" s="138">
        <f>'Expenditures 15-22'!G367</f>
        <v>54347</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47500</v>
      </c>
      <c r="C3668" s="2" t="s">
        <v>573</v>
      </c>
      <c r="D3668" s="2" t="str">
        <f t="shared" si="56"/>
        <v>Error?</v>
      </c>
    </row>
    <row r="3669" spans="1:4" x14ac:dyDescent="0.2">
      <c r="A3669" s="5">
        <v>3608</v>
      </c>
      <c r="B3669" s="138">
        <f>'Expenditures 15-22'!K349</f>
        <v>71965</v>
      </c>
      <c r="C3669" s="2" t="s">
        <v>573</v>
      </c>
      <c r="D3669" s="2" t="str">
        <f t="shared" si="56"/>
        <v>Error?</v>
      </c>
    </row>
    <row r="3670" spans="1:4" x14ac:dyDescent="0.2">
      <c r="A3670" s="5">
        <v>3609</v>
      </c>
      <c r="B3670" s="138">
        <f>'Expenditures 15-22'!K350</f>
        <v>119465</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119465</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119465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37650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64696</v>
      </c>
      <c r="C3725" s="2" t="s">
        <v>573</v>
      </c>
      <c r="D3725" s="2" t="str">
        <f t="shared" si="57"/>
        <v>Error?</v>
      </c>
    </row>
    <row r="3726" spans="1:4" x14ac:dyDescent="0.2">
      <c r="A3726" s="5">
        <v>3665</v>
      </c>
      <c r="B3726" s="138">
        <f>'Tax Sched 23'!D13</f>
        <v>20837</v>
      </c>
      <c r="C3726" s="2" t="s">
        <v>573</v>
      </c>
      <c r="D3726" s="2" t="str">
        <f t="shared" si="57"/>
        <v>Error?</v>
      </c>
    </row>
    <row r="3727" spans="1:4" x14ac:dyDescent="0.2">
      <c r="A3727" s="5">
        <v>3666</v>
      </c>
      <c r="B3727" s="138">
        <f>'Tax Sched 23'!C13</f>
        <v>43859</v>
      </c>
      <c r="D3727" s="2" t="str">
        <f t="shared" si="57"/>
        <v>Error?</v>
      </c>
    </row>
    <row r="3728" spans="1:4" x14ac:dyDescent="0.2">
      <c r="A3728" s="5">
        <v>3667</v>
      </c>
      <c r="B3728" s="138">
        <f>'Tax Sched 23'!F13</f>
        <v>21763</v>
      </c>
      <c r="C3728" s="2" t="s">
        <v>573</v>
      </c>
      <c r="D3728" s="2" t="str">
        <f t="shared" si="57"/>
        <v>Error?</v>
      </c>
    </row>
    <row r="3729" spans="1:4" x14ac:dyDescent="0.2">
      <c r="A3729" s="5">
        <v>3668</v>
      </c>
      <c r="B3729" s="138">
        <f>'Tax Sched 23'!E13</f>
        <v>65622</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8132153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29096607</v>
      </c>
      <c r="C4122" s="2" t="s">
        <v>573</v>
      </c>
      <c r="D4122" s="2" t="str">
        <f t="shared" si="63"/>
        <v>Error?</v>
      </c>
    </row>
    <row r="4123" spans="1:4" x14ac:dyDescent="0.2">
      <c r="A4123" s="5">
        <v>4062</v>
      </c>
      <c r="B4123" s="138">
        <f>'Acct Summary 7-8'!D10</f>
        <v>2201216</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3343318</v>
      </c>
      <c r="C4125" s="2" t="s">
        <v>573</v>
      </c>
      <c r="D4125" s="2" t="str">
        <f t="shared" si="63"/>
        <v>Error?</v>
      </c>
    </row>
    <row r="4126" spans="1:4" x14ac:dyDescent="0.2">
      <c r="A4126" s="5">
        <v>4065</v>
      </c>
      <c r="B4126" s="138">
        <f>'Acct Summary 7-8'!G10</f>
        <v>776829</v>
      </c>
      <c r="C4126" s="2" t="s">
        <v>573</v>
      </c>
      <c r="D4126" s="2" t="str">
        <f t="shared" si="63"/>
        <v>Error?</v>
      </c>
    </row>
    <row r="4127" spans="1:4" x14ac:dyDescent="0.2">
      <c r="A4127" s="5">
        <v>4066</v>
      </c>
      <c r="B4127" s="138">
        <f>'Acct Summary 7-8'!H10</f>
        <v>2208428</v>
      </c>
      <c r="C4127" s="2" t="s">
        <v>573</v>
      </c>
      <c r="D4127" s="2" t="str">
        <f t="shared" si="63"/>
        <v>Error?</v>
      </c>
    </row>
    <row r="4128" spans="1:4" x14ac:dyDescent="0.2">
      <c r="A4128" s="5">
        <v>4067</v>
      </c>
      <c r="B4128" s="138">
        <f>'Acct Summary 7-8'!I10</f>
        <v>181468</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157115</v>
      </c>
      <c r="C4130" s="2" t="s">
        <v>573</v>
      </c>
      <c r="D4130" s="2" t="str">
        <f t="shared" si="63"/>
        <v>Error?</v>
      </c>
    </row>
    <row r="4131" spans="1:4" x14ac:dyDescent="0.2">
      <c r="A4131" s="5">
        <v>4070</v>
      </c>
      <c r="B4131" s="138">
        <f>'Acct Summary 7-8'!C18</f>
        <v>8132153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27702315</v>
      </c>
      <c r="C4136" s="2" t="s">
        <v>573</v>
      </c>
      <c r="D4136" s="2" t="str">
        <f t="shared" si="63"/>
        <v>Error?</v>
      </c>
    </row>
    <row r="4137" spans="1:4" x14ac:dyDescent="0.2">
      <c r="A4137" s="5">
        <v>4076</v>
      </c>
      <c r="B4137" s="138">
        <f>'Acct Summary 7-8'!D19</f>
        <v>1961778</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2370222</v>
      </c>
      <c r="C4139" s="2" t="s">
        <v>573</v>
      </c>
      <c r="D4139" s="2" t="str">
        <f t="shared" si="63"/>
        <v>Error?</v>
      </c>
    </row>
    <row r="4140" spans="1:4" x14ac:dyDescent="0.2">
      <c r="A4140" s="5">
        <v>4079</v>
      </c>
      <c r="B4140" s="138">
        <f>'Acct Summary 7-8'!G19</f>
        <v>508673</v>
      </c>
      <c r="C4140" s="2" t="s">
        <v>573</v>
      </c>
      <c r="D4140" s="2" t="str">
        <f t="shared" si="63"/>
        <v>Error?</v>
      </c>
    </row>
    <row r="4141" spans="1:4" x14ac:dyDescent="0.2">
      <c r="A4141" s="5">
        <v>4080</v>
      </c>
      <c r="B4141" s="138">
        <f>'Acct Summary 7-8'!H19</f>
        <v>1865178</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119465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2872.31</v>
      </c>
      <c r="C4265" s="2" t="s">
        <v>573</v>
      </c>
      <c r="D4265" s="2" t="str">
        <f t="shared" si="65"/>
        <v>Error?</v>
      </c>
      <c r="E4265" s="128"/>
    </row>
    <row r="4266" spans="1:5" x14ac:dyDescent="0.2">
      <c r="A4266" s="12">
        <v>4205</v>
      </c>
      <c r="B4266" s="138">
        <f>('FP Info 3'!F10)*100000</f>
        <v>577.20000000000005</v>
      </c>
      <c r="C4266" s="2" t="s">
        <v>573</v>
      </c>
      <c r="D4266" s="2" t="str">
        <f t="shared" si="65"/>
        <v>Error?</v>
      </c>
      <c r="E4266" s="128"/>
    </row>
    <row r="4267" spans="1:5" x14ac:dyDescent="0.2">
      <c r="A4267" s="12">
        <v>4206</v>
      </c>
      <c r="B4267" s="138">
        <f>('FP Info 3'!H10)*100000</f>
        <v>390.04</v>
      </c>
      <c r="C4267" s="2" t="s">
        <v>573</v>
      </c>
      <c r="D4267" s="2" t="str">
        <f t="shared" si="65"/>
        <v>Error?</v>
      </c>
      <c r="E4267" s="128"/>
    </row>
    <row r="4268" spans="1:5" x14ac:dyDescent="0.2">
      <c r="A4268" s="12">
        <v>4207</v>
      </c>
      <c r="B4268" s="138">
        <f>('FP Info 3'!J10)*100000</f>
        <v>3839.9999999999995</v>
      </c>
      <c r="C4268" s="2" t="s">
        <v>573</v>
      </c>
      <c r="D4268" s="2" t="str">
        <f t="shared" si="65"/>
        <v>Error?</v>
      </c>
    </row>
    <row r="4269" spans="1:5" x14ac:dyDescent="0.2">
      <c r="A4269" s="12">
        <v>4208</v>
      </c>
      <c r="B4269" s="138">
        <f>'FP Info 3'!J16</f>
        <v>13490477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67042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90943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22953</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110227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4480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289503</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322586079</v>
      </c>
      <c r="D4995" s="2" t="str">
        <f t="shared" si="77"/>
        <v>Error?</v>
      </c>
    </row>
    <row r="4996" spans="1:4" x14ac:dyDescent="0.2">
      <c r="A4996" s="12">
        <v>4935</v>
      </c>
      <c r="B4996" s="138">
        <f>'FP Info 3'!H31</f>
        <v>44516878.902000003</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64696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9268421</v>
      </c>
      <c r="D5061" s="2" t="str">
        <f t="shared" si="78"/>
        <v>Error?</v>
      </c>
    </row>
    <row r="5062" spans="1:4" x14ac:dyDescent="0.2">
      <c r="A5062" s="10">
        <v>5001</v>
      </c>
      <c r="D5062" s="2" t="str">
        <f t="shared" si="78"/>
        <v>OK</v>
      </c>
    </row>
    <row r="5063" spans="1:4" x14ac:dyDescent="0.2">
      <c r="A5063" s="5">
        <v>5002</v>
      </c>
      <c r="B5063" s="138">
        <f>'Revenues 9-14'!C7</f>
        <v>136603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9469720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784644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784644</v>
      </c>
      <c r="C5071" s="2" t="s">
        <v>573</v>
      </c>
      <c r="D5071" s="2" t="str">
        <f t="shared" si="78"/>
        <v>Error?</v>
      </c>
    </row>
    <row r="5072" spans="1:4" x14ac:dyDescent="0.2">
      <c r="A5072" s="5">
        <v>5011</v>
      </c>
      <c r="B5072" s="138">
        <f>'Revenues 9-14'!C20</f>
        <v>2550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2640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508731</v>
      </c>
      <c r="D5086" s="2" t="str">
        <f t="shared" si="78"/>
        <v>Error?</v>
      </c>
    </row>
    <row r="5087" spans="1:4" x14ac:dyDescent="0.2">
      <c r="A5087" s="5">
        <v>5026</v>
      </c>
      <c r="B5087" s="138">
        <f>'Revenues 9-14'!C40</f>
        <v>513921</v>
      </c>
      <c r="C5087" s="2" t="s">
        <v>573</v>
      </c>
      <c r="D5087" s="2" t="str">
        <f t="shared" si="78"/>
        <v>Error?</v>
      </c>
    </row>
    <row r="5088" spans="1:4" x14ac:dyDescent="0.2">
      <c r="A5088" s="5">
        <v>5027</v>
      </c>
      <c r="B5088" s="138">
        <f>'Revenues 9-14'!C65</f>
        <v>185888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185888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14801</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7894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322569</v>
      </c>
      <c r="C5096" s="2" t="s">
        <v>573</v>
      </c>
      <c r="D5096" s="2" t="str">
        <f t="shared" si="78"/>
        <v>Error?</v>
      </c>
    </row>
    <row r="5097" spans="1:4" x14ac:dyDescent="0.2">
      <c r="A5097" s="5">
        <v>5036</v>
      </c>
      <c r="B5097" s="138">
        <f>'Revenues 9-14'!C77</f>
        <v>99123</v>
      </c>
      <c r="D5097" s="2" t="str">
        <f t="shared" si="78"/>
        <v>Error?</v>
      </c>
    </row>
    <row r="5098" spans="1:4" x14ac:dyDescent="0.2">
      <c r="A5098" s="5">
        <v>5037</v>
      </c>
      <c r="B5098" s="138">
        <f>'Revenues 9-14'!C78</f>
        <v>56463</v>
      </c>
      <c r="D5098" s="2" t="str">
        <f t="shared" si="78"/>
        <v>Error?</v>
      </c>
    </row>
    <row r="5099" spans="1:4" x14ac:dyDescent="0.2">
      <c r="A5099" s="5">
        <v>5038</v>
      </c>
      <c r="B5099" s="138">
        <f>'Revenues 9-14'!C79</f>
        <v>38120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193706</v>
      </c>
      <c r="C5102" s="2" t="s">
        <v>573</v>
      </c>
      <c r="D5102" s="2" t="str">
        <f t="shared" si="78"/>
        <v>Error?</v>
      </c>
    </row>
    <row r="5103" spans="1:4" x14ac:dyDescent="0.2">
      <c r="A5103" s="5">
        <v>5042</v>
      </c>
      <c r="B5103" s="138">
        <f>'Revenues 9-14'!C84</f>
        <v>80300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24405</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104705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184612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24154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1348</v>
      </c>
      <c r="D5119" s="2" t="str">
        <f t="shared" ref="D5119:D5182" si="79">IF(ISBLANK(B5119),"OK",IF(A5119-B5119=0,"OK","Error?"))</f>
        <v>Error?</v>
      </c>
    </row>
    <row r="5120" spans="1:4" x14ac:dyDescent="0.2">
      <c r="A5120" s="5">
        <v>5059</v>
      </c>
      <c r="B5120" s="138">
        <f>'Revenues 9-14'!C108</f>
        <v>253152</v>
      </c>
      <c r="C5120" s="2" t="s">
        <v>573</v>
      </c>
      <c r="D5120" s="2" t="str">
        <f t="shared" si="79"/>
        <v>Error?</v>
      </c>
    </row>
    <row r="5121" spans="1:4" x14ac:dyDescent="0.2">
      <c r="A5121" s="5">
        <v>5060</v>
      </c>
      <c r="B5121" s="138">
        <f>'Revenues 9-14'!C109</f>
        <v>11828305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227000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227000</v>
      </c>
      <c r="C5125" s="2" t="s">
        <v>573</v>
      </c>
      <c r="D5125" s="2" t="str">
        <f t="shared" si="79"/>
        <v>Error?</v>
      </c>
    </row>
    <row r="5126" spans="1:4" x14ac:dyDescent="0.2">
      <c r="A5126" s="5">
        <v>5065</v>
      </c>
      <c r="B5126" s="138">
        <f>'Revenues 9-14'!C117</f>
        <v>6376271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6665774</v>
      </c>
      <c r="C5132" s="2" t="s">
        <v>573</v>
      </c>
      <c r="D5132" s="2" t="str">
        <f t="shared" si="79"/>
        <v>Error?</v>
      </c>
    </row>
    <row r="5133" spans="1:4" x14ac:dyDescent="0.2">
      <c r="A5133" s="5">
        <v>5072</v>
      </c>
      <c r="B5133" s="138">
        <f>'Revenues 9-14'!C125</f>
        <v>473921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37041</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510962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26824</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40596</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11278</v>
      </c>
      <c r="D5167" s="2" t="str">
        <f t="shared" si="79"/>
        <v>Error?</v>
      </c>
    </row>
    <row r="5168" spans="1:4" x14ac:dyDescent="0.2">
      <c r="A5168" s="5">
        <v>5107</v>
      </c>
      <c r="B5168" s="138">
        <f>'Revenues 9-14'!C148</f>
        <v>36500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603816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7269590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519196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164723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683919</v>
      </c>
      <c r="C5246" s="2" t="s">
        <v>573</v>
      </c>
      <c r="D5246" s="2" t="str">
        <f t="shared" si="80"/>
        <v>Error?</v>
      </c>
    </row>
    <row r="5247" spans="1:4" x14ac:dyDescent="0.2">
      <c r="A5247" s="5">
        <v>5186</v>
      </c>
      <c r="B5247" s="138">
        <f>'Revenues 9-14'!C200</f>
        <v>634631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22953</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634631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29844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29844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1639559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1639559</v>
      </c>
      <c r="C5326" s="2" t="s">
        <v>573</v>
      </c>
      <c r="D5326" s="2" t="str">
        <f t="shared" si="82"/>
        <v>Error?</v>
      </c>
    </row>
    <row r="5327" spans="1:5" x14ac:dyDescent="0.2">
      <c r="A5327" s="5">
        <v>5266</v>
      </c>
      <c r="B5327" s="138">
        <f>'Revenues 9-14'!C268</f>
        <v>20964454</v>
      </c>
      <c r="C5327" s="2" t="s">
        <v>573</v>
      </c>
      <c r="D5327" s="2" t="str">
        <f t="shared" si="82"/>
        <v>Error?</v>
      </c>
    </row>
    <row r="5328" spans="1:5" x14ac:dyDescent="0.2">
      <c r="A5328" s="5">
        <v>5267</v>
      </c>
      <c r="B5328" s="138">
        <f>'Revenues 9-14'!D5</f>
        <v>1838494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1838494</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20521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20521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10142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32059</v>
      </c>
      <c r="D5354" s="2" t="str">
        <f t="shared" si="82"/>
        <v>Error?</v>
      </c>
    </row>
    <row r="5355" spans="1:4" x14ac:dyDescent="0.2">
      <c r="A5355" s="5">
        <v>5294</v>
      </c>
      <c r="B5355" s="138">
        <f>'Revenues 9-14'!D108</f>
        <v>42201</v>
      </c>
      <c r="C5355" s="2" t="s">
        <v>573</v>
      </c>
      <c r="D5355" s="2" t="str">
        <f t="shared" si="82"/>
        <v>Error?</v>
      </c>
    </row>
    <row r="5356" spans="1:4" x14ac:dyDescent="0.2">
      <c r="A5356" s="5">
        <v>5295</v>
      </c>
      <c r="B5356" s="138">
        <f>'Revenues 9-14'!D109</f>
        <v>1901216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300000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300000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300000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2201216</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1243829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1243829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537</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537</v>
      </c>
      <c r="C5579" s="2" t="s">
        <v>573</v>
      </c>
      <c r="D5579" s="2" t="str">
        <f t="shared" si="86"/>
        <v>Error?</v>
      </c>
    </row>
    <row r="5580" spans="1:4" x14ac:dyDescent="0.2">
      <c r="A5580" s="5">
        <v>5519</v>
      </c>
      <c r="B5580" s="138">
        <f>'Revenues 9-14'!F65</f>
        <v>14665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14665</v>
      </c>
      <c r="C5582" s="2" t="s">
        <v>573</v>
      </c>
      <c r="D5582" s="2" t="str">
        <f t="shared" si="86"/>
        <v>Error?</v>
      </c>
    </row>
    <row r="5583" spans="1:4" x14ac:dyDescent="0.2">
      <c r="A5583" s="5">
        <v>5522</v>
      </c>
      <c r="B5583" s="138">
        <f>'Revenues 9-14'!F96</f>
        <v>26442</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26442</v>
      </c>
      <c r="C5587" s="2" t="s">
        <v>573</v>
      </c>
      <c r="D5587" s="2" t="str">
        <f t="shared" si="86"/>
        <v>Error?</v>
      </c>
    </row>
    <row r="5588" spans="1:4" x14ac:dyDescent="0.2">
      <c r="A5588" s="5">
        <v>5527</v>
      </c>
      <c r="B5588" s="138">
        <f>'Revenues 9-14'!F109</f>
        <v>1285473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699000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699000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847617</v>
      </c>
      <c r="D5615" s="2" t="str">
        <f t="shared" si="86"/>
        <v>Error?</v>
      </c>
    </row>
    <row r="5616" spans="1:4" x14ac:dyDescent="0.2">
      <c r="A5616" s="10">
        <v>5555</v>
      </c>
      <c r="D5616" s="2" t="str">
        <f t="shared" si="86"/>
        <v>OK</v>
      </c>
    </row>
    <row r="5617" spans="1:5" x14ac:dyDescent="0.2">
      <c r="A5617" s="5">
        <v>5556</v>
      </c>
      <c r="B5617" s="138">
        <f>'Revenues 9-14'!F153</f>
        <v>511228</v>
      </c>
      <c r="D5617" s="2" t="str">
        <f t="shared" si="86"/>
        <v>Error?</v>
      </c>
    </row>
    <row r="5618" spans="1:5" x14ac:dyDescent="0.2">
      <c r="A5618" s="5">
        <v>5557</v>
      </c>
      <c r="B5618" s="138">
        <f>'Revenues 9-14'!F155</f>
        <v>1358845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1358845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2057845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3343318</v>
      </c>
      <c r="C5720" s="2" t="s">
        <v>573</v>
      </c>
      <c r="D5720" s="2" t="str">
        <f t="shared" si="88"/>
        <v>Error?</v>
      </c>
    </row>
    <row r="5721" spans="1:4" x14ac:dyDescent="0.2">
      <c r="A5721" s="5">
        <v>5660</v>
      </c>
      <c r="B5721" s="138">
        <f>'Revenues 9-14'!G5</f>
        <v>328177</v>
      </c>
      <c r="D5721" s="2" t="str">
        <f t="shared" si="88"/>
        <v>Error?</v>
      </c>
    </row>
    <row r="5722" spans="1:4" x14ac:dyDescent="0.2">
      <c r="A5722" s="5">
        <v>5661</v>
      </c>
      <c r="B5722" s="138">
        <f>'Revenues 9-14'!G7</f>
        <v>0</v>
      </c>
      <c r="D5722" s="2" t="str">
        <f t="shared" si="88"/>
        <v>Error?</v>
      </c>
    </row>
    <row r="5723" spans="1:4" x14ac:dyDescent="0.2">
      <c r="A5723" s="5">
        <v>5662</v>
      </c>
      <c r="B5723" s="138">
        <f>'Revenues 9-14'!G8</f>
        <v>385193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713370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49883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49883</v>
      </c>
      <c r="C5730" s="2" t="s">
        <v>573</v>
      </c>
      <c r="D5730" s="2" t="str">
        <f t="shared" si="88"/>
        <v>Error?</v>
      </c>
    </row>
    <row r="5731" spans="1:4" x14ac:dyDescent="0.2">
      <c r="A5731" s="5">
        <v>5670</v>
      </c>
      <c r="B5731" s="138">
        <f>'Revenues 9-14'!G65</f>
        <v>13576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13576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776829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15044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15044</v>
      </c>
      <c r="C5881" s="2" t="s">
        <v>573</v>
      </c>
      <c r="D5881" s="2" t="str">
        <f t="shared" si="90"/>
        <v>Error?</v>
      </c>
    </row>
    <row r="5882" spans="1:4" x14ac:dyDescent="0.2">
      <c r="A5882" s="5">
        <v>5821</v>
      </c>
      <c r="B5882" s="138">
        <f>'Revenues 9-14'!H96</f>
        <v>245000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2193384</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2208428</v>
      </c>
      <c r="C5915" s="2" t="s">
        <v>573</v>
      </c>
      <c r="D5915" s="2" t="str">
        <f t="shared" si="91"/>
        <v>Error?</v>
      </c>
    </row>
    <row r="5916" spans="1:4" x14ac:dyDescent="0.2">
      <c r="A5916" s="5">
        <v>5855</v>
      </c>
      <c r="B5916" s="138">
        <f>'Revenues 9-14'!I5</f>
        <v>153353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153353</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28115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28115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181468</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149804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149804</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7311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7311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157115</v>
      </c>
      <c r="C6023" s="2" t="s">
        <v>573</v>
      </c>
      <c r="D6023" s="2" t="str">
        <f t="shared" si="93"/>
        <v>Error?</v>
      </c>
    </row>
    <row r="6024" spans="1:5" x14ac:dyDescent="0.2">
      <c r="A6024" s="5">
        <v>5963</v>
      </c>
      <c r="B6024" s="138">
        <f>'Revenues 9-14'!G109</f>
        <v>776829</v>
      </c>
      <c r="C6024" s="2" t="s">
        <v>573</v>
      </c>
      <c r="D6024" s="2" t="str">
        <f t="shared" si="93"/>
        <v>Error?</v>
      </c>
    </row>
    <row r="6025" spans="1:5" x14ac:dyDescent="0.2">
      <c r="A6025" s="5">
        <v>5964</v>
      </c>
      <c r="B6025" s="138">
        <f>'Revenues 9-14'!H109</f>
        <v>2208428</v>
      </c>
      <c r="C6025" s="2" t="s">
        <v>573</v>
      </c>
      <c r="D6025" s="2" t="str">
        <f t="shared" si="93"/>
        <v>Error?</v>
      </c>
    </row>
    <row r="6026" spans="1:5" x14ac:dyDescent="0.2">
      <c r="A6026" s="5">
        <v>5965</v>
      </c>
      <c r="B6026" s="138">
        <f>'Revenues 9-14'!I109</f>
        <v>181468</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157115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299874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72372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2346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1224475</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12310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1224475</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12310</v>
      </c>
      <c r="D6215" s="2" t="str">
        <f t="shared" si="96"/>
        <v>Error?</v>
      </c>
      <c r="E6215" s="2" t="s">
        <v>190</v>
      </c>
    </row>
    <row r="6216" spans="1:5" x14ac:dyDescent="0.2">
      <c r="A6216">
        <v>6155</v>
      </c>
      <c r="B6216" s="138">
        <f>'Assets-Liab 5-6'!J41</f>
        <v>12310</v>
      </c>
      <c r="D6216" s="2" t="str">
        <f t="shared" si="96"/>
        <v>Error?</v>
      </c>
      <c r="E6216" s="2" t="s">
        <v>190</v>
      </c>
    </row>
    <row r="6217" spans="1:5" x14ac:dyDescent="0.2">
      <c r="A6217">
        <v>6156</v>
      </c>
      <c r="B6217" s="138">
        <f>'Assets-Liab 5-6'!J4</f>
        <v>12310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10133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10133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10133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10133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10133</v>
      </c>
      <c r="D6263" s="2" t="str">
        <f t="shared" si="96"/>
        <v>Error?</v>
      </c>
      <c r="E6263" s="2" t="s">
        <v>190</v>
      </c>
    </row>
    <row r="6264" spans="1:5" x14ac:dyDescent="0.2">
      <c r="A6264">
        <v>6203</v>
      </c>
      <c r="B6264" s="138">
        <f>'Acct Summary 7-8'!J79</f>
        <v>2177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12310</v>
      </c>
      <c r="D6266" s="2" t="str">
        <f t="shared" si="96"/>
        <v>Error?</v>
      </c>
      <c r="E6266" s="2" t="s">
        <v>190</v>
      </c>
    </row>
    <row r="6267" spans="1:5" x14ac:dyDescent="0.2">
      <c r="A6267">
        <v>6206</v>
      </c>
      <c r="B6267" s="138">
        <f>'Acct Summary 7-8'!C82</f>
        <v>1394292</v>
      </c>
      <c r="D6267" s="2" t="str">
        <f t="shared" si="96"/>
        <v>Error?</v>
      </c>
      <c r="E6267" s="2" t="s">
        <v>190</v>
      </c>
    </row>
    <row r="6268" spans="1:5" x14ac:dyDescent="0.2">
      <c r="A6268">
        <v>6207</v>
      </c>
      <c r="B6268" s="138">
        <f>'Acct Summary 7-8'!D82</f>
        <v>239965</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973096</v>
      </c>
      <c r="D6270" s="2" t="str">
        <f t="shared" si="96"/>
        <v>Error?</v>
      </c>
      <c r="E6270" s="2" t="s">
        <v>190</v>
      </c>
    </row>
    <row r="6271" spans="1:5" x14ac:dyDescent="0.2">
      <c r="A6271">
        <v>6210</v>
      </c>
      <c r="B6271" s="138">
        <f>'Acct Summary 7-8'!G82</f>
        <v>268156</v>
      </c>
      <c r="D6271" s="2" t="str">
        <f t="shared" ref="D6271:D6334" si="97">IF(ISBLANK(B6271),"OK",IF(A6271-B6271=0,"OK","Error?"))</f>
        <v>Error?</v>
      </c>
      <c r="E6271" s="2" t="s">
        <v>190</v>
      </c>
    </row>
    <row r="6272" spans="1:5" x14ac:dyDescent="0.2">
      <c r="A6272">
        <v>6211</v>
      </c>
      <c r="B6272" s="138">
        <f>'Acct Summary 7-8'!H82</f>
        <v>343250</v>
      </c>
      <c r="D6272" s="2" t="str">
        <f t="shared" si="97"/>
        <v>Error?</v>
      </c>
      <c r="E6272" s="2" t="s">
        <v>190</v>
      </c>
    </row>
    <row r="6273" spans="1:5" x14ac:dyDescent="0.2">
      <c r="A6273">
        <v>6212</v>
      </c>
      <c r="B6273" s="138">
        <f>'Acct Summary 7-8'!I82</f>
        <v>181468</v>
      </c>
      <c r="D6273" s="2" t="str">
        <f t="shared" si="97"/>
        <v>Error?</v>
      </c>
      <c r="E6273" s="2" t="s">
        <v>190</v>
      </c>
    </row>
    <row r="6274" spans="1:5" x14ac:dyDescent="0.2">
      <c r="A6274">
        <v>6213</v>
      </c>
      <c r="B6274" s="138">
        <f>'Acct Summary 7-8'!J82</f>
        <v>10133</v>
      </c>
      <c r="D6274" s="2" t="str">
        <f t="shared" si="97"/>
        <v>Error?</v>
      </c>
      <c r="E6274" s="2" t="s">
        <v>190</v>
      </c>
    </row>
    <row r="6275" spans="1:5" x14ac:dyDescent="0.2">
      <c r="A6275">
        <v>6214</v>
      </c>
      <c r="B6275" s="138">
        <f>'Acct Summary 7-8'!K82</f>
        <v>37650</v>
      </c>
      <c r="D6275" s="2" t="str">
        <f t="shared" si="97"/>
        <v>Error?</v>
      </c>
      <c r="E6275" s="2" t="s">
        <v>190</v>
      </c>
    </row>
    <row r="6276" spans="1:5" x14ac:dyDescent="0.2">
      <c r="A6276">
        <v>6215</v>
      </c>
      <c r="B6276" s="138">
        <f>'Acct Summary 7-8'!C83</f>
        <v>0.14609350352211736</v>
      </c>
      <c r="D6276" s="2" t="str">
        <f t="shared" si="97"/>
        <v>Error?</v>
      </c>
      <c r="E6276" s="2" t="s">
        <v>190</v>
      </c>
    </row>
    <row r="6277" spans="1:5" x14ac:dyDescent="0.2">
      <c r="A6277">
        <v>6216</v>
      </c>
      <c r="B6277" s="138">
        <f>'Acct Summary 7-8'!D83</f>
        <v>0.23713104685898823</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3.632283446932087</v>
      </c>
      <c r="D6279" s="2" t="str">
        <f t="shared" si="97"/>
        <v>Error?</v>
      </c>
      <c r="E6279" s="2" t="s">
        <v>190</v>
      </c>
    </row>
    <row r="6280" spans="1:5" x14ac:dyDescent="0.2">
      <c r="A6280">
        <v>6219</v>
      </c>
      <c r="B6280" s="138">
        <f>'Acct Summary 7-8'!G83</f>
        <v>0.25156007850112383</v>
      </c>
      <c r="D6280" s="2" t="str">
        <f t="shared" si="97"/>
        <v>Error?</v>
      </c>
      <c r="E6280" s="2" t="s">
        <v>190</v>
      </c>
    </row>
    <row r="6281" spans="1:5" x14ac:dyDescent="0.2">
      <c r="A6281">
        <v>6220</v>
      </c>
      <c r="B6281" s="138">
        <f>'Acct Summary 7-8'!H83</f>
        <v>0.24615316212690674</v>
      </c>
      <c r="D6281" s="2" t="str">
        <f t="shared" si="97"/>
        <v>Error?</v>
      </c>
      <c r="E6281" s="2" t="s">
        <v>190</v>
      </c>
    </row>
    <row r="6282" spans="1:5" x14ac:dyDescent="0.2">
      <c r="A6282">
        <v>6221</v>
      </c>
      <c r="B6282" s="138">
        <f>'Acct Summary 7-8'!I83</f>
        <v>6.8047327293364948E-2</v>
      </c>
      <c r="D6282" s="2" t="str">
        <f t="shared" si="97"/>
        <v>Error?</v>
      </c>
      <c r="E6282" s="2" t="s">
        <v>190</v>
      </c>
    </row>
    <row r="6283" spans="1:5" x14ac:dyDescent="0.2">
      <c r="A6283">
        <v>6222</v>
      </c>
      <c r="B6283" s="138">
        <f>'Acct Summary 7-8'!J83</f>
        <v>0.82315190901705926</v>
      </c>
      <c r="D6283" s="2" t="str">
        <f t="shared" si="97"/>
        <v>Error?</v>
      </c>
      <c r="E6283" s="2" t="s">
        <v>190</v>
      </c>
    </row>
    <row r="6284" spans="1:5" x14ac:dyDescent="0.2">
      <c r="A6284">
        <v>6223</v>
      </c>
      <c r="B6284" s="138">
        <f>'Acct Summary 7-8'!K83</f>
        <v>8.1779025037631389E-2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10111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10111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17590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25448</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10133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13772</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165922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337606</v>
      </c>
      <c r="D6983" s="2" t="str">
        <f t="shared" si="108"/>
        <v>Error?</v>
      </c>
    </row>
    <row r="6984" spans="1:4" x14ac:dyDescent="0.2">
      <c r="A6984">
        <v>6923</v>
      </c>
      <c r="B6984" s="138">
        <f>'Expenditures 15-22'!K86</f>
        <v>337606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337606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32178</v>
      </c>
      <c r="D7018" s="2" t="str">
        <f t="shared" si="108"/>
        <v>Error?</v>
      </c>
    </row>
    <row r="7019" spans="1:4" x14ac:dyDescent="0.2">
      <c r="A7019">
        <v>6958</v>
      </c>
      <c r="B7019" s="138">
        <f>'Expenditures 15-22'!K112</f>
        <v>32178</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10133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1002</v>
      </c>
      <c r="D7079" s="2" t="str">
        <f t="shared" si="109"/>
        <v>Error?</v>
      </c>
    </row>
    <row r="7080" spans="1:4" x14ac:dyDescent="0.2">
      <c r="A7080">
        <v>7019</v>
      </c>
      <c r="B7080" s="138">
        <f>'Expenditures 15-22'!K226</f>
        <v>1002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10133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144016</v>
      </c>
      <c r="D7263" s="2" t="str">
        <f t="shared" si="112"/>
        <v>Error?</v>
      </c>
    </row>
    <row r="7264" spans="1:4" x14ac:dyDescent="0.2">
      <c r="A7264">
        <f t="shared" si="113"/>
        <v>7203</v>
      </c>
      <c r="B7264" s="138">
        <f>'Expenditures 15-22'!D17</f>
        <v>21906</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7064</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7064</v>
      </c>
      <c r="D7618" s="2" t="str">
        <f t="shared" si="124"/>
        <v>Error?</v>
      </c>
      <c r="E7618" s="2" t="s">
        <v>19</v>
      </c>
    </row>
    <row r="7619" spans="1:5" x14ac:dyDescent="0.2">
      <c r="A7619">
        <f t="shared" si="123"/>
        <v>7558</v>
      </c>
      <c r="B7619" s="138">
        <f>'Cap Outlay Deprec 26'!H14</f>
        <v>1105</v>
      </c>
      <c r="D7619" s="2" t="str">
        <f t="shared" si="124"/>
        <v>Error?</v>
      </c>
      <c r="E7619" s="2" t="s">
        <v>19</v>
      </c>
    </row>
    <row r="7620" spans="1:5" x14ac:dyDescent="0.2">
      <c r="A7620">
        <f t="shared" si="123"/>
        <v>7559</v>
      </c>
      <c r="B7620" s="138">
        <f>'Cap Outlay Deprec 26'!I14</f>
        <v>2355</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3460</v>
      </c>
      <c r="D7622" s="2" t="str">
        <f t="shared" si="124"/>
        <v>Error?</v>
      </c>
      <c r="E7622" s="2" t="s">
        <v>19</v>
      </c>
    </row>
    <row r="7623" spans="1:5" x14ac:dyDescent="0.2">
      <c r="A7623">
        <f t="shared" si="123"/>
        <v>7562</v>
      </c>
      <c r="B7623" s="138">
        <f>'Cap Outlay Deprec 26'!L14</f>
        <v>3604</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1330680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25448</v>
      </c>
      <c r="D7712" s="2" t="str">
        <f t="shared" si="126"/>
        <v>Error?</v>
      </c>
      <c r="E7712" s="2" t="s">
        <v>827</v>
      </c>
    </row>
    <row r="7713" spans="1:6" x14ac:dyDescent="0.2">
      <c r="A7713">
        <v>7652</v>
      </c>
      <c r="B7713" s="138">
        <f>'Rest Tax Levies-Tort Im 25'!J8</f>
        <v>1948384</v>
      </c>
      <c r="D7713" s="2" t="str">
        <f t="shared" si="126"/>
        <v>Error?</v>
      </c>
      <c r="E7713" s="2" t="s">
        <v>827</v>
      </c>
    </row>
    <row r="7714" spans="1:6" x14ac:dyDescent="0.2">
      <c r="A7714">
        <v>7653</v>
      </c>
      <c r="B7714" s="138">
        <f>'Rest Tax Levies-Tort Im 25'!K9</f>
        <v>36500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1948384</v>
      </c>
      <c r="D7718" s="2" t="str">
        <f t="shared" si="126"/>
        <v>Error?</v>
      </c>
      <c r="E7718" s="2" t="s">
        <v>827</v>
      </c>
    </row>
    <row r="7719" spans="1:6" x14ac:dyDescent="0.2">
      <c r="A7719">
        <v>7658</v>
      </c>
      <c r="B7719" s="138">
        <f>'Rest Tax Levies-Tort Im 25'!K12</f>
        <v>61948</v>
      </c>
      <c r="D7719" s="2" t="str">
        <f t="shared" si="126"/>
        <v>Error?</v>
      </c>
      <c r="E7719" s="2" t="s">
        <v>827</v>
      </c>
    </row>
    <row r="7720" spans="1:6" x14ac:dyDescent="0.2">
      <c r="A7720">
        <v>7659</v>
      </c>
      <c r="B7720" s="138">
        <f>'Rest Tax Levies-Tort Im 25'!H14</f>
        <v>136603</v>
      </c>
      <c r="D7720" s="2" t="str">
        <f t="shared" si="126"/>
        <v>Error?</v>
      </c>
      <c r="E7720" s="2" t="s">
        <v>827</v>
      </c>
    </row>
    <row r="7721" spans="1:6" x14ac:dyDescent="0.2">
      <c r="A7721">
        <v>7660</v>
      </c>
      <c r="B7721" s="138">
        <f>'Rest Tax Levies-Tort Im 25'!K14</f>
        <v>61948</v>
      </c>
      <c r="D7721" s="2" t="str">
        <f t="shared" si="126"/>
        <v>Error?</v>
      </c>
      <c r="E7721" s="2" t="s">
        <v>827</v>
      </c>
    </row>
    <row r="7722" spans="1:6" x14ac:dyDescent="0.2">
      <c r="A7722">
        <v>7661</v>
      </c>
      <c r="B7722" s="138">
        <f>'Rest Tax Levies-Tort Im 25'!J15</f>
        <v>1948384</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1948384</v>
      </c>
      <c r="D7730" s="2" t="str">
        <f t="shared" si="126"/>
        <v>Error?</v>
      </c>
      <c r="E7730" s="2" t="s">
        <v>827</v>
      </c>
    </row>
    <row r="7731" spans="1:6" x14ac:dyDescent="0.2">
      <c r="A7731">
        <v>7670</v>
      </c>
      <c r="B7731" s="138">
        <f>'Revenues 9-14'!H103</f>
        <v>1948384</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2180974</v>
      </c>
      <c r="D7797" s="2" t="str">
        <f t="shared" si="127"/>
        <v>Error?</v>
      </c>
      <c r="E7797" s="4" t="s">
        <v>1903</v>
      </c>
    </row>
    <row r="7798" spans="1:5" x14ac:dyDescent="0.2">
      <c r="A7798">
        <v>7737</v>
      </c>
      <c r="B7798" s="138">
        <f>'Contracts Paid in CY 29'!F142</f>
        <v>25000</v>
      </c>
      <c r="D7798" s="2" t="str">
        <f t="shared" si="127"/>
        <v>Error?</v>
      </c>
      <c r="E7798" s="4" t="s">
        <v>1903</v>
      </c>
    </row>
    <row r="7799" spans="1:5" x14ac:dyDescent="0.2">
      <c r="A7799">
        <v>7738</v>
      </c>
      <c r="B7799" s="138">
        <f>'Contracts Paid in CY 29'!G142</f>
        <v>2155974</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19" zoomScale="110" zoomScaleNormal="110" workbookViewId="0">
      <selection activeCell="U41" sqref="U41"/>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6" t="s">
        <v>1191</v>
      </c>
      <c r="B2" s="2416"/>
      <c r="C2" s="2416"/>
      <c r="D2" s="2416"/>
      <c r="E2" s="2416"/>
      <c r="F2" s="2416"/>
      <c r="G2" s="2416"/>
      <c r="H2" s="2416"/>
      <c r="I2" s="2416"/>
      <c r="J2" s="2416"/>
      <c r="K2" s="2416"/>
      <c r="L2" s="2416"/>
    </row>
    <row r="3" spans="1:29" ht="13.5" customHeight="1" x14ac:dyDescent="0.2">
      <c r="A3" s="2402" t="s">
        <v>1190</v>
      </c>
      <c r="B3" s="2402"/>
      <c r="C3" s="2402"/>
      <c r="D3" s="2402"/>
      <c r="E3" s="2402"/>
      <c r="F3" s="2402"/>
      <c r="G3" s="2402"/>
      <c r="H3" s="2402"/>
      <c r="I3" s="2402"/>
      <c r="J3" s="2402"/>
      <c r="K3" s="2402"/>
      <c r="L3" s="2402"/>
    </row>
    <row r="4" spans="1:29" ht="13.5" customHeight="1" x14ac:dyDescent="0.2">
      <c r="A4" s="2416" t="s">
        <v>1987</v>
      </c>
      <c r="B4" s="2433"/>
      <c r="C4" s="2433"/>
      <c r="D4" s="2433"/>
      <c r="E4" s="2433"/>
      <c r="F4" s="2433"/>
      <c r="G4" s="2433"/>
      <c r="H4" s="2433"/>
      <c r="I4" s="2433"/>
      <c r="J4" s="2433"/>
      <c r="K4" s="2433"/>
      <c r="L4" s="243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6" t="str">
        <f>COVER!A17</f>
        <v>Charleston CUSD 1</v>
      </c>
      <c r="B7" s="2397"/>
      <c r="C7" s="2397"/>
      <c r="D7" s="2434"/>
      <c r="E7" s="2435">
        <f>COVER!A13</f>
        <v>11015001026</v>
      </c>
      <c r="F7" s="2436"/>
      <c r="G7" s="2403" t="str">
        <f>COVER!T23</f>
        <v>66-003998</v>
      </c>
      <c r="H7" s="2404"/>
      <c r="I7" s="2404"/>
      <c r="J7" s="2404"/>
      <c r="K7" s="2404"/>
      <c r="L7" s="240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6"/>
      <c r="B9" s="2407"/>
      <c r="C9" s="2407"/>
      <c r="D9" s="2407"/>
      <c r="E9" s="2407"/>
      <c r="F9" s="2408"/>
      <c r="G9" s="2409" t="str">
        <f>COVER!T13</f>
        <v>Kemper CPA Group, LLP</v>
      </c>
      <c r="H9" s="2410"/>
      <c r="I9" s="2410"/>
      <c r="J9" s="2410"/>
      <c r="K9" s="2410"/>
      <c r="L9" s="2411"/>
    </row>
    <row r="10" spans="1:29" ht="13.5" customHeight="1" x14ac:dyDescent="0.2">
      <c r="A10" s="2393" t="str">
        <f>COVER!A38</f>
        <v>Todd Vilardo</v>
      </c>
      <c r="B10" s="2394"/>
      <c r="C10" s="2394"/>
      <c r="D10" s="2394"/>
      <c r="E10" s="2394"/>
      <c r="F10" s="2395"/>
      <c r="G10" s="2409" t="str">
        <f>COVER!T17</f>
        <v>80 Broadway Ave, Ste #102</v>
      </c>
      <c r="H10" s="2422"/>
      <c r="I10" s="2422"/>
      <c r="J10" s="2422"/>
      <c r="K10" s="2422"/>
      <c r="L10" s="2423"/>
    </row>
    <row r="11" spans="1:29" ht="13.5" customHeight="1" x14ac:dyDescent="0.2">
      <c r="A11" s="1184" t="s">
        <v>1519</v>
      </c>
      <c r="B11" s="1185"/>
      <c r="C11" s="1186"/>
      <c r="D11" s="1191"/>
      <c r="E11" s="1186"/>
      <c r="F11" s="1190"/>
      <c r="G11" s="2409" t="str">
        <f>COVER!T19</f>
        <v>Mattoon</v>
      </c>
      <c r="H11" s="2422"/>
      <c r="I11" s="2422"/>
      <c r="J11" s="2422"/>
      <c r="K11" s="2422"/>
      <c r="L11" s="2423"/>
    </row>
    <row r="12" spans="1:29" ht="13.5" customHeight="1" x14ac:dyDescent="0.2">
      <c r="A12" s="2427" t="s">
        <v>1518</v>
      </c>
      <c r="B12" s="2428"/>
      <c r="C12" s="2428"/>
      <c r="D12" s="2428"/>
      <c r="E12" s="2428"/>
      <c r="F12" s="2429"/>
      <c r="G12" s="2424"/>
      <c r="H12" s="2425"/>
      <c r="I12" s="2425"/>
      <c r="J12" s="2425"/>
      <c r="K12" s="2425"/>
      <c r="L12" s="2426"/>
    </row>
    <row r="13" spans="1:29" ht="13.5" customHeight="1" x14ac:dyDescent="0.2">
      <c r="A13" s="2409"/>
      <c r="B13" s="2422"/>
      <c r="C13" s="2422"/>
      <c r="D13" s="2422"/>
      <c r="E13" s="2422"/>
      <c r="F13" s="2423"/>
      <c r="G13" s="2417" t="s">
        <v>1520</v>
      </c>
      <c r="H13" s="2418"/>
      <c r="I13" s="2430" t="str">
        <f>COVER!T25</f>
        <v>tknight@kempercpa.com</v>
      </c>
      <c r="J13" s="2431"/>
      <c r="K13" s="2431"/>
      <c r="L13" s="2432"/>
    </row>
    <row r="14" spans="1:29" ht="13.5" customHeight="1" x14ac:dyDescent="0.2">
      <c r="A14" s="2409" t="str">
        <f>COVER!A19</f>
        <v>410 West Polk Avenue</v>
      </c>
      <c r="B14" s="2422"/>
      <c r="C14" s="2422"/>
      <c r="D14" s="2422"/>
      <c r="E14" s="2422"/>
      <c r="F14" s="2423"/>
      <c r="G14" s="1195" t="s">
        <v>1185</v>
      </c>
      <c r="H14" s="1193"/>
      <c r="I14" s="1193"/>
      <c r="J14" s="1193"/>
      <c r="K14" s="1193"/>
      <c r="L14" s="1194"/>
    </row>
    <row r="15" spans="1:29" ht="13.5" customHeight="1" x14ac:dyDescent="0.2">
      <c r="A15" s="2409" t="str">
        <f>COVER!A21</f>
        <v>Charleston</v>
      </c>
      <c r="B15" s="2422"/>
      <c r="C15" s="2422"/>
      <c r="D15" s="2422"/>
      <c r="E15" s="2422"/>
      <c r="F15" s="2423"/>
      <c r="G15" s="2419" t="str">
        <f>COVER!T15</f>
        <v>Tami Knight, CPA</v>
      </c>
      <c r="H15" s="2420"/>
      <c r="I15" s="2420"/>
      <c r="J15" s="2420"/>
      <c r="K15" s="2420"/>
      <c r="L15" s="2421"/>
    </row>
    <row r="16" spans="1:29" ht="12.2" customHeight="1" x14ac:dyDescent="0.2">
      <c r="A16" s="2399">
        <f>COVER!A25</f>
        <v>61920</v>
      </c>
      <c r="B16" s="2400"/>
      <c r="C16" s="2400"/>
      <c r="D16" s="2400"/>
      <c r="E16" s="2400"/>
      <c r="F16" s="2401"/>
      <c r="G16" s="2412"/>
      <c r="H16" s="2413"/>
      <c r="I16" s="2413"/>
      <c r="J16" s="2413"/>
      <c r="K16" s="2413"/>
      <c r="L16" s="2414"/>
    </row>
    <row r="17" spans="1:13" ht="12.2" customHeight="1" x14ac:dyDescent="0.2">
      <c r="A17" s="2415"/>
      <c r="B17" s="2400"/>
      <c r="C17" s="2400"/>
      <c r="D17" s="2400"/>
      <c r="E17" s="2400"/>
      <c r="F17" s="2401"/>
      <c r="G17" s="1195" t="s">
        <v>1184</v>
      </c>
      <c r="H17" s="1193"/>
      <c r="I17" s="1193"/>
      <c r="J17" s="1193"/>
      <c r="K17" s="1197" t="s">
        <v>1183</v>
      </c>
      <c r="L17" s="1190"/>
      <c r="M17" s="1183"/>
    </row>
    <row r="18" spans="1:13" ht="12.2" customHeight="1" x14ac:dyDescent="0.2">
      <c r="A18" s="2393"/>
      <c r="B18" s="2394"/>
      <c r="C18" s="2394"/>
      <c r="D18" s="2394"/>
      <c r="E18" s="2394"/>
      <c r="F18" s="2395"/>
      <c r="G18" s="2396" t="str">
        <f>COVER!T21</f>
        <v>217-234-8801</v>
      </c>
      <c r="H18" s="2397"/>
      <c r="I18" s="2397"/>
      <c r="J18" s="2397"/>
      <c r="K18" s="2396" t="str">
        <f>COVER!X21</f>
        <v>217-234-8803</v>
      </c>
      <c r="L18" s="239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2065</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2065</v>
      </c>
      <c r="C26" s="1202" t="s">
        <v>1699</v>
      </c>
    </row>
    <row r="27" spans="1:13" s="1198" customFormat="1" ht="9" customHeight="1" x14ac:dyDescent="0.2">
      <c r="B27" s="1203"/>
      <c r="C27" s="1202"/>
    </row>
    <row r="28" spans="1:13" s="1198" customFormat="1" ht="12.2" customHeight="1" x14ac:dyDescent="0.2">
      <c r="A28" s="1205"/>
      <c r="B28" s="1201" t="s">
        <v>2065</v>
      </c>
      <c r="C28" s="1202" t="s">
        <v>1700</v>
      </c>
    </row>
    <row r="29" spans="1:13" s="1198" customFormat="1" ht="9" customHeight="1" x14ac:dyDescent="0.2">
      <c r="A29" s="1205"/>
      <c r="B29" s="1203"/>
      <c r="C29" s="1202"/>
    </row>
    <row r="30" spans="1:13" s="1198" customFormat="1" ht="12.2" customHeight="1" x14ac:dyDescent="0.2">
      <c r="B30" s="1201" t="s">
        <v>2065</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2065</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2065</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2065</v>
      </c>
      <c r="C38" s="1202" t="s">
        <v>1566</v>
      </c>
    </row>
    <row r="39" spans="1:8" ht="9" customHeight="1" x14ac:dyDescent="0.2">
      <c r="B39" s="1203"/>
      <c r="C39" s="1206"/>
    </row>
    <row r="40" spans="1:8" s="1198" customFormat="1" ht="13.5" customHeight="1" x14ac:dyDescent="0.2">
      <c r="B40" s="1201" t="s">
        <v>2065</v>
      </c>
      <c r="C40" s="1202" t="s">
        <v>1567</v>
      </c>
    </row>
    <row r="41" spans="1:8" ht="9" customHeight="1" x14ac:dyDescent="0.2">
      <c r="A41" s="1207"/>
      <c r="B41" s="1203"/>
      <c r="C41" s="1206"/>
    </row>
    <row r="42" spans="1:8" s="1198" customFormat="1" ht="13.5" customHeight="1" x14ac:dyDescent="0.2">
      <c r="B42" s="1201" t="s">
        <v>2065</v>
      </c>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topLeftCell="A51" zoomScale="125" zoomScaleNormal="125" workbookViewId="0">
      <selection activeCell="K130" sqref="K130"/>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7" t="str">
        <f>'Single Audit Cover'!A7</f>
        <v>Charleston CUSD 1</v>
      </c>
      <c r="B1" s="2433"/>
      <c r="C1" s="2433"/>
      <c r="D1" s="2433"/>
    </row>
    <row r="2" spans="1:11" s="1212" customFormat="1" ht="12.75" x14ac:dyDescent="0.2">
      <c r="A2" s="2438">
        <f>'Single Audit Cover'!E7</f>
        <v>11015001026</v>
      </c>
      <c r="B2" s="2439"/>
      <c r="C2" s="2439"/>
      <c r="D2" s="2439"/>
    </row>
    <row r="3" spans="1:11" s="1212" customFormat="1" ht="12.75" x14ac:dyDescent="0.2">
      <c r="A3" s="2437" t="s">
        <v>1513</v>
      </c>
      <c r="B3" s="2433"/>
      <c r="C3" s="2433"/>
      <c r="D3" s="2433"/>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2065</v>
      </c>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2065</v>
      </c>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2065</v>
      </c>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2065</v>
      </c>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2065</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2065</v>
      </c>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2065</v>
      </c>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2065</v>
      </c>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t="s">
        <v>2065</v>
      </c>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t="s">
        <v>2065</v>
      </c>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t="s">
        <v>2065</v>
      </c>
      <c r="C42" s="1229">
        <v>11</v>
      </c>
      <c r="D42" s="1240" t="s">
        <v>1574</v>
      </c>
      <c r="E42" s="312"/>
    </row>
    <row r="43" spans="1:5" ht="3" customHeight="1" x14ac:dyDescent="0.2">
      <c r="A43" s="1219"/>
      <c r="B43" s="1236"/>
      <c r="C43" s="1237"/>
      <c r="D43" s="1218"/>
    </row>
    <row r="44" spans="1:5" x14ac:dyDescent="0.2">
      <c r="A44" s="1219"/>
      <c r="B44" s="1222" t="s">
        <v>2065</v>
      </c>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2065</v>
      </c>
      <c r="C48" s="1223">
        <f>C44+1</f>
        <v>13</v>
      </c>
      <c r="D48" s="1234" t="s">
        <v>1575</v>
      </c>
    </row>
    <row r="49" spans="1:4" ht="3" customHeight="1" x14ac:dyDescent="0.2">
      <c r="A49" s="1219"/>
      <c r="B49" s="1226"/>
      <c r="C49" s="1223"/>
      <c r="D49" s="1234"/>
    </row>
    <row r="50" spans="1:4" x14ac:dyDescent="0.2">
      <c r="A50" s="1219"/>
      <c r="B50" s="1222" t="s">
        <v>2065</v>
      </c>
      <c r="C50" s="1223">
        <f>C48+1</f>
        <v>14</v>
      </c>
      <c r="D50" s="1234" t="s">
        <v>1212</v>
      </c>
    </row>
    <row r="51" spans="1:4" ht="3" customHeight="1" x14ac:dyDescent="0.2">
      <c r="A51" s="1219"/>
      <c r="B51" s="1226"/>
      <c r="C51" s="1223"/>
      <c r="D51" s="1234"/>
    </row>
    <row r="52" spans="1:4" x14ac:dyDescent="0.2">
      <c r="A52" s="1219"/>
      <c r="B52" s="1222" t="s">
        <v>2065</v>
      </c>
      <c r="C52" s="1223">
        <f>C50+1</f>
        <v>15</v>
      </c>
      <c r="D52" s="1234" t="s">
        <v>1211</v>
      </c>
    </row>
    <row r="53" spans="1:4" ht="3" customHeight="1" x14ac:dyDescent="0.2">
      <c r="A53" s="1219"/>
      <c r="B53" s="1226"/>
      <c r="C53" s="1223"/>
      <c r="D53" s="1234"/>
    </row>
    <row r="54" spans="1:4" x14ac:dyDescent="0.2">
      <c r="A54" s="1219"/>
      <c r="B54" s="1222" t="s">
        <v>2065</v>
      </c>
      <c r="C54" s="1223">
        <f>C52+1</f>
        <v>16</v>
      </c>
      <c r="D54" s="1234" t="s">
        <v>1210</v>
      </c>
    </row>
    <row r="55" spans="1:4" ht="3" customHeight="1" x14ac:dyDescent="0.2">
      <c r="A55" s="1219"/>
      <c r="B55" s="1226"/>
      <c r="C55" s="1223"/>
      <c r="D55" s="1234"/>
    </row>
    <row r="56" spans="1:4" x14ac:dyDescent="0.2">
      <c r="A56" s="1219"/>
      <c r="B56" s="1222" t="s">
        <v>2065</v>
      </c>
      <c r="C56" s="1223">
        <f>C54+1</f>
        <v>17</v>
      </c>
      <c r="D56" s="1218" t="s">
        <v>1708</v>
      </c>
    </row>
    <row r="57" spans="1:4" ht="10.5" customHeight="1" x14ac:dyDescent="0.2">
      <c r="A57" s="1219"/>
      <c r="D57" s="1234" t="s">
        <v>1709</v>
      </c>
    </row>
    <row r="58" spans="1:4" x14ac:dyDescent="0.2">
      <c r="A58" s="1219"/>
      <c r="C58" s="1241" t="s">
        <v>2065</v>
      </c>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t="s">
        <v>2065</v>
      </c>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t="s">
        <v>2065</v>
      </c>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t="s">
        <v>2065</v>
      </c>
      <c r="D69" s="1234" t="s">
        <v>1713</v>
      </c>
    </row>
    <row r="70" spans="1:4" x14ac:dyDescent="0.2">
      <c r="A70" s="1219"/>
      <c r="D70" s="1243" t="s">
        <v>1206</v>
      </c>
    </row>
    <row r="71" spans="1:4" ht="3" customHeight="1" x14ac:dyDescent="0.2">
      <c r="A71" s="1219"/>
      <c r="D71" s="1218"/>
    </row>
    <row r="72" spans="1:4" x14ac:dyDescent="0.2">
      <c r="A72" s="1219"/>
      <c r="B72" s="1222" t="s">
        <v>2065</v>
      </c>
      <c r="C72" s="1223">
        <f>C56+1</f>
        <v>18</v>
      </c>
      <c r="D72" s="1244" t="s">
        <v>1714</v>
      </c>
    </row>
    <row r="73" spans="1:4" ht="3" customHeight="1" x14ac:dyDescent="0.2">
      <c r="A73" s="1219"/>
      <c r="B73" s="1226"/>
      <c r="C73" s="1223"/>
      <c r="D73" s="1244"/>
    </row>
    <row r="74" spans="1:4" x14ac:dyDescent="0.2">
      <c r="A74" s="1219"/>
      <c r="B74" s="1222" t="s">
        <v>2065</v>
      </c>
      <c r="C74" s="1223">
        <f>C72+1</f>
        <v>19</v>
      </c>
      <c r="D74" s="1234" t="s">
        <v>1205</v>
      </c>
    </row>
    <row r="75" spans="1:4" ht="3" customHeight="1" x14ac:dyDescent="0.2">
      <c r="A75" s="1219"/>
      <c r="B75" s="1226"/>
      <c r="C75" s="1223"/>
      <c r="D75" s="1234"/>
    </row>
    <row r="76" spans="1:4" x14ac:dyDescent="0.2">
      <c r="A76" s="1219"/>
      <c r="B76" s="1222" t="s">
        <v>2065</v>
      </c>
      <c r="C76" s="1223">
        <f>C74+1</f>
        <v>20</v>
      </c>
      <c r="D76" s="1245" t="s">
        <v>1715</v>
      </c>
    </row>
    <row r="77" spans="1:4" ht="3" customHeight="1" x14ac:dyDescent="0.2">
      <c r="A77" s="1219"/>
      <c r="B77" s="1226"/>
      <c r="C77" s="1223"/>
      <c r="D77" s="1245"/>
    </row>
    <row r="78" spans="1:4" x14ac:dyDescent="0.2">
      <c r="A78" s="1219"/>
      <c r="B78" s="1222" t="s">
        <v>2065</v>
      </c>
      <c r="C78" s="1223">
        <f>C76+1</f>
        <v>21</v>
      </c>
      <c r="D78" s="1218" t="s">
        <v>1716</v>
      </c>
    </row>
    <row r="79" spans="1:4" ht="3" customHeight="1" x14ac:dyDescent="0.2">
      <c r="A79" s="1219"/>
      <c r="B79" s="1226"/>
      <c r="C79" s="1223"/>
      <c r="D79" s="1218"/>
    </row>
    <row r="80" spans="1:4" x14ac:dyDescent="0.2">
      <c r="A80" s="1219"/>
      <c r="B80" s="1222" t="s">
        <v>2065</v>
      </c>
      <c r="C80" s="1223">
        <f>C78+1</f>
        <v>22</v>
      </c>
      <c r="D80" s="1246" t="s">
        <v>1717</v>
      </c>
    </row>
    <row r="81" spans="1:4" ht="3" customHeight="1" x14ac:dyDescent="0.2">
      <c r="A81" s="1219"/>
      <c r="B81" s="1226"/>
      <c r="C81" s="1223"/>
      <c r="D81" s="1246"/>
    </row>
    <row r="82" spans="1:4" x14ac:dyDescent="0.2">
      <c r="A82" s="1219"/>
      <c r="B82" s="1222" t="s">
        <v>2065</v>
      </c>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t="s">
        <v>2065</v>
      </c>
      <c r="C85" s="1223">
        <f>C82+1</f>
        <v>24</v>
      </c>
      <c r="D85" s="1234" t="s">
        <v>1203</v>
      </c>
    </row>
    <row r="86" spans="1:4" ht="3" customHeight="1" x14ac:dyDescent="0.2">
      <c r="A86" s="1219"/>
      <c r="B86" s="1226"/>
      <c r="C86" s="1223"/>
      <c r="D86" s="1234"/>
    </row>
    <row r="87" spans="1:4" x14ac:dyDescent="0.2">
      <c r="A87" s="1219"/>
      <c r="B87" s="1222" t="s">
        <v>2065</v>
      </c>
      <c r="C87" s="1223">
        <f>C85+1</f>
        <v>25</v>
      </c>
      <c r="D87" s="1234" t="s">
        <v>1202</v>
      </c>
    </row>
    <row r="88" spans="1:4" ht="3" customHeight="1" x14ac:dyDescent="0.2">
      <c r="A88" s="1219"/>
      <c r="B88" s="1226"/>
      <c r="C88" s="1223"/>
      <c r="D88" s="1234"/>
    </row>
    <row r="89" spans="1:4" x14ac:dyDescent="0.2">
      <c r="A89" s="1219"/>
      <c r="B89" s="1222" t="s">
        <v>2065</v>
      </c>
      <c r="C89" s="1223">
        <f>C87+1</f>
        <v>26</v>
      </c>
      <c r="D89" s="1234" t="s">
        <v>1201</v>
      </c>
    </row>
    <row r="90" spans="1:4" ht="3" customHeight="1" x14ac:dyDescent="0.2">
      <c r="A90" s="1219"/>
      <c r="B90" s="1226"/>
      <c r="C90" s="1223"/>
      <c r="D90" s="1234"/>
    </row>
    <row r="91" spans="1:4" x14ac:dyDescent="0.2">
      <c r="A91" s="1219"/>
      <c r="B91" s="1222" t="s">
        <v>2065</v>
      </c>
      <c r="C91" s="1223">
        <f>C89+1</f>
        <v>27</v>
      </c>
      <c r="D91" s="1234" t="s">
        <v>1719</v>
      </c>
    </row>
    <row r="92" spans="1:4" x14ac:dyDescent="0.2">
      <c r="A92" s="1219"/>
      <c r="B92" s="1247"/>
      <c r="C92" s="1241" t="s">
        <v>2065</v>
      </c>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t="s">
        <v>2065</v>
      </c>
      <c r="C96" s="1223">
        <f>C91+1</f>
        <v>28</v>
      </c>
      <c r="D96" s="1234" t="s">
        <v>1720</v>
      </c>
    </row>
    <row r="97" spans="1:4" ht="3" customHeight="1" x14ac:dyDescent="0.2">
      <c r="A97" s="1219"/>
      <c r="B97" s="1226"/>
      <c r="C97" s="1223"/>
      <c r="D97" s="1234"/>
    </row>
    <row r="98" spans="1:4" x14ac:dyDescent="0.2">
      <c r="A98" s="1219"/>
      <c r="B98" s="1222" t="s">
        <v>2065</v>
      </c>
      <c r="C98" s="1223">
        <f>C96+1</f>
        <v>29</v>
      </c>
      <c r="D98" s="1248" t="s">
        <v>1721</v>
      </c>
    </row>
    <row r="99" spans="1:4" ht="3" customHeight="1" x14ac:dyDescent="0.2">
      <c r="A99" s="1219"/>
      <c r="B99" s="1226"/>
      <c r="C99" s="1223"/>
      <c r="D99" s="1248"/>
    </row>
    <row r="100" spans="1:4" x14ac:dyDescent="0.2">
      <c r="A100" s="1219"/>
      <c r="B100" s="1222" t="s">
        <v>2065</v>
      </c>
      <c r="C100" s="1223">
        <f>C98+1</f>
        <v>30</v>
      </c>
      <c r="D100" s="1234" t="s">
        <v>1722</v>
      </c>
    </row>
    <row r="101" spans="1:4" ht="3" customHeight="1" x14ac:dyDescent="0.2">
      <c r="A101" s="1219"/>
      <c r="B101" s="1226"/>
      <c r="C101" s="1223"/>
      <c r="D101" s="1249"/>
    </row>
    <row r="102" spans="1:4" x14ac:dyDescent="0.2">
      <c r="A102" s="1219"/>
      <c r="B102" s="1222" t="s">
        <v>2065</v>
      </c>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t="s">
        <v>2065</v>
      </c>
      <c r="C106" s="1223">
        <f>C102+1</f>
        <v>32</v>
      </c>
      <c r="D106" s="1218" t="s">
        <v>1580</v>
      </c>
    </row>
    <row r="107" spans="1:4" ht="3" customHeight="1" x14ac:dyDescent="0.2">
      <c r="A107" s="1219"/>
      <c r="B107" s="1226"/>
      <c r="C107" s="1223"/>
      <c r="D107" s="1218"/>
    </row>
    <row r="108" spans="1:4" x14ac:dyDescent="0.2">
      <c r="A108" s="1219"/>
      <c r="B108" s="1222" t="s">
        <v>2065</v>
      </c>
      <c r="C108" s="1223">
        <v>33</v>
      </c>
      <c r="D108" s="1218" t="s">
        <v>1723</v>
      </c>
    </row>
    <row r="109" spans="1:4" ht="3" customHeight="1" x14ac:dyDescent="0.2">
      <c r="A109" s="1219"/>
      <c r="B109" s="1226"/>
      <c r="C109" s="1223"/>
      <c r="D109" s="1218"/>
    </row>
    <row r="110" spans="1:4" x14ac:dyDescent="0.2">
      <c r="A110" s="1219"/>
      <c r="B110" s="1222" t="s">
        <v>2065</v>
      </c>
      <c r="C110" s="1223">
        <f>C108+1</f>
        <v>34</v>
      </c>
      <c r="D110" s="1218" t="s">
        <v>1198</v>
      </c>
    </row>
    <row r="111" spans="1:4" ht="3" customHeight="1" x14ac:dyDescent="0.2">
      <c r="A111" s="1219"/>
      <c r="B111" s="1226"/>
      <c r="C111" s="1223"/>
      <c r="D111" s="1218"/>
    </row>
    <row r="112" spans="1:4" x14ac:dyDescent="0.2">
      <c r="A112" s="1219"/>
      <c r="B112" s="1222" t="s">
        <v>2065</v>
      </c>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t="s">
        <v>2065</v>
      </c>
      <c r="C115" s="1223">
        <f>C112+1</f>
        <v>36</v>
      </c>
      <c r="D115" s="1234" t="s">
        <v>1195</v>
      </c>
    </row>
    <row r="116" spans="1:4" ht="3" customHeight="1" x14ac:dyDescent="0.2">
      <c r="A116" s="1219"/>
      <c r="B116" s="1226"/>
      <c r="C116" s="1223"/>
      <c r="D116" s="1234"/>
    </row>
    <row r="117" spans="1:4" x14ac:dyDescent="0.2">
      <c r="A117" s="1219"/>
      <c r="B117" s="1222" t="s">
        <v>2065</v>
      </c>
      <c r="C117" s="1223">
        <f>C115+1</f>
        <v>37</v>
      </c>
      <c r="D117" s="1234" t="s">
        <v>1724</v>
      </c>
    </row>
    <row r="118" spans="1:4" ht="3" customHeight="1" x14ac:dyDescent="0.2">
      <c r="A118" s="1219"/>
      <c r="B118" s="1226"/>
      <c r="C118" s="1223"/>
      <c r="D118" s="1234"/>
    </row>
    <row r="119" spans="1:4" x14ac:dyDescent="0.2">
      <c r="A119" s="1219"/>
      <c r="B119" s="1222" t="s">
        <v>2065</v>
      </c>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t="s">
        <v>2065</v>
      </c>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G25" sqref="G2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1" t="str">
        <f>'Single Audit Cover'!A7</f>
        <v>Charleston CUSD 1</v>
      </c>
      <c r="B1" s="2441"/>
      <c r="C1" s="2441"/>
      <c r="D1" s="2441"/>
      <c r="E1" s="2441"/>
    </row>
    <row r="2" spans="1:5" x14ac:dyDescent="0.2">
      <c r="A2" s="2442">
        <f>'Single Audit Cover'!E7</f>
        <v>11015001026</v>
      </c>
      <c r="B2" s="2442"/>
      <c r="C2" s="2442"/>
      <c r="D2" s="2442"/>
      <c r="E2" s="2442"/>
    </row>
    <row r="3" spans="1:5" ht="4.5" customHeight="1" x14ac:dyDescent="0.2"/>
    <row r="4" spans="1:5" x14ac:dyDescent="0.2">
      <c r="A4" s="2441" t="s">
        <v>1245</v>
      </c>
      <c r="B4" s="2441"/>
      <c r="C4" s="2441"/>
      <c r="D4" s="2441"/>
      <c r="E4" s="2441"/>
    </row>
    <row r="5" spans="1:5" x14ac:dyDescent="0.2">
      <c r="A5" s="2444" t="str">
        <f>'Single Audit Cover'!A4</f>
        <v>Year Ending June 30, 2019</v>
      </c>
      <c r="B5" s="2444"/>
      <c r="C5" s="2444"/>
      <c r="D5" s="2444"/>
      <c r="E5" s="2444"/>
    </row>
    <row r="6" spans="1:5" x14ac:dyDescent="0.2">
      <c r="A6" s="2441" t="s">
        <v>1244</v>
      </c>
      <c r="B6" s="2441"/>
      <c r="C6" s="2441"/>
      <c r="D6" s="2441"/>
      <c r="E6" s="2441"/>
    </row>
    <row r="8" spans="1:5" x14ac:dyDescent="0.2">
      <c r="A8" s="1257" t="s">
        <v>1243</v>
      </c>
    </row>
    <row r="10" spans="1:5" x14ac:dyDescent="0.2">
      <c r="A10" s="1258" t="s">
        <v>1242</v>
      </c>
      <c r="B10" s="1259" t="s">
        <v>1241</v>
      </c>
      <c r="C10" s="1259"/>
      <c r="D10" s="1260">
        <f>SUM('Acct Summary 7-8'!C7:K7)</f>
        <v>1639559</v>
      </c>
    </row>
    <row r="11" spans="1:5" ht="18" customHeight="1" x14ac:dyDescent="0.2">
      <c r="A11" s="1258" t="s">
        <v>1240</v>
      </c>
      <c r="B11" s="1259"/>
      <c r="C11" s="1259"/>
    </row>
    <row r="12" spans="1:5" x14ac:dyDescent="0.2">
      <c r="A12" s="1258" t="s">
        <v>1239</v>
      </c>
      <c r="B12" s="1259" t="s">
        <v>1238</v>
      </c>
      <c r="C12" s="1259"/>
      <c r="D12" s="1261">
        <f>SUM('Revenues 9-14'!C112:D112,'Revenues 9-14'!F112:G112)</f>
        <v>227000</v>
      </c>
    </row>
    <row r="13" spans="1:5" x14ac:dyDescent="0.2">
      <c r="A13" s="1258" t="s">
        <v>1237</v>
      </c>
      <c r="B13" s="1259"/>
      <c r="C13" s="1259"/>
    </row>
    <row r="14" spans="1:5" x14ac:dyDescent="0.2">
      <c r="A14" s="1258" t="s">
        <v>1727</v>
      </c>
      <c r="B14" s="1259"/>
      <c r="C14" s="1259"/>
      <c r="D14" s="1261">
        <f>'ICR Computation 30'!E11</f>
        <v>72372</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-90943</v>
      </c>
    </row>
    <row r="19" spans="1:4" ht="13.5" thickBot="1" x14ac:dyDescent="0.25">
      <c r="A19" s="1262" t="s">
        <v>1235</v>
      </c>
      <c r="D19" s="1263">
        <f>SUM(D10:D17)</f>
        <v>1847988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3"/>
      <c r="B24" s="2443"/>
      <c r="D24" s="1265"/>
    </row>
    <row r="25" spans="1:4" x14ac:dyDescent="0.2">
      <c r="A25" s="2440"/>
      <c r="B25" s="2440"/>
      <c r="D25" s="1265"/>
    </row>
    <row r="26" spans="1:4" x14ac:dyDescent="0.2">
      <c r="A26" s="2440"/>
      <c r="B26" s="2440"/>
      <c r="D26" s="1265"/>
    </row>
    <row r="27" spans="1:4" x14ac:dyDescent="0.2">
      <c r="A27" s="2440"/>
      <c r="B27" s="2440"/>
      <c r="D27" s="1265"/>
    </row>
    <row r="28" spans="1:4" x14ac:dyDescent="0.2">
      <c r="A28" s="2440"/>
      <c r="B28" s="2440"/>
      <c r="D28" s="1265"/>
    </row>
    <row r="29" spans="1:4" x14ac:dyDescent="0.2">
      <c r="A29" s="2440"/>
      <c r="B29" s="2440"/>
      <c r="D29" s="1265"/>
    </row>
    <row r="30" spans="1:4" x14ac:dyDescent="0.2">
      <c r="A30" s="2440"/>
      <c r="B30" s="2440"/>
      <c r="D30" s="1265"/>
    </row>
    <row r="32" spans="1:4" x14ac:dyDescent="0.2">
      <c r="A32" s="1257" t="s">
        <v>1233</v>
      </c>
      <c r="D32" s="1260">
        <f>SUM(D19:D30)</f>
        <v>1847988</v>
      </c>
    </row>
    <row r="33" spans="1:4" x14ac:dyDescent="0.2">
      <c r="D33" s="1266"/>
    </row>
    <row r="34" spans="1:4" x14ac:dyDescent="0.2">
      <c r="A34" s="317" t="s">
        <v>1232</v>
      </c>
    </row>
    <row r="35" spans="1:4" x14ac:dyDescent="0.2">
      <c r="A35" s="317" t="s">
        <v>1231</v>
      </c>
      <c r="B35" s="1255" t="s">
        <v>1230</v>
      </c>
      <c r="D35" s="1267">
        <v>1847988</v>
      </c>
    </row>
    <row r="37" spans="1:4" x14ac:dyDescent="0.2">
      <c r="A37" s="1257" t="s">
        <v>1229</v>
      </c>
    </row>
    <row r="39" spans="1:4" ht="13.35" customHeight="1" x14ac:dyDescent="0.2">
      <c r="A39" s="1264" t="s">
        <v>1228</v>
      </c>
    </row>
    <row r="40" spans="1:4" x14ac:dyDescent="0.2">
      <c r="A40" s="2440"/>
      <c r="B40" s="2440"/>
      <c r="D40" s="1265"/>
    </row>
    <row r="41" spans="1:4" x14ac:dyDescent="0.2">
      <c r="A41" s="2440"/>
      <c r="B41" s="2440"/>
      <c r="D41" s="1268"/>
    </row>
    <row r="42" spans="1:4" x14ac:dyDescent="0.2">
      <c r="A42" s="2440"/>
      <c r="B42" s="2440"/>
      <c r="D42" s="1268"/>
    </row>
    <row r="43" spans="1:4" x14ac:dyDescent="0.2">
      <c r="A43" s="2440"/>
      <c r="B43" s="2440"/>
      <c r="D43" s="1268"/>
    </row>
    <row r="44" spans="1:4" x14ac:dyDescent="0.2">
      <c r="A44" s="2440"/>
      <c r="B44" s="2440"/>
      <c r="D44" s="1268"/>
    </row>
    <row r="45" spans="1:4" x14ac:dyDescent="0.2">
      <c r="A45" s="2440"/>
      <c r="B45" s="2440"/>
      <c r="D45" s="1268"/>
    </row>
    <row r="47" spans="1:4" x14ac:dyDescent="0.2">
      <c r="B47" s="1269" t="s">
        <v>1227</v>
      </c>
      <c r="C47" s="1269"/>
      <c r="D47" s="1270">
        <f>SUM(D35:D45)</f>
        <v>1847988</v>
      </c>
    </row>
    <row r="49" spans="2:4" x14ac:dyDescent="0.2">
      <c r="B49" s="1269" t="s">
        <v>1226</v>
      </c>
      <c r="C49" s="1269"/>
      <c r="D49" s="1270">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B1:N168"/>
  <sheetViews>
    <sheetView showGridLines="0" topLeftCell="A16" zoomScaleNormal="100" workbookViewId="0">
      <selection activeCell="O19" sqref="O19"/>
    </sheetView>
  </sheetViews>
  <sheetFormatPr defaultColWidth="33.5703125" defaultRowHeight="12.75" x14ac:dyDescent="0.2"/>
  <cols>
    <col min="1" max="1" width="0.140625" style="317" customWidth="1"/>
    <col min="2" max="2" width="34.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2" t="str">
        <f>'Single Audit Cover'!A7</f>
        <v>Charleston CUSD 1</v>
      </c>
      <c r="C1" s="2445"/>
      <c r="D1" s="2445"/>
      <c r="E1" s="2445"/>
      <c r="F1" s="2445"/>
      <c r="G1" s="2445"/>
      <c r="H1" s="2445"/>
      <c r="I1" s="2445"/>
      <c r="J1" s="2445"/>
      <c r="K1" s="2445"/>
      <c r="L1" s="2445"/>
      <c r="M1" s="2445"/>
    </row>
    <row r="2" spans="2:14" ht="15" x14ac:dyDescent="0.2">
      <c r="B2" s="2446">
        <f>'Single Audit Cover'!E7</f>
        <v>11015001026</v>
      </c>
      <c r="C2" s="2446"/>
      <c r="D2" s="2446"/>
      <c r="E2" s="2446"/>
      <c r="F2" s="2446"/>
      <c r="G2" s="2446"/>
      <c r="H2" s="2446"/>
      <c r="I2" s="2446"/>
      <c r="J2" s="2446"/>
      <c r="K2" s="2446"/>
      <c r="L2" s="2446"/>
      <c r="M2" s="2446"/>
      <c r="N2" s="1299"/>
    </row>
    <row r="3" spans="2:14" ht="15" x14ac:dyDescent="0.2">
      <c r="B3" s="2447" t="s">
        <v>1219</v>
      </c>
      <c r="C3" s="2447"/>
      <c r="D3" s="2447"/>
      <c r="E3" s="2447"/>
      <c r="F3" s="2447"/>
      <c r="G3" s="2447"/>
      <c r="H3" s="2447"/>
      <c r="I3" s="2447"/>
      <c r="J3" s="2447"/>
      <c r="K3" s="2447"/>
      <c r="L3" s="2447"/>
      <c r="M3" s="2447"/>
      <c r="N3" s="1299"/>
    </row>
    <row r="4" spans="2:14" ht="15" x14ac:dyDescent="0.2">
      <c r="B4" s="2448" t="str">
        <f>'Single Audit Cover'!A4</f>
        <v>Year Ending June 30, 2019</v>
      </c>
      <c r="C4" s="2448"/>
      <c r="D4" s="2448"/>
      <c r="E4" s="2448"/>
      <c r="F4" s="2448"/>
      <c r="G4" s="2448"/>
      <c r="H4" s="2448"/>
      <c r="I4" s="2448"/>
      <c r="J4" s="2448"/>
      <c r="K4" s="2448"/>
      <c r="L4" s="2448"/>
      <c r="M4" s="2448"/>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1058</v>
      </c>
      <c r="C11" s="1335">
        <v>10.555</v>
      </c>
      <c r="D11" s="1336" t="s">
        <v>2089</v>
      </c>
      <c r="E11" s="1337"/>
      <c r="F11" s="1948">
        <v>420731</v>
      </c>
      <c r="G11" s="1337"/>
      <c r="H11" s="1337"/>
      <c r="I11" s="1337">
        <v>420731</v>
      </c>
      <c r="J11" s="1337"/>
      <c r="K11" s="1337"/>
      <c r="L11" s="1337">
        <f>+G11+I11+K11</f>
        <v>420731</v>
      </c>
      <c r="M11" s="1337"/>
    </row>
    <row r="12" spans="2:14" ht="20.100000000000001" customHeight="1" x14ac:dyDescent="0.2">
      <c r="B12" s="1334" t="s">
        <v>1058</v>
      </c>
      <c r="C12" s="1338">
        <v>10.555</v>
      </c>
      <c r="D12" s="1339" t="s">
        <v>2090</v>
      </c>
      <c r="E12" s="1340">
        <v>392047</v>
      </c>
      <c r="F12" s="1949">
        <v>98465</v>
      </c>
      <c r="G12" s="1340">
        <v>392047</v>
      </c>
      <c r="H12" s="1340"/>
      <c r="I12" s="1340">
        <v>98465</v>
      </c>
      <c r="J12" s="1340"/>
      <c r="K12" s="1340"/>
      <c r="L12" s="1337">
        <f t="shared" ref="L12:L26" si="0">+G12+I12+K12</f>
        <v>490512</v>
      </c>
      <c r="M12" s="1340"/>
    </row>
    <row r="13" spans="2:14" ht="20.100000000000001" customHeight="1" x14ac:dyDescent="0.2">
      <c r="B13" s="1334" t="s">
        <v>1059</v>
      </c>
      <c r="C13" s="1338">
        <v>10.553000000000001</v>
      </c>
      <c r="D13" s="1339" t="s">
        <v>2091</v>
      </c>
      <c r="E13" s="1340"/>
      <c r="F13" s="1949">
        <v>133518</v>
      </c>
      <c r="G13" s="1340"/>
      <c r="H13" s="1340"/>
      <c r="I13" s="1340">
        <v>135518</v>
      </c>
      <c r="J13" s="1340"/>
      <c r="K13" s="1340"/>
      <c r="L13" s="1337">
        <f t="shared" si="0"/>
        <v>135518</v>
      </c>
      <c r="M13" s="1340"/>
    </row>
    <row r="14" spans="2:14" ht="20.100000000000001" customHeight="1" x14ac:dyDescent="0.2">
      <c r="B14" s="1334" t="s">
        <v>1059</v>
      </c>
      <c r="C14" s="1338">
        <v>10.553000000000001</v>
      </c>
      <c r="D14" s="1339" t="s">
        <v>2092</v>
      </c>
      <c r="E14" s="1340">
        <v>124245</v>
      </c>
      <c r="F14" s="1949">
        <v>31205</v>
      </c>
      <c r="G14" s="1340">
        <v>124245</v>
      </c>
      <c r="H14" s="1340"/>
      <c r="I14" s="1340">
        <v>31205</v>
      </c>
      <c r="J14" s="1340"/>
      <c r="K14" s="1340"/>
      <c r="L14" s="1337">
        <f t="shared" si="0"/>
        <v>155450</v>
      </c>
      <c r="M14" s="1340"/>
    </row>
    <row r="15" spans="2:14" ht="20.100000000000001" customHeight="1" x14ac:dyDescent="0.2">
      <c r="B15" s="1334" t="s">
        <v>2083</v>
      </c>
      <c r="C15" s="1338">
        <v>10.555</v>
      </c>
      <c r="D15" s="1339" t="s">
        <v>2093</v>
      </c>
      <c r="E15" s="1340"/>
      <c r="F15" s="1949">
        <v>61433</v>
      </c>
      <c r="G15" s="1340"/>
      <c r="H15" s="1340"/>
      <c r="I15" s="1340">
        <v>61433</v>
      </c>
      <c r="J15" s="1340"/>
      <c r="K15" s="1340"/>
      <c r="L15" s="1337">
        <f t="shared" si="0"/>
        <v>61433</v>
      </c>
      <c r="M15" s="1340"/>
    </row>
    <row r="16" spans="2:14" ht="20.100000000000001" customHeight="1" x14ac:dyDescent="0.2">
      <c r="B16" s="1334" t="s">
        <v>2084</v>
      </c>
      <c r="C16" s="1338">
        <v>10.555</v>
      </c>
      <c r="D16" s="1339" t="s">
        <v>2093</v>
      </c>
      <c r="E16" s="1340"/>
      <c r="F16" s="1949">
        <v>10939</v>
      </c>
      <c r="G16" s="1340"/>
      <c r="H16" s="1340"/>
      <c r="I16" s="1340">
        <v>10939</v>
      </c>
      <c r="J16" s="1340"/>
      <c r="K16" s="1340"/>
      <c r="L16" s="1337">
        <f t="shared" si="0"/>
        <v>10939</v>
      </c>
      <c r="M16" s="1340"/>
    </row>
    <row r="17" spans="2:14" ht="20.100000000000001" customHeight="1" x14ac:dyDescent="0.2">
      <c r="B17" s="1334"/>
      <c r="C17" s="1338"/>
      <c r="D17" s="1339"/>
      <c r="E17" s="1340"/>
      <c r="F17" s="1949"/>
      <c r="G17" s="1340"/>
      <c r="H17" s="1340"/>
      <c r="I17" s="1340"/>
      <c r="J17" s="1340"/>
      <c r="K17" s="1340"/>
      <c r="L17" s="1337">
        <f t="shared" si="0"/>
        <v>0</v>
      </c>
      <c r="M17" s="1340"/>
    </row>
    <row r="18" spans="2:14" ht="20.100000000000001" customHeight="1" x14ac:dyDescent="0.2">
      <c r="B18" s="1334" t="s">
        <v>918</v>
      </c>
      <c r="C18" s="1338" t="s">
        <v>2183</v>
      </c>
      <c r="D18" s="1339" t="s">
        <v>2094</v>
      </c>
      <c r="E18" s="1340"/>
      <c r="F18" s="1949">
        <v>444689</v>
      </c>
      <c r="G18" s="1340"/>
      <c r="H18" s="1340"/>
      <c r="I18" s="1340">
        <v>668470</v>
      </c>
      <c r="J18" s="1340"/>
      <c r="K18" s="1340"/>
      <c r="L18" s="1337">
        <f t="shared" si="0"/>
        <v>668470</v>
      </c>
      <c r="M18" s="1340">
        <v>857406</v>
      </c>
    </row>
    <row r="19" spans="2:14" ht="20.100000000000001" customHeight="1" x14ac:dyDescent="0.2">
      <c r="B19" s="1334" t="s">
        <v>918</v>
      </c>
      <c r="C19" s="1338" t="s">
        <v>2183</v>
      </c>
      <c r="D19" s="1339" t="s">
        <v>2095</v>
      </c>
      <c r="E19" s="1340">
        <v>456663</v>
      </c>
      <c r="F19" s="1949">
        <v>126546</v>
      </c>
      <c r="G19" s="1340">
        <v>514438</v>
      </c>
      <c r="H19" s="1340"/>
      <c r="I19" s="1340">
        <v>68771</v>
      </c>
      <c r="J19" s="1340"/>
      <c r="K19" s="1340"/>
      <c r="L19" s="1337">
        <f t="shared" si="0"/>
        <v>583209</v>
      </c>
      <c r="M19" s="1340">
        <v>731409</v>
      </c>
    </row>
    <row r="20" spans="2:14" ht="20.100000000000001" customHeight="1" x14ac:dyDescent="0.2">
      <c r="B20" s="1334" t="s">
        <v>2085</v>
      </c>
      <c r="C20" s="1338" t="s">
        <v>2184</v>
      </c>
      <c r="D20" s="1339" t="s">
        <v>2096</v>
      </c>
      <c r="E20" s="1340"/>
      <c r="F20" s="1949">
        <v>63396</v>
      </c>
      <c r="G20" s="1340"/>
      <c r="H20" s="1340"/>
      <c r="I20" s="1340">
        <v>79997</v>
      </c>
      <c r="J20" s="1340"/>
      <c r="K20" s="1340"/>
      <c r="L20" s="1337">
        <f t="shared" si="0"/>
        <v>79997</v>
      </c>
      <c r="M20" s="1340">
        <v>137305</v>
      </c>
    </row>
    <row r="21" spans="2:14" ht="20.100000000000001" customHeight="1" x14ac:dyDescent="0.2">
      <c r="B21" s="1334"/>
      <c r="C21" s="1338"/>
      <c r="D21" s="1339"/>
      <c r="E21" s="1340"/>
      <c r="F21" s="1949"/>
      <c r="G21" s="1340"/>
      <c r="H21" s="1340"/>
      <c r="I21" s="1340"/>
      <c r="J21" s="1340"/>
      <c r="K21" s="1340"/>
      <c r="L21" s="1337">
        <f t="shared" si="0"/>
        <v>0</v>
      </c>
      <c r="M21" s="1340"/>
    </row>
    <row r="22" spans="2:14" ht="20.100000000000001" customHeight="1" x14ac:dyDescent="0.2">
      <c r="B22" s="1334" t="s">
        <v>758</v>
      </c>
      <c r="C22" s="1338" t="s">
        <v>2185</v>
      </c>
      <c r="D22" s="1339" t="s">
        <v>2097</v>
      </c>
      <c r="E22" s="1340"/>
      <c r="F22" s="1949">
        <v>100623</v>
      </c>
      <c r="G22" s="1340"/>
      <c r="H22" s="1340"/>
      <c r="I22" s="1340">
        <v>143707</v>
      </c>
      <c r="J22" s="1340"/>
      <c r="K22" s="1340"/>
      <c r="L22" s="1337">
        <f t="shared" si="0"/>
        <v>143707</v>
      </c>
      <c r="M22" s="1340">
        <v>224519</v>
      </c>
    </row>
    <row r="23" spans="2:14" ht="20.100000000000001" customHeight="1" x14ac:dyDescent="0.2">
      <c r="B23" s="1334" t="s">
        <v>758</v>
      </c>
      <c r="C23" s="1338" t="s">
        <v>2185</v>
      </c>
      <c r="D23" s="1339" t="s">
        <v>2098</v>
      </c>
      <c r="E23" s="1340">
        <v>43940</v>
      </c>
      <c r="F23" s="1949">
        <v>9604</v>
      </c>
      <c r="G23" s="1340">
        <v>52701</v>
      </c>
      <c r="H23" s="1340"/>
      <c r="I23" s="1340">
        <v>843</v>
      </c>
      <c r="J23" s="1340"/>
      <c r="K23" s="1340"/>
      <c r="L23" s="1337">
        <f t="shared" si="0"/>
        <v>53544</v>
      </c>
      <c r="M23" s="1340">
        <v>205227</v>
      </c>
    </row>
    <row r="24" spans="2:14" ht="20.100000000000001" customHeight="1" x14ac:dyDescent="0.2">
      <c r="B24" s="1334"/>
      <c r="C24" s="1338"/>
      <c r="D24" s="1339"/>
      <c r="E24" s="1340"/>
      <c r="F24" s="1949"/>
      <c r="G24" s="1340"/>
      <c r="H24" s="1340"/>
      <c r="I24" s="1340"/>
      <c r="J24" s="1340"/>
      <c r="K24" s="1340"/>
      <c r="L24" s="1337">
        <f t="shared" si="0"/>
        <v>0</v>
      </c>
      <c r="M24" s="1340"/>
    </row>
    <row r="25" spans="2:14" ht="20.100000000000001" customHeight="1" x14ac:dyDescent="0.2">
      <c r="B25" s="1334" t="s">
        <v>2086</v>
      </c>
      <c r="C25" s="1338" t="s">
        <v>2186</v>
      </c>
      <c r="D25" s="1339" t="s">
        <v>2099</v>
      </c>
      <c r="E25" s="1340"/>
      <c r="F25" s="1949">
        <v>19912</v>
      </c>
      <c r="G25" s="1340"/>
      <c r="H25" s="1340"/>
      <c r="I25" s="1340">
        <v>49236</v>
      </c>
      <c r="J25" s="1340"/>
      <c r="K25" s="1340"/>
      <c r="L25" s="1337">
        <f t="shared" si="0"/>
        <v>49236</v>
      </c>
      <c r="M25" s="1340">
        <v>66724</v>
      </c>
    </row>
    <row r="26" spans="2:14" ht="20.100000000000001" customHeight="1" x14ac:dyDescent="0.2">
      <c r="B26" s="1334" t="s">
        <v>2086</v>
      </c>
      <c r="C26" s="1338" t="s">
        <v>2186</v>
      </c>
      <c r="D26" s="1339" t="s">
        <v>2100</v>
      </c>
      <c r="E26" s="1340">
        <v>3649</v>
      </c>
      <c r="F26" s="1949">
        <v>3041</v>
      </c>
      <c r="G26" s="1340">
        <v>6690</v>
      </c>
      <c r="H26" s="1340"/>
      <c r="I26" s="1340"/>
      <c r="J26" s="1340"/>
      <c r="K26" s="1340"/>
      <c r="L26" s="1337">
        <f t="shared" si="0"/>
        <v>6690</v>
      </c>
      <c r="M26" s="1340">
        <v>20968</v>
      </c>
    </row>
    <row r="27" spans="2:14" ht="20.100000000000001" customHeight="1" x14ac:dyDescent="0.2">
      <c r="B27" s="1334"/>
      <c r="C27" s="1338"/>
      <c r="D27" s="1339"/>
      <c r="E27" s="1340"/>
      <c r="F27" s="1949"/>
      <c r="G27" s="1340"/>
      <c r="H27" s="1340"/>
      <c r="I27" s="1340"/>
      <c r="J27" s="1340"/>
      <c r="K27" s="1340"/>
      <c r="L27" s="1337"/>
      <c r="M27" s="1340"/>
    </row>
    <row r="28" spans="2:14" ht="20.100000000000001" customHeight="1" x14ac:dyDescent="0.2">
      <c r="B28" s="1334" t="s">
        <v>2087</v>
      </c>
      <c r="C28" s="1338">
        <v>93.778000000000006</v>
      </c>
      <c r="D28" s="1339" t="s">
        <v>2101</v>
      </c>
      <c r="E28" s="1340"/>
      <c r="F28" s="1949">
        <v>69740</v>
      </c>
      <c r="G28" s="1340"/>
      <c r="H28" s="1340"/>
      <c r="I28" s="1340">
        <v>69740</v>
      </c>
      <c r="J28" s="1340"/>
      <c r="K28" s="1340"/>
      <c r="L28" s="1337">
        <f>G28+I28</f>
        <v>69740</v>
      </c>
      <c r="M28" s="1340"/>
    </row>
    <row r="29" spans="2:14" ht="20.100000000000001" customHeight="1" x14ac:dyDescent="0.2">
      <c r="B29" s="1334" t="s">
        <v>2088</v>
      </c>
      <c r="C29" s="1338" t="s">
        <v>2093</v>
      </c>
      <c r="D29" s="1339" t="s">
        <v>2102</v>
      </c>
      <c r="E29" s="1340">
        <v>213746</v>
      </c>
      <c r="F29" s="1949">
        <v>29844</v>
      </c>
      <c r="G29" s="1340"/>
      <c r="H29" s="1340"/>
      <c r="I29" s="1340">
        <v>29844</v>
      </c>
      <c r="J29" s="1340"/>
      <c r="K29" s="1340"/>
      <c r="L29" s="1337">
        <f>+G29+I29+K29</f>
        <v>29844</v>
      </c>
      <c r="M29" s="1340"/>
      <c r="N29" s="1341"/>
    </row>
    <row r="30" spans="2:14" ht="20.100000000000001" customHeight="1" x14ac:dyDescent="0.2">
      <c r="B30" s="1334" t="s">
        <v>2088</v>
      </c>
      <c r="C30" s="1338" t="s">
        <v>2093</v>
      </c>
      <c r="D30" s="1339" t="s">
        <v>2107</v>
      </c>
      <c r="E30" s="1340"/>
      <c r="F30" s="1949">
        <v>227000</v>
      </c>
      <c r="G30" s="1340"/>
      <c r="H30" s="1340"/>
      <c r="I30" s="1340">
        <v>227000</v>
      </c>
      <c r="J30" s="1340"/>
      <c r="K30" s="1340"/>
      <c r="L30" s="1337"/>
      <c r="M30" s="1340"/>
      <c r="N30" s="1341"/>
    </row>
    <row r="31" spans="2:14" ht="20.100000000000001" customHeight="1" x14ac:dyDescent="0.2">
      <c r="B31" s="1334" t="s">
        <v>2187</v>
      </c>
      <c r="C31" s="1338"/>
      <c r="D31" s="1339"/>
      <c r="E31" s="1340">
        <f>SUM(E11:E29)</f>
        <v>1234290</v>
      </c>
      <c r="F31" s="1340">
        <f>SUM(F11:F30)</f>
        <v>1850686</v>
      </c>
      <c r="G31" s="1340">
        <f>SUM(G12:G29)</f>
        <v>1090121</v>
      </c>
      <c r="H31" s="1340"/>
      <c r="I31" s="1340">
        <f>SUM(I11:I30)</f>
        <v>2095899</v>
      </c>
      <c r="J31" s="1340"/>
      <c r="K31" s="1340"/>
      <c r="L31" s="1337">
        <f>SUM(L11:L29)</f>
        <v>2959020</v>
      </c>
      <c r="M31" s="1340"/>
      <c r="N31" s="1341"/>
    </row>
    <row r="32" spans="2:14" ht="12.75" customHeight="1" x14ac:dyDescent="0.2">
      <c r="B32" s="1342"/>
      <c r="C32" s="1343"/>
      <c r="D32" s="1344"/>
      <c r="E32" s="1345"/>
      <c r="F32" s="1345"/>
      <c r="G32" s="1345"/>
      <c r="H32" s="1345"/>
      <c r="I32" s="1345"/>
      <c r="J32" s="1345"/>
      <c r="K32" s="1345"/>
      <c r="L32" s="1345"/>
      <c r="M32" s="1345"/>
      <c r="N32" s="1341"/>
    </row>
    <row r="33" spans="2:14" ht="12.75" customHeight="1" x14ac:dyDescent="0.2">
      <c r="B33" s="1342"/>
      <c r="C33" s="1343"/>
      <c r="D33" s="1344"/>
      <c r="E33" s="1345"/>
      <c r="F33" s="1345"/>
      <c r="G33" s="1345"/>
      <c r="H33" s="1345"/>
      <c r="I33" s="1345"/>
      <c r="J33" s="1345"/>
      <c r="K33" s="1345"/>
      <c r="L33" s="1345"/>
      <c r="M33" s="1345"/>
      <c r="N33" s="1341"/>
    </row>
    <row r="34" spans="2:14" ht="12.75" customHeight="1" x14ac:dyDescent="0.2">
      <c r="B34" s="1950" t="s">
        <v>2178</v>
      </c>
      <c r="C34" s="1428"/>
      <c r="D34" s="1951"/>
      <c r="E34" s="1952">
        <f>E11+E12+E13+E14+E15+E16</f>
        <v>516292</v>
      </c>
      <c r="F34" s="1952">
        <f>F11+F12+F13+F14+F15+F16</f>
        <v>756291</v>
      </c>
      <c r="G34" s="1952">
        <f>G12+G14</f>
        <v>516292</v>
      </c>
      <c r="H34" s="1952"/>
      <c r="I34" s="1952">
        <f>I11+I12+I13+I14+I15+I16</f>
        <v>758291</v>
      </c>
      <c r="J34" s="1952"/>
      <c r="K34" s="1952"/>
      <c r="L34" s="1952">
        <f>L11+L12+L13+L14+L15+L16</f>
        <v>1274583</v>
      </c>
      <c r="M34" s="1952"/>
      <c r="N34" s="1341"/>
    </row>
    <row r="35" spans="2:14" ht="12.75" customHeight="1" x14ac:dyDescent="0.2">
      <c r="B35" s="1950" t="s">
        <v>2179</v>
      </c>
      <c r="C35" s="1428"/>
      <c r="D35" s="1951"/>
      <c r="E35" s="1952">
        <f>E12+E14</f>
        <v>516292</v>
      </c>
      <c r="F35" s="1952">
        <f>F11+F12+F13+F14+F15</f>
        <v>745352</v>
      </c>
      <c r="G35" s="1952">
        <f>F11+F12+F14+F13+F15</f>
        <v>745352</v>
      </c>
      <c r="H35" s="1952"/>
      <c r="I35" s="1952">
        <f>I11+I12+I13+I14+I15</f>
        <v>747352</v>
      </c>
      <c r="J35" s="1952"/>
      <c r="K35" s="1952"/>
      <c r="L35" s="1952">
        <f>L11+L12+L13+L14+L15</f>
        <v>1263644</v>
      </c>
      <c r="M35" s="1952"/>
      <c r="N35" s="1341"/>
    </row>
    <row r="36" spans="2:14" ht="12.75" customHeight="1" x14ac:dyDescent="0.2">
      <c r="B36" s="1950" t="s">
        <v>2180</v>
      </c>
      <c r="C36" s="1428"/>
      <c r="D36" s="1951"/>
      <c r="E36" s="1952">
        <f>E19+E23+E26</f>
        <v>504252</v>
      </c>
      <c r="F36" s="1952">
        <f>F18+F19+F20+F22+F23+F25+F26</f>
        <v>767811</v>
      </c>
      <c r="G36" s="1952">
        <f>G19+G23+G26</f>
        <v>573829</v>
      </c>
      <c r="H36" s="1952"/>
      <c r="I36" s="1952">
        <f>I18+I19+I20+I22+I24+I25</f>
        <v>1010181</v>
      </c>
      <c r="J36" s="1952"/>
      <c r="K36" s="1952"/>
      <c r="L36" s="1952">
        <f>L18+L19+L20+L22+L23+L25+L26</f>
        <v>1584853</v>
      </c>
      <c r="M36" s="1952"/>
      <c r="N36" s="1341"/>
    </row>
    <row r="37" spans="2:14" ht="12.75" customHeight="1" x14ac:dyDescent="0.2">
      <c r="B37" s="1950" t="s">
        <v>2181</v>
      </c>
      <c r="C37" s="1428"/>
      <c r="D37" s="1951"/>
      <c r="E37" s="1952"/>
      <c r="F37" s="1952">
        <f>F16</f>
        <v>10939</v>
      </c>
      <c r="G37" s="1952"/>
      <c r="H37" s="1952"/>
      <c r="I37" s="1952">
        <f>I16</f>
        <v>10939</v>
      </c>
      <c r="J37" s="1952"/>
      <c r="K37" s="1952"/>
      <c r="L37" s="1952">
        <f>L16</f>
        <v>10939</v>
      </c>
      <c r="M37" s="1952"/>
      <c r="N37" s="1341"/>
    </row>
    <row r="38" spans="2:14" ht="12.75" customHeight="1" x14ac:dyDescent="0.2">
      <c r="B38" s="1950" t="s">
        <v>2182</v>
      </c>
      <c r="C38" s="1428"/>
      <c r="D38" s="1951"/>
      <c r="E38" s="1952">
        <f>E29</f>
        <v>213746</v>
      </c>
      <c r="F38" s="1952">
        <f>F28+F29+F30</f>
        <v>326584</v>
      </c>
      <c r="G38" s="1952"/>
      <c r="H38" s="1952"/>
      <c r="I38" s="1952">
        <f>I28+I29+I30</f>
        <v>326584</v>
      </c>
      <c r="J38" s="1952"/>
      <c r="K38" s="1952"/>
      <c r="L38" s="1952">
        <f>L28+L29</f>
        <v>99584</v>
      </c>
      <c r="M38" s="1952"/>
      <c r="N38" s="1341"/>
    </row>
    <row r="39" spans="2:14" ht="12.75" customHeight="1" x14ac:dyDescent="0.2">
      <c r="B39" s="1342"/>
      <c r="C39" s="1343"/>
      <c r="D39" s="1344"/>
      <c r="E39" s="1345"/>
      <c r="F39" s="1345"/>
      <c r="G39" s="1345"/>
      <c r="H39" s="1345"/>
      <c r="I39" s="1345"/>
      <c r="J39" s="1345"/>
      <c r="K39" s="1345"/>
      <c r="L39" s="1345"/>
      <c r="M39" s="1345"/>
      <c r="N39" s="1341"/>
    </row>
    <row r="40" spans="2:14" ht="12.75" customHeight="1" x14ac:dyDescent="0.2">
      <c r="B40" s="1342"/>
      <c r="C40" s="1343"/>
      <c r="D40" s="1344"/>
      <c r="E40" s="1345"/>
      <c r="F40" s="1345"/>
      <c r="G40" s="1345"/>
      <c r="H40" s="1345"/>
      <c r="I40" s="1345"/>
      <c r="J40" s="1345"/>
      <c r="K40" s="1345"/>
      <c r="L40" s="1345"/>
      <c r="M40" s="1345"/>
      <c r="N40" s="1341"/>
    </row>
    <row r="41" spans="2:14" ht="12.75" customHeight="1" x14ac:dyDescent="0.2">
      <c r="B41" s="1342"/>
      <c r="C41" s="1343"/>
      <c r="D41" s="1344"/>
      <c r="E41" s="1345"/>
      <c r="F41" s="1345"/>
      <c r="G41" s="1345"/>
      <c r="H41" s="1345"/>
      <c r="I41" s="1345"/>
      <c r="J41" s="1345"/>
      <c r="K41" s="1345"/>
      <c r="L41" s="1345"/>
      <c r="M41" s="1345"/>
      <c r="N41" s="1341"/>
    </row>
    <row r="42" spans="2:14" ht="12.75" customHeight="1" x14ac:dyDescent="0.2">
      <c r="B42" s="1342"/>
      <c r="C42" s="1343"/>
      <c r="D42" s="1344"/>
      <c r="E42" s="1345"/>
      <c r="F42" s="1345"/>
      <c r="G42" s="1345"/>
      <c r="H42" s="1345"/>
      <c r="I42" s="1345"/>
      <c r="J42" s="1345"/>
      <c r="K42" s="1345"/>
      <c r="L42" s="1345"/>
      <c r="M42" s="1345"/>
      <c r="N42" s="1341"/>
    </row>
    <row r="43" spans="2:14" ht="12.75" customHeight="1" x14ac:dyDescent="0.2">
      <c r="B43" s="1342"/>
      <c r="C43" s="1343"/>
      <c r="D43" s="1344"/>
      <c r="E43" s="1345"/>
      <c r="F43" s="1345"/>
      <c r="G43" s="1345"/>
      <c r="H43" s="1345"/>
      <c r="I43" s="1345"/>
      <c r="J43" s="1345"/>
      <c r="K43" s="1345"/>
      <c r="L43" s="1345"/>
      <c r="M43" s="1345"/>
      <c r="N43" s="1341"/>
    </row>
    <row r="44" spans="2:14" ht="12.75" customHeight="1" x14ac:dyDescent="0.2">
      <c r="B44" s="1342"/>
      <c r="C44" s="1343"/>
      <c r="D44" s="1344"/>
      <c r="E44" s="1345"/>
      <c r="F44" s="1345"/>
      <c r="G44" s="1345"/>
      <c r="H44" s="1345"/>
      <c r="I44" s="1345"/>
      <c r="J44" s="1345"/>
      <c r="K44" s="1345"/>
      <c r="L44" s="1345"/>
      <c r="M44" s="1345"/>
      <c r="N44" s="1341"/>
    </row>
    <row r="45" spans="2:14" x14ac:dyDescent="0.2">
      <c r="B45" s="1254"/>
      <c r="C45" s="1346"/>
      <c r="D45" s="1347"/>
      <c r="E45" s="1254"/>
      <c r="F45" s="1254"/>
      <c r="G45" s="1247"/>
      <c r="H45" s="1247"/>
      <c r="I45" s="1247"/>
      <c r="J45" s="1247"/>
      <c r="K45" s="1247"/>
      <c r="L45" s="1247"/>
      <c r="M45" s="1254"/>
      <c r="N45" s="1341"/>
    </row>
    <row r="46" spans="2:14" ht="13.5" customHeight="1" x14ac:dyDescent="0.2">
      <c r="B46" s="1279" t="s">
        <v>1737</v>
      </c>
      <c r="C46" s="1346"/>
      <c r="D46" s="1347"/>
      <c r="E46" s="1254"/>
      <c r="F46" s="1254"/>
      <c r="G46" s="1247"/>
      <c r="H46" s="1247"/>
      <c r="I46" s="1247"/>
      <c r="J46" s="1247"/>
      <c r="K46" s="1247"/>
      <c r="L46" s="1247"/>
      <c r="M46" s="1254"/>
      <c r="N46" s="1341"/>
    </row>
    <row r="47" spans="2:14" ht="8.25" customHeight="1" x14ac:dyDescent="0.2">
      <c r="B47" s="1279"/>
      <c r="C47" s="1346"/>
      <c r="D47" s="1347"/>
      <c r="E47" s="1254"/>
      <c r="F47" s="1254"/>
      <c r="G47" s="1247"/>
      <c r="H47" s="1247"/>
      <c r="I47" s="1247"/>
      <c r="J47" s="1247"/>
      <c r="K47" s="1247"/>
      <c r="L47" s="1247"/>
      <c r="M47" s="1254"/>
      <c r="N47" s="1341"/>
    </row>
    <row r="48" spans="2:14" x14ac:dyDescent="0.2">
      <c r="B48" s="1348" t="s">
        <v>1840</v>
      </c>
      <c r="C48" s="1349"/>
      <c r="D48" s="1350"/>
      <c r="E48" s="1351"/>
      <c r="F48" s="1351"/>
      <c r="G48" s="1351"/>
      <c r="H48" s="1351"/>
      <c r="I48" s="317"/>
      <c r="J48" s="317"/>
    </row>
    <row r="49" spans="2:13" x14ac:dyDescent="0.2">
      <c r="B49" s="1274"/>
      <c r="C49" s="1352"/>
      <c r="D49" s="1353"/>
      <c r="E49" s="1275"/>
      <c r="F49" s="1275"/>
      <c r="G49" s="317"/>
      <c r="H49" s="317"/>
      <c r="I49" s="317"/>
      <c r="J49" s="317"/>
    </row>
    <row r="50" spans="2:13" ht="13.5" customHeight="1" x14ac:dyDescent="0.2">
      <c r="B50" s="1273" t="s">
        <v>1246</v>
      </c>
      <c r="G50" s="317"/>
      <c r="H50" s="317"/>
      <c r="I50" s="317"/>
      <c r="J50" s="317"/>
    </row>
    <row r="51" spans="2:13" ht="13.5" customHeight="1" x14ac:dyDescent="0.2">
      <c r="B51" s="1356"/>
      <c r="C51" s="1357"/>
      <c r="D51" s="1358"/>
      <c r="E51" s="1294"/>
      <c r="F51" s="1294"/>
      <c r="G51" s="1294"/>
      <c r="H51" s="1294"/>
      <c r="I51" s="1294"/>
      <c r="J51" s="1294"/>
      <c r="K51" s="1359"/>
      <c r="L51" s="1359"/>
      <c r="M51" s="1294"/>
    </row>
    <row r="52" spans="2:13" ht="9.6" customHeight="1" x14ac:dyDescent="0.2">
      <c r="B52" s="1360"/>
      <c r="G52" s="317"/>
      <c r="H52" s="317"/>
      <c r="I52" s="317"/>
      <c r="J52" s="317"/>
    </row>
    <row r="53" spans="2:13" ht="11.25" customHeight="1" x14ac:dyDescent="0.2">
      <c r="B53" s="1361" t="s">
        <v>1738</v>
      </c>
      <c r="C53" s="1362"/>
      <c r="D53" s="1362"/>
      <c r="E53" s="1362"/>
      <c r="F53" s="1362"/>
      <c r="G53" s="1362"/>
      <c r="H53" s="1362"/>
      <c r="I53" s="1363"/>
      <c r="J53" s="1363"/>
      <c r="K53" s="1363"/>
      <c r="L53" s="1363"/>
      <c r="M53" s="1363"/>
    </row>
    <row r="54" spans="2:13" ht="11.25" customHeight="1" x14ac:dyDescent="0.2">
      <c r="B54" s="1364" t="s">
        <v>1584</v>
      </c>
      <c r="C54" s="1363"/>
      <c r="D54" s="1363"/>
      <c r="E54" s="1363"/>
      <c r="F54" s="1363"/>
      <c r="G54" s="1363"/>
      <c r="H54" s="1363"/>
      <c r="I54" s="1363"/>
      <c r="J54" s="1363"/>
      <c r="K54" s="1363"/>
      <c r="L54" s="1363"/>
      <c r="M54" s="1363"/>
    </row>
    <row r="55" spans="2:13" ht="3.95" customHeight="1" x14ac:dyDescent="0.2">
      <c r="B55" s="1364"/>
      <c r="C55" s="1363"/>
      <c r="D55" s="1363"/>
      <c r="E55" s="1363"/>
      <c r="F55" s="1363"/>
      <c r="G55" s="1363"/>
      <c r="H55" s="1363"/>
      <c r="I55" s="1363"/>
      <c r="J55" s="1363"/>
      <c r="K55" s="1363"/>
      <c r="L55" s="1363"/>
      <c r="M55" s="1363"/>
    </row>
    <row r="56" spans="2:13" ht="11.25" customHeight="1" x14ac:dyDescent="0.2">
      <c r="B56" s="1361" t="s">
        <v>1739</v>
      </c>
      <c r="C56" s="1363"/>
      <c r="D56" s="1363"/>
      <c r="E56" s="1363"/>
      <c r="F56" s="1363"/>
      <c r="G56" s="1363"/>
      <c r="H56" s="1363"/>
      <c r="I56" s="1363"/>
      <c r="J56" s="1363"/>
      <c r="K56" s="1363"/>
      <c r="L56" s="1363"/>
      <c r="M56" s="1363"/>
    </row>
    <row r="57" spans="2:13" ht="11.25" customHeight="1" x14ac:dyDescent="0.2">
      <c r="B57" s="1297" t="s">
        <v>1585</v>
      </c>
      <c r="C57" s="1365"/>
      <c r="D57" s="1366"/>
      <c r="E57" s="1297"/>
      <c r="F57" s="1297"/>
      <c r="G57" s="1297"/>
      <c r="H57" s="1297"/>
      <c r="I57" s="1297"/>
      <c r="J57" s="1297"/>
      <c r="K57" s="1367"/>
      <c r="L57" s="1367"/>
      <c r="M57" s="1297"/>
    </row>
    <row r="58" spans="2:13" ht="3.95" customHeight="1" x14ac:dyDescent="0.2">
      <c r="B58" s="1297"/>
      <c r="C58" s="1365"/>
      <c r="D58" s="1366"/>
      <c r="E58" s="1297"/>
      <c r="F58" s="1297"/>
      <c r="G58" s="1297"/>
      <c r="H58" s="1297"/>
      <c r="I58" s="1297"/>
      <c r="J58" s="1297"/>
      <c r="K58" s="1367"/>
      <c r="L58" s="1367"/>
      <c r="M58" s="1297"/>
    </row>
    <row r="59" spans="2:13" ht="11.25" customHeight="1" x14ac:dyDescent="0.2">
      <c r="B59" s="1368" t="s">
        <v>1740</v>
      </c>
      <c r="C59" s="1365"/>
      <c r="D59" s="1366"/>
      <c r="E59" s="1297"/>
      <c r="F59" s="1297"/>
      <c r="G59" s="1297"/>
      <c r="H59" s="1297"/>
      <c r="I59" s="1297"/>
      <c r="J59" s="1297"/>
      <c r="K59" s="1367"/>
      <c r="L59" s="1367"/>
      <c r="M59" s="1297"/>
    </row>
    <row r="60" spans="2:13" ht="3.95" customHeight="1" x14ac:dyDescent="0.2">
      <c r="B60" s="1368"/>
      <c r="C60" s="1365"/>
      <c r="D60" s="1366"/>
      <c r="E60" s="1297"/>
      <c r="F60" s="1297"/>
      <c r="G60" s="1297"/>
      <c r="H60" s="1297"/>
      <c r="I60" s="1297"/>
      <c r="J60" s="1297"/>
      <c r="K60" s="1367"/>
      <c r="L60" s="1367"/>
      <c r="M60" s="1297"/>
    </row>
    <row r="61" spans="2:13" ht="11.25" customHeight="1" x14ac:dyDescent="0.2">
      <c r="B61" s="1369" t="s">
        <v>1741</v>
      </c>
      <c r="C61" s="1365"/>
      <c r="D61" s="1366"/>
      <c r="E61" s="1297"/>
      <c r="F61" s="1297"/>
      <c r="G61" s="1297"/>
      <c r="H61" s="1297"/>
      <c r="I61" s="1297"/>
      <c r="J61" s="1297"/>
      <c r="K61" s="1367"/>
      <c r="L61" s="1367"/>
      <c r="M61" s="1297"/>
    </row>
    <row r="62" spans="2:13" ht="11.25" customHeight="1" x14ac:dyDescent="0.2">
      <c r="B62" s="1297" t="s">
        <v>1586</v>
      </c>
      <c r="G62" s="317"/>
      <c r="H62" s="317"/>
      <c r="I62" s="317"/>
      <c r="J62" s="317"/>
    </row>
    <row r="63" spans="2:13" ht="11.1" customHeight="1" x14ac:dyDescent="0.2">
      <c r="B63" s="1297"/>
      <c r="G63" s="317"/>
      <c r="H63" s="317"/>
      <c r="I63" s="317"/>
      <c r="J63" s="317"/>
    </row>
    <row r="64" spans="2:13" ht="11.1" customHeight="1" x14ac:dyDescent="0.2">
      <c r="B64" s="1297"/>
      <c r="G64" s="317"/>
      <c r="H64" s="317"/>
      <c r="I64" s="317"/>
      <c r="J64" s="317"/>
    </row>
    <row r="65" spans="7:13" ht="13.5" customHeight="1" x14ac:dyDescent="0.2">
      <c r="M65" s="1370"/>
    </row>
    <row r="66" spans="7:13" ht="13.5" customHeight="1" x14ac:dyDescent="0.2">
      <c r="M66" s="1370"/>
    </row>
    <row r="67" spans="7:13" ht="13.5" customHeight="1" x14ac:dyDescent="0.2">
      <c r="M67" s="1370"/>
    </row>
    <row r="68" spans="7:13" ht="13.5" customHeight="1" x14ac:dyDescent="0.2">
      <c r="G68" s="317"/>
      <c r="H68" s="317"/>
      <c r="I68" s="317"/>
      <c r="J68" s="317"/>
    </row>
    <row r="69" spans="7:13" ht="13.5" customHeight="1" x14ac:dyDescent="0.2">
      <c r="G69" s="317"/>
      <c r="H69" s="317"/>
      <c r="I69" s="317"/>
      <c r="J69" s="317"/>
    </row>
    <row r="70" spans="7:13" ht="13.5" customHeight="1" x14ac:dyDescent="0.2">
      <c r="G70" s="317"/>
      <c r="H70" s="317"/>
      <c r="I70" s="317"/>
      <c r="J70" s="317"/>
    </row>
    <row r="71" spans="7:13" ht="13.5" customHeight="1" x14ac:dyDescent="0.2">
      <c r="G71" s="317"/>
      <c r="H71" s="317"/>
      <c r="I71" s="317"/>
      <c r="J71" s="317"/>
    </row>
    <row r="72" spans="7:13" ht="13.5" customHeight="1" x14ac:dyDescent="0.2">
      <c r="G72" s="317"/>
      <c r="H72" s="317"/>
      <c r="I72" s="317"/>
      <c r="J72" s="317"/>
    </row>
    <row r="73" spans="7:13" ht="13.5" customHeight="1" x14ac:dyDescent="0.2">
      <c r="G73" s="317"/>
      <c r="H73" s="317"/>
      <c r="I73" s="317"/>
      <c r="J73" s="317"/>
    </row>
    <row r="74" spans="7:13" ht="13.5" customHeight="1" x14ac:dyDescent="0.2">
      <c r="G74" s="317"/>
      <c r="H74" s="317"/>
      <c r="I74" s="317"/>
      <c r="J74" s="317"/>
    </row>
    <row r="75" spans="7:13" ht="13.5" customHeight="1" x14ac:dyDescent="0.2"/>
    <row r="76" spans="7:13" ht="13.5" customHeight="1" x14ac:dyDescent="0.2"/>
    <row r="77" spans="7:13" ht="13.5" customHeight="1" x14ac:dyDescent="0.2"/>
    <row r="78" spans="7:13" ht="25.5" customHeight="1" x14ac:dyDescent="0.2"/>
    <row r="79" spans="7:13" ht="25.5" customHeight="1" x14ac:dyDescent="0.2"/>
    <row r="80" spans="7:13" ht="25.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4.7" customHeight="1" x14ac:dyDescent="0.2"/>
    <row r="128" ht="12.2"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4.7" customHeight="1" x14ac:dyDescent="0.2"/>
    <row r="168" ht="12.2" customHeight="1" x14ac:dyDescent="0.2"/>
  </sheetData>
  <mergeCells count="4">
    <mergeCell ref="B1:M1"/>
    <mergeCell ref="B2:M2"/>
    <mergeCell ref="B3:M3"/>
    <mergeCell ref="B4:M4"/>
  </mergeCells>
  <printOptions horizontalCentered="1"/>
  <pageMargins left="0.09" right="0" top="0.5" bottom="0.5" header="0.25" footer="0.25"/>
  <pageSetup scale="59"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19" zoomScale="120" zoomScaleNormal="120" workbookViewId="0">
      <selection activeCell="K19" sqref="K19"/>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Charleston CUSD 1</v>
      </c>
      <c r="B1" s="2450"/>
      <c r="C1" s="2450"/>
      <c r="D1" s="2450"/>
      <c r="E1" s="2450"/>
      <c r="F1" s="2450"/>
    </row>
    <row r="2" spans="1:7" ht="13.5" customHeight="1" x14ac:dyDescent="0.2">
      <c r="A2" s="2446">
        <f>'Single Audit Cover'!E7</f>
        <v>11015001026</v>
      </c>
      <c r="B2" s="2446"/>
      <c r="C2" s="2446"/>
      <c r="D2" s="2446"/>
      <c r="E2" s="2446"/>
      <c r="F2" s="2446"/>
      <c r="G2" s="1272"/>
    </row>
    <row r="3" spans="1:7" ht="15.75" customHeight="1" x14ac:dyDescent="0.2">
      <c r="A3" s="2451" t="s">
        <v>1271</v>
      </c>
      <c r="B3" s="2451"/>
      <c r="C3" s="2451"/>
      <c r="D3" s="2451"/>
      <c r="E3" s="2451"/>
      <c r="F3" s="2451"/>
    </row>
    <row r="4" spans="1:7" ht="13.5" customHeight="1" x14ac:dyDescent="0.2">
      <c r="A4" s="2452" t="str">
        <f>'Single Audit Cover'!A4</f>
        <v>Year Ending June 30, 2019</v>
      </c>
      <c r="B4" s="2452"/>
      <c r="C4" s="2452"/>
      <c r="D4" s="2452"/>
      <c r="E4" s="2452"/>
      <c r="F4" s="2452"/>
    </row>
    <row r="5" spans="1:7" ht="8.25" customHeight="1" x14ac:dyDescent="0.2">
      <c r="C5" s="317"/>
      <c r="D5" s="317"/>
    </row>
    <row r="6" spans="1:7" ht="13.5" customHeight="1" x14ac:dyDescent="0.2">
      <c r="A6" s="1273" t="s">
        <v>1728</v>
      </c>
      <c r="C6" s="317"/>
      <c r="D6" s="317"/>
    </row>
    <row r="7" spans="1:7" ht="60.95" customHeight="1" x14ac:dyDescent="0.2">
      <c r="A7" s="2449" t="s">
        <v>1729</v>
      </c>
      <c r="B7" s="2449"/>
      <c r="C7" s="2449"/>
      <c r="D7" s="2449"/>
      <c r="E7" s="2449"/>
      <c r="F7" s="2449"/>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t="s">
        <v>2065</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9" t="s">
        <v>1731</v>
      </c>
      <c r="B13" s="2449"/>
      <c r="C13" s="2449"/>
      <c r="D13" s="2449"/>
      <c r="E13" s="2449"/>
      <c r="F13" s="2449"/>
    </row>
    <row r="14" spans="1:7" ht="9.75" customHeight="1" x14ac:dyDescent="0.2">
      <c r="C14" s="1257"/>
      <c r="D14" s="1257"/>
    </row>
    <row r="15" spans="1:7" ht="13.5" customHeight="1" x14ac:dyDescent="0.2">
      <c r="C15" s="1846" t="s">
        <v>1270</v>
      </c>
      <c r="D15" s="2454" t="s">
        <v>1269</v>
      </c>
      <c r="E15" s="2454"/>
      <c r="F15" s="2454"/>
    </row>
    <row r="16" spans="1:7" ht="13.5" customHeight="1" x14ac:dyDescent="0.2">
      <c r="A16" s="1279"/>
      <c r="B16" s="1273" t="s">
        <v>1268</v>
      </c>
      <c r="C16" s="1846" t="s">
        <v>1267</v>
      </c>
      <c r="D16" s="2455" t="s">
        <v>1588</v>
      </c>
      <c r="E16" s="2455"/>
      <c r="F16" s="2455"/>
    </row>
    <row r="17" spans="1:6" ht="20.45" customHeight="1" x14ac:dyDescent="0.2">
      <c r="A17" s="1280"/>
      <c r="B17" s="1281" t="s">
        <v>2093</v>
      </c>
      <c r="C17" s="1282"/>
      <c r="D17" s="2453"/>
      <c r="E17" s="2453"/>
      <c r="F17" s="2453"/>
    </row>
    <row r="18" spans="1:6" ht="20.65" customHeight="1" x14ac:dyDescent="0.2">
      <c r="A18" s="1280"/>
      <c r="B18" s="1281"/>
      <c r="C18" s="1282"/>
      <c r="D18" s="2453"/>
      <c r="E18" s="2453"/>
      <c r="F18" s="2453"/>
    </row>
    <row r="19" spans="1:6" ht="20.65" customHeight="1" x14ac:dyDescent="0.2">
      <c r="A19" s="1280"/>
      <c r="B19" s="1281"/>
      <c r="C19" s="1282"/>
      <c r="D19" s="2453"/>
      <c r="E19" s="2453"/>
      <c r="F19" s="2453"/>
    </row>
    <row r="20" spans="1:6" ht="20.65" customHeight="1" x14ac:dyDescent="0.2">
      <c r="A20" s="1280"/>
      <c r="B20" s="1281"/>
      <c r="C20" s="1282"/>
      <c r="D20" s="2453"/>
      <c r="E20" s="2453"/>
      <c r="F20" s="2453"/>
    </row>
    <row r="21" spans="1:6" ht="20.65" customHeight="1" x14ac:dyDescent="0.2">
      <c r="A21" s="1280"/>
      <c r="B21" s="1281"/>
      <c r="C21" s="1282"/>
      <c r="D21" s="2453"/>
      <c r="E21" s="2453"/>
      <c r="F21" s="2453"/>
    </row>
    <row r="22" spans="1:6" ht="20.65" customHeight="1" x14ac:dyDescent="0.2">
      <c r="A22" s="1280"/>
      <c r="B22" s="1281"/>
      <c r="C22" s="1282"/>
      <c r="D22" s="2453"/>
      <c r="E22" s="2453"/>
      <c r="F22" s="2453"/>
    </row>
    <row r="23" spans="1:6" ht="20.65" customHeight="1" x14ac:dyDescent="0.2">
      <c r="A23" s="1280"/>
      <c r="B23" s="1281"/>
      <c r="C23" s="1282"/>
      <c r="D23" s="2453"/>
      <c r="E23" s="2453"/>
      <c r="F23" s="2453"/>
    </row>
    <row r="24" spans="1:6" ht="20.65" customHeight="1" x14ac:dyDescent="0.2">
      <c r="A24" s="1280"/>
      <c r="B24" s="1281"/>
      <c r="C24" s="1282"/>
      <c r="D24" s="2453"/>
      <c r="E24" s="2453"/>
      <c r="F24" s="2453"/>
    </row>
    <row r="25" spans="1:6" ht="20.65" customHeight="1" x14ac:dyDescent="0.2">
      <c r="A25" s="1280"/>
      <c r="B25" s="1281"/>
      <c r="C25" s="1282"/>
      <c r="D25" s="2453"/>
      <c r="E25" s="2453"/>
      <c r="F25" s="2453"/>
    </row>
    <row r="26" spans="1:6" ht="20.65" customHeight="1" x14ac:dyDescent="0.2">
      <c r="A26" s="1280"/>
      <c r="B26" s="1281"/>
      <c r="C26" s="1282"/>
      <c r="D26" s="2453"/>
      <c r="E26" s="2453"/>
      <c r="F26" s="2453"/>
    </row>
    <row r="27" spans="1:6" ht="20.65" customHeight="1" x14ac:dyDescent="0.2">
      <c r="A27" s="1280"/>
      <c r="B27" s="1281"/>
      <c r="C27" s="1282"/>
      <c r="D27" s="2453"/>
      <c r="E27" s="2453"/>
      <c r="F27" s="2453"/>
    </row>
    <row r="28" spans="1:6" ht="20.65" customHeight="1" x14ac:dyDescent="0.2">
      <c r="A28" s="1280"/>
      <c r="B28" s="1281"/>
      <c r="C28" s="1282"/>
      <c r="D28" s="2453"/>
      <c r="E28" s="2453"/>
      <c r="F28" s="2453"/>
    </row>
    <row r="29" spans="1:6" ht="20.65" customHeight="1" x14ac:dyDescent="0.2">
      <c r="A29" s="1280"/>
      <c r="B29" s="1281"/>
      <c r="C29" s="1282"/>
      <c r="D29" s="2453"/>
      <c r="E29" s="2453"/>
      <c r="F29" s="2453"/>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57" t="s">
        <v>1732</v>
      </c>
      <c r="B32" s="2457"/>
      <c r="C32" s="2457"/>
      <c r="D32" s="2457"/>
      <c r="E32" s="2457"/>
      <c r="F32" s="2457"/>
    </row>
    <row r="33" spans="1:6" ht="13.5" customHeight="1" x14ac:dyDescent="0.2">
      <c r="A33" s="328" t="s">
        <v>1434</v>
      </c>
      <c r="B33" s="328"/>
      <c r="C33" s="1285">
        <v>72372</v>
      </c>
      <c r="D33" s="1903"/>
      <c r="E33" s="1283"/>
    </row>
    <row r="34" spans="1:6" ht="13.5" customHeight="1" x14ac:dyDescent="0.2">
      <c r="A34" s="328" t="s">
        <v>1838</v>
      </c>
      <c r="B34" s="328"/>
      <c r="C34" s="1286">
        <v>0</v>
      </c>
      <c r="D34" s="1903" t="s">
        <v>1589</v>
      </c>
      <c r="E34" s="2458">
        <f>+C33+C34</f>
        <v>72372</v>
      </c>
      <c r="F34" s="2459"/>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383</v>
      </c>
      <c r="D38" s="1903"/>
      <c r="E38" s="1283"/>
    </row>
    <row r="39" spans="1:6" ht="14.25" customHeight="1" x14ac:dyDescent="0.2">
      <c r="A39" s="328"/>
      <c r="B39" s="328" t="s">
        <v>1436</v>
      </c>
      <c r="C39" s="1289" t="s">
        <v>383</v>
      </c>
      <c r="D39" s="1903"/>
      <c r="E39" s="1283"/>
    </row>
    <row r="40" spans="1:6" ht="14.25" customHeight="1" x14ac:dyDescent="0.2">
      <c r="A40" s="328"/>
      <c r="B40" s="328" t="s">
        <v>1437</v>
      </c>
      <c r="C40" s="1289" t="s">
        <v>383</v>
      </c>
      <c r="D40" s="1903"/>
      <c r="E40" s="1283"/>
    </row>
    <row r="41" spans="1:6" ht="14.25" customHeight="1" x14ac:dyDescent="0.2">
      <c r="A41" s="328"/>
      <c r="B41" s="328" t="s">
        <v>1438</v>
      </c>
      <c r="C41" s="1289" t="s">
        <v>383</v>
      </c>
      <c r="D41" s="1903"/>
      <c r="E41" s="1283"/>
    </row>
    <row r="42" spans="1:6" ht="14.25" customHeight="1" x14ac:dyDescent="0.2">
      <c r="A42" s="328" t="s">
        <v>1439</v>
      </c>
      <c r="B42" s="328"/>
      <c r="C42" s="1901" t="s">
        <v>383</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0" t="s">
        <v>1590</v>
      </c>
      <c r="C49" s="2460"/>
      <c r="D49" s="2460"/>
      <c r="E49" s="1396"/>
    </row>
    <row r="50" spans="1:5" s="1297" customFormat="1" ht="3.75" customHeight="1" x14ac:dyDescent="0.2">
      <c r="A50" s="1296"/>
      <c r="B50" s="1845"/>
      <c r="C50" s="1845"/>
      <c r="D50" s="1845"/>
      <c r="E50" s="1396"/>
    </row>
    <row r="51" spans="1:5" s="1297" customFormat="1" ht="20.25" customHeight="1" x14ac:dyDescent="0.2">
      <c r="A51" s="1298">
        <v>6</v>
      </c>
      <c r="B51" s="2456" t="s">
        <v>1551</v>
      </c>
      <c r="C51" s="2456"/>
      <c r="D51" s="2456"/>
    </row>
    <row r="52" spans="1:5" ht="14.25" customHeight="1" x14ac:dyDescent="0.2">
      <c r="A52" s="1298"/>
      <c r="B52" s="2456"/>
      <c r="C52" s="2456"/>
      <c r="D52" s="2456"/>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6"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6" t="s">
        <v>1168</v>
      </c>
      <c r="B2" s="2066"/>
      <c r="C2" s="2066"/>
      <c r="D2" s="2066"/>
      <c r="E2" s="2066"/>
      <c r="F2" s="2066"/>
      <c r="G2" s="2066"/>
      <c r="H2" s="2066"/>
      <c r="I2" s="2066"/>
      <c r="J2" s="2066"/>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0" t="s">
        <v>1633</v>
      </c>
      <c r="B35" s="2081"/>
      <c r="C35" s="2081"/>
      <c r="D35" s="2081"/>
      <c r="E35" s="2082"/>
      <c r="F35" s="2082"/>
      <c r="G35" s="2082"/>
      <c r="H35" s="2082"/>
      <c r="I35" s="208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0" t="s">
        <v>313</v>
      </c>
      <c r="B47" s="2083"/>
      <c r="C47" s="2083"/>
      <c r="D47" s="2083"/>
      <c r="E47" s="2084"/>
      <c r="F47" s="2084"/>
      <c r="G47" s="2084"/>
      <c r="H47" s="2084"/>
      <c r="I47" s="208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2065</v>
      </c>
      <c r="C53" s="179">
        <v>22</v>
      </c>
      <c r="D53" s="247" t="s">
        <v>1462</v>
      </c>
      <c r="E53" s="248"/>
      <c r="F53" s="249"/>
      <c r="G53" s="249" t="s">
        <v>1461</v>
      </c>
      <c r="H53" s="250">
        <v>35735</v>
      </c>
      <c r="I53" s="237" t="s">
        <v>1483</v>
      </c>
    </row>
    <row r="54" spans="1:10" s="181" customFormat="1" x14ac:dyDescent="0.2">
      <c r="A54" s="219"/>
      <c r="B54" s="220" t="s">
        <v>2065</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7" t="s">
        <v>2167</v>
      </c>
      <c r="C57" s="2088"/>
      <c r="D57" s="2088"/>
      <c r="E57" s="2088"/>
      <c r="F57" s="2088"/>
      <c r="G57" s="2088"/>
      <c r="H57" s="2088"/>
      <c r="I57" s="2088"/>
      <c r="J57" s="2089"/>
    </row>
    <row r="58" spans="1:10" s="181" customFormat="1" x14ac:dyDescent="0.2">
      <c r="A58" s="253"/>
      <c r="B58" s="2090"/>
      <c r="C58" s="2091"/>
      <c r="D58" s="2091"/>
      <c r="E58" s="2091"/>
      <c r="F58" s="2091"/>
      <c r="G58" s="2091"/>
      <c r="H58" s="2091"/>
      <c r="I58" s="2091"/>
      <c r="J58" s="2092"/>
    </row>
    <row r="59" spans="1:10" s="181" customFormat="1" x14ac:dyDescent="0.2">
      <c r="A59" s="253"/>
      <c r="B59" s="2090"/>
      <c r="C59" s="2091"/>
      <c r="D59" s="2091"/>
      <c r="E59" s="2091"/>
      <c r="F59" s="2091"/>
      <c r="G59" s="2091"/>
      <c r="H59" s="2091"/>
      <c r="I59" s="2091"/>
      <c r="J59" s="2092"/>
    </row>
    <row r="60" spans="1:10" s="181" customFormat="1" x14ac:dyDescent="0.2">
      <c r="A60" s="253"/>
      <c r="B60" s="2090"/>
      <c r="C60" s="2091"/>
      <c r="D60" s="2091"/>
      <c r="E60" s="2091"/>
      <c r="F60" s="2091"/>
      <c r="G60" s="2091"/>
      <c r="H60" s="2091"/>
      <c r="I60" s="2091"/>
      <c r="J60" s="2092"/>
    </row>
    <row r="61" spans="1:10" s="181" customFormat="1" x14ac:dyDescent="0.2">
      <c r="A61" s="253"/>
      <c r="B61" s="2090"/>
      <c r="C61" s="2091"/>
      <c r="D61" s="2091"/>
      <c r="E61" s="2091"/>
      <c r="F61" s="2091"/>
      <c r="G61" s="2091"/>
      <c r="H61" s="2091"/>
      <c r="I61" s="2091"/>
      <c r="J61" s="2092"/>
    </row>
    <row r="62" spans="1:10" s="181" customFormat="1" x14ac:dyDescent="0.2">
      <c r="A62" s="253"/>
      <c r="B62" s="2090"/>
      <c r="C62" s="2091"/>
      <c r="D62" s="2091"/>
      <c r="E62" s="2091"/>
      <c r="F62" s="2091"/>
      <c r="G62" s="2091"/>
      <c r="H62" s="2091"/>
      <c r="I62" s="2091"/>
      <c r="J62" s="2092"/>
    </row>
    <row r="63" spans="1:10" s="181" customFormat="1" x14ac:dyDescent="0.2">
      <c r="A63" s="253"/>
      <c r="B63" s="2090"/>
      <c r="C63" s="2091"/>
      <c r="D63" s="2091"/>
      <c r="E63" s="2091"/>
      <c r="F63" s="2091"/>
      <c r="G63" s="2091"/>
      <c r="H63" s="2091"/>
      <c r="I63" s="2091"/>
      <c r="J63" s="2092"/>
    </row>
    <row r="64" spans="1:10" s="181" customFormat="1" x14ac:dyDescent="0.2">
      <c r="A64" s="253"/>
      <c r="B64" s="2090"/>
      <c r="C64" s="2091"/>
      <c r="D64" s="2091"/>
      <c r="E64" s="2091"/>
      <c r="F64" s="2091"/>
      <c r="G64" s="2091"/>
      <c r="H64" s="2091"/>
      <c r="I64" s="2091"/>
      <c r="J64" s="2092"/>
    </row>
    <row r="65" spans="1:10" s="181" customFormat="1" x14ac:dyDescent="0.2">
      <c r="A65" s="253"/>
      <c r="B65" s="2090"/>
      <c r="C65" s="2091"/>
      <c r="D65" s="2091"/>
      <c r="E65" s="2091"/>
      <c r="F65" s="2091"/>
      <c r="G65" s="2091"/>
      <c r="H65" s="2091"/>
      <c r="I65" s="2091"/>
      <c r="J65" s="2092"/>
    </row>
    <row r="66" spans="1:10" s="181" customFormat="1" x14ac:dyDescent="0.2">
      <c r="A66" s="253"/>
      <c r="B66" s="2090"/>
      <c r="C66" s="2091"/>
      <c r="D66" s="2091"/>
      <c r="E66" s="2091"/>
      <c r="F66" s="2091"/>
      <c r="G66" s="2091"/>
      <c r="H66" s="2091"/>
      <c r="I66" s="2091"/>
      <c r="J66" s="2092"/>
    </row>
    <row r="67" spans="1:10" s="181" customFormat="1" ht="9" customHeight="1" x14ac:dyDescent="0.2">
      <c r="A67" s="254"/>
      <c r="B67" s="2093"/>
      <c r="C67" s="2094"/>
      <c r="D67" s="2094"/>
      <c r="E67" s="2094"/>
      <c r="F67" s="2094"/>
      <c r="G67" s="2094"/>
      <c r="H67" s="2094"/>
      <c r="I67" s="2094"/>
      <c r="J67" s="209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0" t="s">
        <v>1323</v>
      </c>
      <c r="B70" s="2083"/>
      <c r="C70" s="2083"/>
      <c r="D70" s="2083"/>
      <c r="E70" s="2084"/>
      <c r="F70" s="2084"/>
      <c r="G70" s="2084"/>
      <c r="H70" s="2084"/>
      <c r="I70" s="208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5" t="s">
        <v>1320</v>
      </c>
      <c r="B83" s="2085"/>
      <c r="C83" s="2085"/>
      <c r="D83" s="208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7"/>
      <c r="C102" s="2068"/>
      <c r="D102" s="2068"/>
      <c r="E102" s="2068"/>
      <c r="F102" s="2068"/>
      <c r="G102" s="2068"/>
      <c r="H102" s="2068"/>
      <c r="I102" s="2069"/>
    </row>
    <row r="103" spans="1:9" s="181" customFormat="1" ht="11.25" customHeight="1" x14ac:dyDescent="0.2">
      <c r="A103" s="316"/>
      <c r="B103" s="2070"/>
      <c r="C103" s="2071"/>
      <c r="D103" s="2071"/>
      <c r="E103" s="2071"/>
      <c r="F103" s="2071"/>
      <c r="G103" s="2071"/>
      <c r="H103" s="2071"/>
      <c r="I103" s="2072"/>
    </row>
    <row r="104" spans="1:9" s="181" customFormat="1" ht="11.25" customHeight="1" x14ac:dyDescent="0.2">
      <c r="A104" s="316"/>
      <c r="B104" s="2070"/>
      <c r="C104" s="2071"/>
      <c r="D104" s="2071"/>
      <c r="E104" s="2071"/>
      <c r="F104" s="2071"/>
      <c r="G104" s="2071"/>
      <c r="H104" s="2071"/>
      <c r="I104" s="2072"/>
    </row>
    <row r="105" spans="1:9" s="181" customFormat="1" x14ac:dyDescent="0.2">
      <c r="A105" s="316"/>
      <c r="B105" s="2070"/>
      <c r="C105" s="2071"/>
      <c r="D105" s="2071"/>
      <c r="E105" s="2071"/>
      <c r="F105" s="2071"/>
      <c r="G105" s="2071"/>
      <c r="H105" s="2071"/>
      <c r="I105" s="2072"/>
    </row>
    <row r="106" spans="1:9" s="181" customFormat="1" ht="11.25" customHeight="1" x14ac:dyDescent="0.2">
      <c r="A106" s="316"/>
      <c r="B106" s="2070"/>
      <c r="C106" s="2071"/>
      <c r="D106" s="2071"/>
      <c r="E106" s="2071"/>
      <c r="F106" s="2071"/>
      <c r="G106" s="2071"/>
      <c r="H106" s="2071"/>
      <c r="I106" s="2072"/>
    </row>
    <row r="107" spans="1:9" s="181" customFormat="1" ht="11.25" customHeight="1" x14ac:dyDescent="0.2">
      <c r="A107" s="316"/>
      <c r="B107" s="2070"/>
      <c r="C107" s="2071"/>
      <c r="D107" s="2071"/>
      <c r="E107" s="2071"/>
      <c r="F107" s="2071"/>
      <c r="G107" s="2071"/>
      <c r="H107" s="2071"/>
      <c r="I107" s="2072"/>
    </row>
    <row r="108" spans="1:9" s="181" customFormat="1" ht="11.25" customHeight="1" x14ac:dyDescent="0.2">
      <c r="A108" s="316"/>
      <c r="B108" s="2070"/>
      <c r="C108" s="2071"/>
      <c r="D108" s="2071"/>
      <c r="E108" s="2071"/>
      <c r="F108" s="2071"/>
      <c r="G108" s="2071"/>
      <c r="H108" s="2071"/>
      <c r="I108" s="2072"/>
    </row>
    <row r="109" spans="1:9" s="181" customFormat="1" ht="11.25" customHeight="1" x14ac:dyDescent="0.2">
      <c r="A109" s="316"/>
      <c r="B109" s="2070"/>
      <c r="C109" s="2071"/>
      <c r="D109" s="2071"/>
      <c r="E109" s="2071"/>
      <c r="F109" s="2071"/>
      <c r="G109" s="2071"/>
      <c r="H109" s="2071"/>
      <c r="I109" s="2072"/>
    </row>
    <row r="110" spans="1:9" s="181" customFormat="1" ht="11.25" customHeight="1" x14ac:dyDescent="0.2">
      <c r="A110" s="316"/>
      <c r="B110" s="2070"/>
      <c r="C110" s="2071"/>
      <c r="D110" s="2071"/>
      <c r="E110" s="2071"/>
      <c r="F110" s="2071"/>
      <c r="G110" s="2071"/>
      <c r="H110" s="2071"/>
      <c r="I110" s="2072"/>
    </row>
    <row r="111" spans="1:9" s="181" customFormat="1" ht="11.25" customHeight="1" x14ac:dyDescent="0.2">
      <c r="A111" s="316"/>
      <c r="B111" s="2070"/>
      <c r="C111" s="2071"/>
      <c r="D111" s="2071"/>
      <c r="E111" s="2071"/>
      <c r="F111" s="2071"/>
      <c r="G111" s="2071"/>
      <c r="H111" s="2071"/>
      <c r="I111" s="2072"/>
    </row>
    <row r="112" spans="1:9" s="181" customFormat="1" ht="11.25" customHeight="1" x14ac:dyDescent="0.2">
      <c r="A112" s="316"/>
      <c r="B112" s="2073"/>
      <c r="C112" s="2074"/>
      <c r="D112" s="2074"/>
      <c r="E112" s="2074"/>
      <c r="F112" s="2074"/>
      <c r="G112" s="2074"/>
      <c r="H112" s="2074"/>
      <c r="I112" s="207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6" t="s">
        <v>2066</v>
      </c>
      <c r="D114" s="207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7" t="s">
        <v>1330</v>
      </c>
      <c r="D117" s="2078"/>
      <c r="E117" s="2079"/>
      <c r="F117" s="2079"/>
      <c r="G117" s="2079"/>
      <c r="H117" s="2079"/>
      <c r="I117" s="304"/>
    </row>
    <row r="118" spans="1:9" s="181" customFormat="1" ht="24" customHeight="1" x14ac:dyDescent="0.2">
      <c r="A118" s="316"/>
      <c r="B118" s="316"/>
      <c r="C118" s="316"/>
      <c r="D118" s="323" t="s">
        <v>2172</v>
      </c>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J63"/>
  <sheetViews>
    <sheetView showGridLines="0" topLeftCell="A37" zoomScale="110" zoomScaleNormal="110" workbookViewId="0">
      <selection activeCell="Q13" sqref="Q13"/>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5" t="str">
        <f>'Single Audit Cover'!A7</f>
        <v>Charleston CUSD 1</v>
      </c>
      <c r="C1" s="2466"/>
      <c r="D1" s="2466"/>
      <c r="E1" s="2466"/>
      <c r="F1" s="2466"/>
      <c r="G1" s="2466"/>
      <c r="H1" s="2466"/>
      <c r="I1" s="2466"/>
      <c r="J1" s="1406"/>
    </row>
    <row r="2" spans="2:10" s="317" customFormat="1" ht="12.75" customHeight="1" x14ac:dyDescent="0.2">
      <c r="B2" s="2467">
        <f>'Single Audit Cover'!E7</f>
        <v>11015001026</v>
      </c>
      <c r="C2" s="2468"/>
      <c r="D2" s="2468"/>
      <c r="E2" s="2468"/>
      <c r="F2" s="2468"/>
      <c r="G2" s="2468"/>
      <c r="H2" s="2468"/>
      <c r="I2" s="2468"/>
      <c r="J2" s="1406"/>
    </row>
    <row r="3" spans="2:10" s="317" customFormat="1" ht="12.75" customHeight="1" x14ac:dyDescent="0.2">
      <c r="B3" s="2469" t="s">
        <v>1285</v>
      </c>
      <c r="C3" s="2470"/>
      <c r="D3" s="2470"/>
      <c r="E3" s="2470"/>
      <c r="F3" s="2470"/>
      <c r="G3" s="2470"/>
      <c r="H3" s="2470"/>
      <c r="I3" s="2470"/>
      <c r="J3" s="1407"/>
    </row>
    <row r="4" spans="2:10" s="317" customFormat="1" ht="12.75" customHeight="1" x14ac:dyDescent="0.2">
      <c r="B4" s="2469" t="str">
        <f>'Single Audit Cover'!A4</f>
        <v>Year Ending June 30, 2019</v>
      </c>
      <c r="C4" s="2470"/>
      <c r="D4" s="2470"/>
      <c r="E4" s="2470"/>
      <c r="F4" s="2470"/>
      <c r="G4" s="2470"/>
      <c r="H4" s="2470"/>
      <c r="I4" s="2470"/>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9" t="s">
        <v>1284</v>
      </c>
      <c r="C7" s="2470"/>
      <c r="D7" s="2470"/>
      <c r="E7" s="2470"/>
      <c r="F7" s="2470"/>
      <c r="G7" s="2470"/>
      <c r="H7" s="2470"/>
      <c r="I7" s="2470"/>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1" t="s">
        <v>1164</v>
      </c>
      <c r="D11" s="2471"/>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t="s">
        <v>2065</v>
      </c>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2065</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t="s">
        <v>2065</v>
      </c>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t="s">
        <v>2065</v>
      </c>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2065</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2" t="s">
        <v>2108</v>
      </c>
      <c r="E29" s="2472"/>
      <c r="F29" s="2472"/>
      <c r="G29" s="2472"/>
      <c r="H29" s="2472"/>
      <c r="I29" s="2472"/>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2065</v>
      </c>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3" t="s">
        <v>1751</v>
      </c>
      <c r="D37" s="2474"/>
      <c r="E37" s="2474"/>
      <c r="F37" s="2475"/>
      <c r="G37" s="2473" t="s">
        <v>1592</v>
      </c>
      <c r="H37" s="2474"/>
      <c r="I37" s="2475"/>
    </row>
    <row r="38" spans="2:9" ht="16.5" customHeight="1" x14ac:dyDescent="0.2">
      <c r="B38" s="1428">
        <v>10.555</v>
      </c>
      <c r="C38" s="2461" t="s">
        <v>2109</v>
      </c>
      <c r="D38" s="2462"/>
      <c r="E38" s="2462"/>
      <c r="F38" s="2463"/>
      <c r="G38" s="2476">
        <v>519196</v>
      </c>
      <c r="H38" s="2477"/>
      <c r="I38" s="2478"/>
    </row>
    <row r="39" spans="2:9" ht="16.5" customHeight="1" x14ac:dyDescent="0.2">
      <c r="B39" s="1428">
        <v>10.553000000000001</v>
      </c>
      <c r="C39" s="2461" t="s">
        <v>2110</v>
      </c>
      <c r="D39" s="2462"/>
      <c r="E39" s="2462"/>
      <c r="F39" s="2463"/>
      <c r="G39" s="2464">
        <v>166723</v>
      </c>
      <c r="H39" s="2464"/>
      <c r="I39" s="2464"/>
    </row>
    <row r="40" spans="2:9" ht="16.5" customHeight="1" x14ac:dyDescent="0.2">
      <c r="B40" s="1428">
        <v>10.555</v>
      </c>
      <c r="C40" s="2461" t="s">
        <v>2111</v>
      </c>
      <c r="D40" s="2462"/>
      <c r="E40" s="2462"/>
      <c r="F40" s="2463"/>
      <c r="G40" s="2464">
        <v>72372</v>
      </c>
      <c r="H40" s="2464"/>
      <c r="I40" s="2464"/>
    </row>
    <row r="41" spans="2:9" ht="16.5" customHeight="1" x14ac:dyDescent="0.2">
      <c r="B41" s="1428"/>
      <c r="C41" s="2461"/>
      <c r="D41" s="2462"/>
      <c r="E41" s="2462"/>
      <c r="F41" s="2463"/>
      <c r="G41" s="2464"/>
      <c r="H41" s="2464"/>
      <c r="I41" s="2464"/>
    </row>
    <row r="42" spans="2:9" ht="16.5" customHeight="1" x14ac:dyDescent="0.2">
      <c r="B42" s="1428"/>
      <c r="C42" s="2461"/>
      <c r="D42" s="2462"/>
      <c r="E42" s="2462"/>
      <c r="F42" s="2463"/>
      <c r="G42" s="2464"/>
      <c r="H42" s="2464"/>
      <c r="I42" s="2464"/>
    </row>
    <row r="43" spans="2:9" ht="16.5" customHeight="1" x14ac:dyDescent="0.2">
      <c r="B43" s="1428"/>
      <c r="C43" s="2479" t="s">
        <v>1593</v>
      </c>
      <c r="D43" s="2480"/>
      <c r="E43" s="2480"/>
      <c r="F43" s="2481"/>
      <c r="G43" s="2482">
        <f>SUM(G38:I42)</f>
        <v>758291</v>
      </c>
      <c r="H43" s="2482"/>
      <c r="I43" s="2482"/>
    </row>
    <row r="44" spans="2:9" ht="12.75" customHeight="1" x14ac:dyDescent="0.2"/>
    <row r="45" spans="2:9" ht="12.75" customHeight="1" x14ac:dyDescent="0.2">
      <c r="B45" s="1419" t="s">
        <v>2062</v>
      </c>
      <c r="D45" s="2483">
        <v>2095899</v>
      </c>
      <c r="E45" s="2484"/>
    </row>
    <row r="46" spans="2:9" ht="5.25" customHeight="1" x14ac:dyDescent="0.2">
      <c r="B46" s="1429"/>
      <c r="D46" s="1430"/>
      <c r="E46" s="1431"/>
    </row>
    <row r="47" spans="2:9" ht="12.75" customHeight="1" x14ac:dyDescent="0.2">
      <c r="B47" s="1297" t="s">
        <v>1594</v>
      </c>
      <c r="C47" s="1297"/>
      <c r="D47" s="1432">
        <f>+G43/D45</f>
        <v>0.3617974911959021</v>
      </c>
      <c r="E47" s="1433"/>
      <c r="F47" s="1434"/>
      <c r="I47" s="1435"/>
    </row>
    <row r="48" spans="2:9" ht="9.9499999999999993" customHeight="1" x14ac:dyDescent="0.2"/>
    <row r="49" spans="1:9" x14ac:dyDescent="0.2">
      <c r="B49" s="1365" t="s">
        <v>1273</v>
      </c>
      <c r="C49" s="1279"/>
      <c r="D49" s="1279"/>
      <c r="E49" s="2485">
        <v>750000</v>
      </c>
      <c r="F49" s="2485"/>
      <c r="G49" s="2485"/>
      <c r="H49" s="322"/>
    </row>
    <row r="51" spans="1:9" ht="13.5" customHeight="1" x14ac:dyDescent="0.2">
      <c r="B51" s="1365" t="s">
        <v>1272</v>
      </c>
      <c r="C51" s="1279"/>
      <c r="E51" s="1422"/>
      <c r="F51" s="1297" t="s">
        <v>885</v>
      </c>
      <c r="G51" s="1422" t="s">
        <v>2065</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topLeftCell="A22" zoomScale="110" zoomScaleNormal="110" workbookViewId="0">
      <selection activeCell="K19" sqref="K1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5" t="str">
        <f>'Single Audit Cover'!A7</f>
        <v>Charleston CUSD 1</v>
      </c>
      <c r="C1" s="2465"/>
      <c r="D1" s="2465"/>
      <c r="E1" s="2465"/>
      <c r="F1" s="2465"/>
      <c r="G1" s="2465"/>
      <c r="H1" s="2465"/>
      <c r="I1" s="2465"/>
      <c r="J1" s="2465"/>
      <c r="K1" s="2465"/>
      <c r="L1" s="1371"/>
      <c r="M1" s="1371"/>
    </row>
    <row r="2" spans="1:13" ht="12" customHeight="1" x14ac:dyDescent="0.2">
      <c r="B2" s="2467">
        <f>'Single Audit Cover'!E7</f>
        <v>11015001026</v>
      </c>
      <c r="C2" s="2467"/>
      <c r="D2" s="2467"/>
      <c r="E2" s="2467"/>
      <c r="F2" s="2467"/>
      <c r="G2" s="2467"/>
      <c r="H2" s="2467"/>
      <c r="I2" s="2467"/>
      <c r="J2" s="2467"/>
      <c r="K2" s="2467"/>
      <c r="L2" s="1372"/>
      <c r="M2" s="1373"/>
    </row>
    <row r="3" spans="1:13" ht="10.35" customHeight="1" x14ac:dyDescent="0.2">
      <c r="B3" s="2488" t="s">
        <v>1285</v>
      </c>
      <c r="C3" s="2488"/>
      <c r="D3" s="2488"/>
      <c r="E3" s="2488"/>
      <c r="F3" s="2488"/>
      <c r="G3" s="2488"/>
      <c r="H3" s="2488"/>
      <c r="I3" s="2488"/>
      <c r="J3" s="2488"/>
      <c r="K3" s="2488"/>
      <c r="L3" s="1374"/>
      <c r="M3" s="1374"/>
    </row>
    <row r="4" spans="1:13" ht="14.25" customHeight="1" x14ac:dyDescent="0.2">
      <c r="B4" s="2489" t="str">
        <f>'Single Audit Cover'!A4</f>
        <v>Year Ending June 30, 2019</v>
      </c>
      <c r="C4" s="2489"/>
      <c r="D4" s="2489"/>
      <c r="E4" s="2489"/>
      <c r="F4" s="2489"/>
      <c r="G4" s="2489"/>
      <c r="H4" s="2489"/>
      <c r="I4" s="2489"/>
      <c r="J4" s="2489"/>
      <c r="K4" s="2489"/>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9" t="s">
        <v>1296</v>
      </c>
      <c r="C7" s="2489"/>
      <c r="D7" s="2490"/>
      <c r="E7" s="2490"/>
      <c r="F7" s="2490"/>
      <c r="G7" s="2490"/>
      <c r="H7" s="2490"/>
      <c r="I7" s="2490"/>
      <c r="J7" s="2490"/>
      <c r="K7" s="249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1</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2007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54" customHeight="1" x14ac:dyDescent="0.2">
      <c r="B14" s="2487" t="s">
        <v>2112</v>
      </c>
      <c r="C14" s="2487"/>
      <c r="D14" s="2487"/>
      <c r="E14" s="2487"/>
      <c r="F14" s="2487"/>
      <c r="G14" s="2487"/>
      <c r="H14" s="2487"/>
      <c r="I14" s="2487"/>
      <c r="J14" s="2487"/>
      <c r="K14" s="248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7" t="s">
        <v>2113</v>
      </c>
      <c r="C17" s="2487"/>
      <c r="D17" s="2487"/>
      <c r="E17" s="2487"/>
      <c r="F17" s="2487"/>
      <c r="G17" s="2487"/>
      <c r="H17" s="2487"/>
      <c r="I17" s="2487"/>
      <c r="J17" s="2487"/>
      <c r="K17" s="2487"/>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91" t="s">
        <v>2114</v>
      </c>
      <c r="C20" s="2491"/>
      <c r="D20" s="2487"/>
      <c r="E20" s="2487"/>
      <c r="F20" s="2487"/>
      <c r="G20" s="2487"/>
      <c r="H20" s="2487"/>
      <c r="I20" s="2487"/>
      <c r="J20" s="2487"/>
      <c r="K20" s="2487"/>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7" t="s">
        <v>2115</v>
      </c>
      <c r="C23" s="2487"/>
      <c r="D23" s="2487"/>
      <c r="E23" s="2487"/>
      <c r="F23" s="2487"/>
      <c r="G23" s="2487"/>
      <c r="H23" s="2487"/>
      <c r="I23" s="2487"/>
      <c r="J23" s="2487"/>
      <c r="K23" s="2487"/>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7" t="s">
        <v>2116</v>
      </c>
      <c r="C26" s="2487"/>
      <c r="D26" s="2487"/>
      <c r="E26" s="2487"/>
      <c r="F26" s="2487"/>
      <c r="G26" s="2487"/>
      <c r="H26" s="2487"/>
      <c r="I26" s="2487"/>
      <c r="J26" s="2487"/>
      <c r="K26" s="2487"/>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6" t="s">
        <v>2117</v>
      </c>
      <c r="C29" s="2486"/>
      <c r="D29" s="2487"/>
      <c r="E29" s="2487"/>
      <c r="F29" s="2487"/>
      <c r="G29" s="2487"/>
      <c r="H29" s="2487"/>
      <c r="I29" s="2487"/>
      <c r="J29" s="2487"/>
      <c r="K29" s="248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57" customHeight="1" x14ac:dyDescent="0.2">
      <c r="B32" s="2486" t="s">
        <v>2118</v>
      </c>
      <c r="C32" s="2486"/>
      <c r="D32" s="2487"/>
      <c r="E32" s="2487"/>
      <c r="F32" s="2487"/>
      <c r="G32" s="2487"/>
      <c r="H32" s="2487"/>
      <c r="I32" s="2487"/>
      <c r="J32" s="2487"/>
      <c r="K32" s="2487"/>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M41"/>
  <sheetViews>
    <sheetView showGridLines="0" view="pageBreakPreview" zoomScale="60" zoomScaleNormal="110" workbookViewId="0">
      <selection activeCell="K19" sqref="K1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5" t="str">
        <f>'Single Audit Cover'!A7</f>
        <v>Charleston CUSD 1</v>
      </c>
      <c r="C1" s="2465"/>
      <c r="D1" s="2465"/>
      <c r="E1" s="2465"/>
      <c r="F1" s="2465"/>
      <c r="G1" s="2465"/>
      <c r="H1" s="2465"/>
      <c r="I1" s="2465"/>
      <c r="J1" s="2465"/>
      <c r="K1" s="2465"/>
      <c r="L1" s="1371"/>
      <c r="M1" s="1371"/>
    </row>
    <row r="2" spans="1:13" ht="12" customHeight="1" x14ac:dyDescent="0.2">
      <c r="B2" s="2467">
        <f>'Single Audit Cover'!E7</f>
        <v>11015001026</v>
      </c>
      <c r="C2" s="2467"/>
      <c r="D2" s="2467"/>
      <c r="E2" s="2467"/>
      <c r="F2" s="2467"/>
      <c r="G2" s="2467"/>
      <c r="H2" s="2467"/>
      <c r="I2" s="2467"/>
      <c r="J2" s="2467"/>
      <c r="K2" s="2467"/>
      <c r="L2" s="1372"/>
      <c r="M2" s="1373"/>
    </row>
    <row r="3" spans="1:13" ht="10.35" customHeight="1" x14ac:dyDescent="0.2">
      <c r="B3" s="2488" t="s">
        <v>1285</v>
      </c>
      <c r="C3" s="2488"/>
      <c r="D3" s="2488"/>
      <c r="E3" s="2488"/>
      <c r="F3" s="2488"/>
      <c r="G3" s="2488"/>
      <c r="H3" s="2488"/>
      <c r="I3" s="2488"/>
      <c r="J3" s="2488"/>
      <c r="K3" s="2488"/>
      <c r="L3" s="1940"/>
      <c r="M3" s="1940"/>
    </row>
    <row r="4" spans="1:13" ht="14.25" customHeight="1" x14ac:dyDescent="0.2">
      <c r="B4" s="2489" t="str">
        <f>'Single Audit Cover'!A4</f>
        <v>Year Ending June 30, 2019</v>
      </c>
      <c r="C4" s="2489"/>
      <c r="D4" s="2489"/>
      <c r="E4" s="2489"/>
      <c r="F4" s="2489"/>
      <c r="G4" s="2489"/>
      <c r="H4" s="2489"/>
      <c r="I4" s="2489"/>
      <c r="J4" s="2489"/>
      <c r="K4" s="2489"/>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9" t="s">
        <v>1296</v>
      </c>
      <c r="C7" s="2489"/>
      <c r="D7" s="2490"/>
      <c r="E7" s="2490"/>
      <c r="F7" s="2490"/>
      <c r="G7" s="2490"/>
      <c r="H7" s="2490"/>
      <c r="I7" s="2490"/>
      <c r="J7" s="2490"/>
      <c r="K7" s="249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2</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2017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7" t="s">
        <v>2119</v>
      </c>
      <c r="C14" s="2487"/>
      <c r="D14" s="2487"/>
      <c r="E14" s="2487"/>
      <c r="F14" s="2487"/>
      <c r="G14" s="2487"/>
      <c r="H14" s="2487"/>
      <c r="I14" s="2487"/>
      <c r="J14" s="2487"/>
      <c r="K14" s="248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7" t="s">
        <v>2120</v>
      </c>
      <c r="C17" s="2487"/>
      <c r="D17" s="2487"/>
      <c r="E17" s="2487"/>
      <c r="F17" s="2487"/>
      <c r="G17" s="2487"/>
      <c r="H17" s="2487"/>
      <c r="I17" s="2487"/>
      <c r="J17" s="2487"/>
      <c r="K17" s="2487"/>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91" t="s">
        <v>2121</v>
      </c>
      <c r="C20" s="2491"/>
      <c r="D20" s="2487"/>
      <c r="E20" s="2487"/>
      <c r="F20" s="2487"/>
      <c r="G20" s="2487"/>
      <c r="H20" s="2487"/>
      <c r="I20" s="2487"/>
      <c r="J20" s="2487"/>
      <c r="K20" s="2487"/>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7" t="s">
        <v>2122</v>
      </c>
      <c r="C23" s="2487"/>
      <c r="D23" s="2487"/>
      <c r="E23" s="2487"/>
      <c r="F23" s="2487"/>
      <c r="G23" s="2487"/>
      <c r="H23" s="2487"/>
      <c r="I23" s="2487"/>
      <c r="J23" s="2487"/>
      <c r="K23" s="2487"/>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7" t="s">
        <v>2123</v>
      </c>
      <c r="C26" s="2487"/>
      <c r="D26" s="2487"/>
      <c r="E26" s="2487"/>
      <c r="F26" s="2487"/>
      <c r="G26" s="2487"/>
      <c r="H26" s="2487"/>
      <c r="I26" s="2487"/>
      <c r="J26" s="2487"/>
      <c r="K26" s="2487"/>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6" t="s">
        <v>2124</v>
      </c>
      <c r="C29" s="2486"/>
      <c r="D29" s="2487"/>
      <c r="E29" s="2487"/>
      <c r="F29" s="2487"/>
      <c r="G29" s="2487"/>
      <c r="H29" s="2487"/>
      <c r="I29" s="2487"/>
      <c r="J29" s="2487"/>
      <c r="K29" s="248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6" t="s">
        <v>2177</v>
      </c>
      <c r="C32" s="2486"/>
      <c r="D32" s="2487"/>
      <c r="E32" s="2487"/>
      <c r="F32" s="2487"/>
      <c r="G32" s="2487"/>
      <c r="H32" s="2487"/>
      <c r="I32" s="2487"/>
      <c r="J32" s="2487"/>
      <c r="K32" s="2487"/>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L48"/>
  <sheetViews>
    <sheetView showGridLines="0" view="pageBreakPreview" topLeftCell="A19" zoomScale="60" zoomScaleNormal="110" workbookViewId="0">
      <selection activeCell="K19" sqref="K1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2" t="str">
        <f>'Single Audit Cover'!A7</f>
        <v>Charleston CUSD 1</v>
      </c>
      <c r="C1" s="2492"/>
      <c r="D1" s="2492"/>
      <c r="E1" s="2492"/>
      <c r="F1" s="2492"/>
      <c r="G1" s="2492"/>
      <c r="H1" s="2492"/>
      <c r="I1" s="2492"/>
      <c r="J1" s="2492"/>
      <c r="K1" s="2492"/>
      <c r="L1" s="1449"/>
    </row>
    <row r="2" spans="1:12" ht="12.75" customHeight="1" x14ac:dyDescent="0.2">
      <c r="B2" s="2493">
        <f>'Single Audit Cover'!E7</f>
        <v>11015001026</v>
      </c>
      <c r="C2" s="2493"/>
      <c r="D2" s="2493"/>
      <c r="E2" s="2493"/>
      <c r="F2" s="2493"/>
      <c r="G2" s="2493"/>
      <c r="H2" s="2493"/>
      <c r="I2" s="2493"/>
      <c r="J2" s="2493"/>
      <c r="K2" s="2493"/>
      <c r="L2" s="1450"/>
    </row>
    <row r="3" spans="1:12" ht="12.75" customHeight="1" x14ac:dyDescent="0.2">
      <c r="B3" s="2488" t="s">
        <v>1285</v>
      </c>
      <c r="C3" s="2488"/>
      <c r="D3" s="2488"/>
      <c r="E3" s="2488"/>
      <c r="F3" s="2488"/>
      <c r="G3" s="2488"/>
      <c r="H3" s="2488"/>
      <c r="I3" s="2488"/>
      <c r="J3" s="2488"/>
      <c r="K3" s="2488"/>
      <c r="L3" s="1374"/>
    </row>
    <row r="4" spans="1:12" ht="12.75" customHeight="1" x14ac:dyDescent="0.2">
      <c r="B4" s="2488" t="str">
        <f>'Single Audit Cover'!A4</f>
        <v>Year Ending June 30, 2019</v>
      </c>
      <c r="C4" s="2488"/>
      <c r="D4" s="2488"/>
      <c r="E4" s="2488"/>
      <c r="F4" s="2488"/>
      <c r="G4" s="2488"/>
      <c r="H4" s="2488"/>
      <c r="I4" s="2488"/>
      <c r="J4" s="2488"/>
      <c r="K4" s="2488"/>
      <c r="L4" s="1374"/>
    </row>
    <row r="5" spans="1:12" ht="5.25" customHeight="1" x14ac:dyDescent="0.2">
      <c r="B5" s="1257" t="s">
        <v>1169</v>
      </c>
      <c r="C5" s="1257"/>
      <c r="L5" s="322"/>
    </row>
    <row r="6" spans="1:12" ht="30.75" customHeight="1" x14ac:dyDescent="0.2">
      <c r="A6" s="322"/>
      <c r="B6" s="2494" t="s">
        <v>1308</v>
      </c>
      <c r="C6" s="2494"/>
      <c r="D6" s="2494"/>
      <c r="E6" s="2494"/>
      <c r="F6" s="2494"/>
      <c r="G6" s="2494"/>
      <c r="H6" s="2494"/>
      <c r="I6" s="2494"/>
      <c r="J6" s="2494"/>
      <c r="K6" s="2494"/>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v>3</v>
      </c>
      <c r="E8" s="322"/>
      <c r="F8" s="1381" t="s">
        <v>1295</v>
      </c>
      <c r="G8" s="1453" t="s">
        <v>2065</v>
      </c>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2" t="s">
        <v>2125</v>
      </c>
      <c r="G12" s="2472"/>
      <c r="H12" s="2472"/>
      <c r="I12" s="2472"/>
      <c r="J12" s="2472"/>
      <c r="K12" s="247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5" t="s">
        <v>2089</v>
      </c>
      <c r="E14" s="2495"/>
      <c r="F14" s="2495"/>
      <c r="H14" s="1459" t="s">
        <v>1303</v>
      </c>
      <c r="I14" s="2496" t="s">
        <v>2126</v>
      </c>
      <c r="J14" s="2496"/>
      <c r="K14" s="249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6" t="s">
        <v>2127</v>
      </c>
      <c r="E16" s="2496"/>
      <c r="F16" s="2496"/>
      <c r="G16" s="2496"/>
      <c r="H16" s="2496"/>
      <c r="I16" s="2496"/>
      <c r="J16" s="2496"/>
      <c r="K16" s="2496"/>
      <c r="L16" s="322"/>
    </row>
    <row r="17" spans="2:12" ht="13.5" customHeight="1" x14ac:dyDescent="0.2">
      <c r="B17" s="1384" t="s">
        <v>1301</v>
      </c>
      <c r="C17" s="1384"/>
      <c r="D17" s="2497" t="s">
        <v>2128</v>
      </c>
      <c r="E17" s="2497"/>
      <c r="F17" s="2497"/>
      <c r="G17" s="2497"/>
      <c r="H17" s="2497"/>
      <c r="I17" s="2497"/>
      <c r="J17" s="2497"/>
      <c r="K17" s="249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7" t="s">
        <v>2129</v>
      </c>
      <c r="C20" s="2487"/>
      <c r="D20" s="2487"/>
      <c r="E20" s="2487"/>
      <c r="F20" s="2487"/>
      <c r="G20" s="2487"/>
      <c r="H20" s="2487"/>
      <c r="I20" s="2487"/>
      <c r="J20" s="2487"/>
      <c r="K20" s="248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7" t="s">
        <v>2163</v>
      </c>
      <c r="C23" s="2487"/>
      <c r="D23" s="2487"/>
      <c r="E23" s="2487"/>
      <c r="F23" s="2487"/>
      <c r="G23" s="2487"/>
      <c r="H23" s="2487"/>
      <c r="I23" s="2487"/>
      <c r="J23" s="2487"/>
      <c r="K23" s="248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7" t="s">
        <v>2093</v>
      </c>
      <c r="C26" s="2487"/>
      <c r="D26" s="2487"/>
      <c r="E26" s="2487"/>
      <c r="F26" s="2487"/>
      <c r="G26" s="2487"/>
      <c r="H26" s="2487"/>
      <c r="I26" s="2487"/>
      <c r="J26" s="2487"/>
      <c r="K26" s="248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7" t="s">
        <v>2093</v>
      </c>
      <c r="C29" s="2487"/>
      <c r="D29" s="2487"/>
      <c r="E29" s="2487"/>
      <c r="F29" s="2487"/>
      <c r="G29" s="2487"/>
      <c r="H29" s="2487"/>
      <c r="I29" s="2487"/>
      <c r="J29" s="2487"/>
      <c r="K29" s="248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7" t="s">
        <v>2130</v>
      </c>
      <c r="C32" s="2487"/>
      <c r="D32" s="2487"/>
      <c r="E32" s="2487"/>
      <c r="F32" s="2487"/>
      <c r="G32" s="2487"/>
      <c r="H32" s="2487"/>
      <c r="I32" s="2487"/>
      <c r="J32" s="2487"/>
      <c r="K32" s="248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7" t="s">
        <v>2131</v>
      </c>
      <c r="C35" s="2487"/>
      <c r="D35" s="2487"/>
      <c r="E35" s="2487"/>
      <c r="F35" s="2487"/>
      <c r="G35" s="2487"/>
      <c r="H35" s="2487"/>
      <c r="I35" s="2487"/>
      <c r="J35" s="2487"/>
      <c r="K35" s="248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7" t="s">
        <v>2132</v>
      </c>
      <c r="C38" s="2487"/>
      <c r="D38" s="2487"/>
      <c r="E38" s="2487"/>
      <c r="F38" s="2487"/>
      <c r="G38" s="2487"/>
      <c r="H38" s="2487"/>
      <c r="I38" s="2487"/>
      <c r="J38" s="2487"/>
      <c r="K38" s="248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7" t="s">
        <v>2176</v>
      </c>
      <c r="C41" s="2487"/>
      <c r="D41" s="2487"/>
      <c r="E41" s="2487"/>
      <c r="F41" s="2487"/>
      <c r="G41" s="2487"/>
      <c r="H41" s="2487"/>
      <c r="I41" s="2487"/>
      <c r="J41" s="2487"/>
      <c r="K41" s="248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B1:E73"/>
  <sheetViews>
    <sheetView showGridLines="0" zoomScale="110" zoomScaleNormal="110" workbookViewId="0">
      <selection activeCell="K19" sqref="K19"/>
    </sheetView>
  </sheetViews>
  <sheetFormatPr defaultColWidth="9.140625" defaultRowHeight="12.75" x14ac:dyDescent="0.2"/>
  <cols>
    <col min="1" max="1" width="1.5703125" style="317" customWidth="1"/>
    <col min="2" max="2" width="14.7109375" style="317" customWidth="1"/>
    <col min="3" max="3" width="46.5703125" style="317" bestFit="1"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5" t="str">
        <f>'Single Audit Cover'!A7</f>
        <v>Charleston CUSD 1</v>
      </c>
      <c r="C1" s="2465"/>
      <c r="D1" s="2465"/>
      <c r="E1" s="1469"/>
    </row>
    <row r="2" spans="2:5" s="1279" customFormat="1" ht="12.75" customHeight="1" x14ac:dyDescent="0.2">
      <c r="B2" s="2467">
        <f>'Single Audit Cover'!E7</f>
        <v>11015001026</v>
      </c>
      <c r="C2" s="2467"/>
      <c r="D2" s="2467"/>
      <c r="E2" s="1470"/>
    </row>
    <row r="3" spans="2:5" ht="12.75" customHeight="1" x14ac:dyDescent="0.2">
      <c r="B3" s="2488" t="s">
        <v>1766</v>
      </c>
      <c r="C3" s="2488"/>
      <c r="D3" s="2488"/>
      <c r="E3" s="1271"/>
    </row>
    <row r="4" spans="2:5" s="1279" customFormat="1" ht="12.75" customHeight="1" x14ac:dyDescent="0.2">
      <c r="B4" s="2498" t="str">
        <f>'Single Audit Cover'!A4</f>
        <v>Year Ending June 30, 2019</v>
      </c>
      <c r="C4" s="2498"/>
      <c r="D4" s="2498"/>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t="s">
        <v>2133</v>
      </c>
      <c r="C7" s="324" t="s">
        <v>2140</v>
      </c>
      <c r="D7" s="324" t="s">
        <v>2136</v>
      </c>
      <c r="E7" s="324"/>
    </row>
    <row r="8" spans="2:5" ht="13.5" customHeight="1" x14ac:dyDescent="0.2">
      <c r="B8" s="1474" t="s">
        <v>2134</v>
      </c>
      <c r="C8" s="324" t="s">
        <v>2141</v>
      </c>
      <c r="D8" s="324" t="s">
        <v>2137</v>
      </c>
      <c r="E8" s="324"/>
    </row>
    <row r="9" spans="2:5" ht="13.5" customHeight="1" x14ac:dyDescent="0.2">
      <c r="B9" s="1475" t="s">
        <v>2135</v>
      </c>
      <c r="C9" s="323" t="s">
        <v>2142</v>
      </c>
      <c r="D9" s="323" t="s">
        <v>2168</v>
      </c>
      <c r="E9" s="323"/>
    </row>
    <row r="10" spans="2:5" ht="13.5" customHeight="1" x14ac:dyDescent="0.2">
      <c r="B10" s="1474" t="s">
        <v>2138</v>
      </c>
      <c r="C10" s="323" t="s">
        <v>2143</v>
      </c>
      <c r="D10" s="323" t="s">
        <v>2168</v>
      </c>
      <c r="E10" s="323"/>
    </row>
    <row r="11" spans="2:5" ht="13.5" customHeight="1" x14ac:dyDescent="0.2">
      <c r="B11" s="1474" t="s">
        <v>2139</v>
      </c>
      <c r="C11" s="323" t="s">
        <v>2144</v>
      </c>
      <c r="D11" s="323" t="s">
        <v>2168</v>
      </c>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scale="96"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I27"/>
  <sheetViews>
    <sheetView view="pageBreakPreview" zoomScale="90" zoomScaleNormal="100" zoomScaleSheetLayoutView="90" workbookViewId="0">
      <selection activeCell="K19" sqref="K19"/>
    </sheetView>
  </sheetViews>
  <sheetFormatPr defaultRowHeight="12.75" x14ac:dyDescent="0.2"/>
  <cols>
    <col min="1" max="16384" width="9.140625" style="1945"/>
  </cols>
  <sheetData>
    <row r="1" spans="1:9" x14ac:dyDescent="0.2">
      <c r="A1" s="2499" t="s">
        <v>2153</v>
      </c>
      <c r="B1" s="2499"/>
      <c r="C1" s="2499"/>
      <c r="D1" s="2499"/>
      <c r="E1" s="2499"/>
      <c r="F1" s="2499"/>
      <c r="G1" s="2499"/>
      <c r="H1" s="2499"/>
      <c r="I1" s="2499"/>
    </row>
    <row r="2" spans="1:9" x14ac:dyDescent="0.2">
      <c r="A2" s="2501" t="s">
        <v>2082</v>
      </c>
      <c r="B2" s="2501"/>
      <c r="C2" s="2501"/>
      <c r="D2" s="2501"/>
      <c r="E2" s="2501"/>
      <c r="F2" s="2501"/>
      <c r="G2" s="2501"/>
      <c r="H2" s="2501"/>
      <c r="I2" s="2501"/>
    </row>
    <row r="3" spans="1:9" x14ac:dyDescent="0.2">
      <c r="A3" s="2501" t="s">
        <v>2154</v>
      </c>
      <c r="B3" s="2501"/>
      <c r="C3" s="2501"/>
      <c r="D3" s="2501"/>
      <c r="E3" s="2501"/>
      <c r="F3" s="2501"/>
      <c r="G3" s="2501"/>
      <c r="H3" s="2501"/>
      <c r="I3" s="2501"/>
    </row>
    <row r="4" spans="1:9" x14ac:dyDescent="0.2">
      <c r="A4" s="2501" t="s">
        <v>1987</v>
      </c>
      <c r="B4" s="2501"/>
      <c r="C4" s="2501"/>
      <c r="D4" s="2501"/>
      <c r="E4" s="2501"/>
      <c r="F4" s="2501"/>
      <c r="G4" s="2501"/>
      <c r="H4" s="2501"/>
      <c r="I4" s="2501"/>
    </row>
    <row r="6" spans="1:9" x14ac:dyDescent="0.2">
      <c r="A6" s="1944" t="s">
        <v>2145</v>
      </c>
    </row>
    <row r="8" spans="1:9" x14ac:dyDescent="0.2">
      <c r="A8" s="1945" t="s">
        <v>2146</v>
      </c>
      <c r="B8" s="1946" t="s">
        <v>1989</v>
      </c>
      <c r="C8" s="1947" t="s">
        <v>2147</v>
      </c>
    </row>
    <row r="10" spans="1:9" x14ac:dyDescent="0.2">
      <c r="A10" s="1945" t="s">
        <v>2148</v>
      </c>
    </row>
    <row r="11" spans="1:9" x14ac:dyDescent="0.2">
      <c r="A11" s="2500" t="s">
        <v>2113</v>
      </c>
      <c r="B11" s="2500"/>
      <c r="C11" s="2500"/>
      <c r="D11" s="2500"/>
      <c r="E11" s="2500"/>
      <c r="F11" s="2500"/>
      <c r="G11" s="2500"/>
    </row>
    <row r="12" spans="1:9" x14ac:dyDescent="0.2">
      <c r="A12" s="2500"/>
      <c r="B12" s="2500"/>
      <c r="C12" s="2500"/>
      <c r="D12" s="2500"/>
      <c r="E12" s="2500"/>
      <c r="F12" s="2500"/>
      <c r="G12" s="2500"/>
    </row>
    <row r="14" spans="1:9" x14ac:dyDescent="0.2">
      <c r="A14" s="1945" t="s">
        <v>2149</v>
      </c>
    </row>
    <row r="15" spans="1:9" x14ac:dyDescent="0.2">
      <c r="A15" s="1945" t="s">
        <v>2155</v>
      </c>
    </row>
    <row r="17" spans="1:7" x14ac:dyDescent="0.2">
      <c r="A17" s="1945" t="s">
        <v>2150</v>
      </c>
      <c r="E17" s="1945" t="s">
        <v>2156</v>
      </c>
    </row>
    <row r="19" spans="1:7" x14ac:dyDescent="0.2">
      <c r="A19" s="1945" t="s">
        <v>2151</v>
      </c>
      <c r="E19" s="1945" t="s">
        <v>2169</v>
      </c>
    </row>
    <row r="21" spans="1:7" x14ac:dyDescent="0.2">
      <c r="A21" s="1945" t="s">
        <v>2152</v>
      </c>
    </row>
    <row r="22" spans="1:7" ht="12.75" customHeight="1" x14ac:dyDescent="0.2">
      <c r="A22" s="2500" t="s">
        <v>2157</v>
      </c>
      <c r="B22" s="2500"/>
      <c r="C22" s="2500"/>
      <c r="D22" s="2500"/>
      <c r="E22" s="2500"/>
      <c r="F22" s="2500"/>
      <c r="G22" s="2500"/>
    </row>
    <row r="23" spans="1:7" x14ac:dyDescent="0.2">
      <c r="A23" s="2500"/>
      <c r="B23" s="2500"/>
      <c r="C23" s="2500"/>
      <c r="D23" s="2500"/>
      <c r="E23" s="2500"/>
      <c r="F23" s="2500"/>
      <c r="G23" s="2500"/>
    </row>
    <row r="24" spans="1:7" x14ac:dyDescent="0.2">
      <c r="A24" s="2500"/>
      <c r="B24" s="2500"/>
      <c r="C24" s="2500"/>
      <c r="D24" s="2500"/>
      <c r="E24" s="2500"/>
      <c r="F24" s="2500"/>
      <c r="G24" s="2500"/>
    </row>
    <row r="25" spans="1:7" x14ac:dyDescent="0.2">
      <c r="A25" s="2500"/>
      <c r="B25" s="2500"/>
      <c r="C25" s="2500"/>
      <c r="D25" s="2500"/>
      <c r="E25" s="2500"/>
      <c r="F25" s="2500"/>
      <c r="G25" s="2500"/>
    </row>
    <row r="26" spans="1:7" x14ac:dyDescent="0.2">
      <c r="A26" s="2500"/>
      <c r="B26" s="2500"/>
      <c r="C26" s="2500"/>
      <c r="D26" s="2500"/>
      <c r="E26" s="2500"/>
      <c r="F26" s="2500"/>
      <c r="G26" s="2500"/>
    </row>
    <row r="27" spans="1:7" x14ac:dyDescent="0.2">
      <c r="A27" s="2500"/>
      <c r="B27" s="2500"/>
      <c r="C27" s="2500"/>
      <c r="D27" s="2500"/>
      <c r="E27" s="2500"/>
      <c r="F27" s="2500"/>
      <c r="G27" s="2500"/>
    </row>
  </sheetData>
  <mergeCells count="6">
    <mergeCell ref="A1:I1"/>
    <mergeCell ref="A22:G27"/>
    <mergeCell ref="A11:G12"/>
    <mergeCell ref="A4:I4"/>
    <mergeCell ref="A2:I2"/>
    <mergeCell ref="A3:I3"/>
  </mergeCells>
  <printOptions horizontalCentered="1"/>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I27"/>
  <sheetViews>
    <sheetView view="pageBreakPreview" zoomScale="90" zoomScaleNormal="100" zoomScaleSheetLayoutView="90" workbookViewId="0">
      <selection activeCell="K19" sqref="K19"/>
    </sheetView>
  </sheetViews>
  <sheetFormatPr defaultRowHeight="12.75" x14ac:dyDescent="0.2"/>
  <cols>
    <col min="1" max="16384" width="9.140625" style="1945"/>
  </cols>
  <sheetData>
    <row r="1" spans="1:9" x14ac:dyDescent="0.2">
      <c r="A1" s="2499" t="s">
        <v>2153</v>
      </c>
      <c r="B1" s="2499"/>
      <c r="C1" s="2499"/>
      <c r="D1" s="2499"/>
      <c r="E1" s="2499"/>
      <c r="F1" s="2499"/>
      <c r="G1" s="2499"/>
      <c r="H1" s="2499"/>
      <c r="I1" s="2499"/>
    </row>
    <row r="2" spans="1:9" x14ac:dyDescent="0.2">
      <c r="A2" s="2501" t="s">
        <v>2082</v>
      </c>
      <c r="B2" s="2501"/>
      <c r="C2" s="2501"/>
      <c r="D2" s="2501"/>
      <c r="E2" s="2501"/>
      <c r="F2" s="2501"/>
      <c r="G2" s="2501"/>
      <c r="H2" s="2501"/>
      <c r="I2" s="2501"/>
    </row>
    <row r="3" spans="1:9" x14ac:dyDescent="0.2">
      <c r="A3" s="2501" t="s">
        <v>2154</v>
      </c>
      <c r="B3" s="2501"/>
      <c r="C3" s="2501"/>
      <c r="D3" s="2501"/>
      <c r="E3" s="2501"/>
      <c r="F3" s="2501"/>
      <c r="G3" s="2501"/>
      <c r="H3" s="2501"/>
      <c r="I3" s="2501"/>
    </row>
    <row r="4" spans="1:9" x14ac:dyDescent="0.2">
      <c r="A4" s="2501" t="s">
        <v>1987</v>
      </c>
      <c r="B4" s="2501"/>
      <c r="C4" s="2501"/>
      <c r="D4" s="2501"/>
      <c r="E4" s="2501"/>
      <c r="F4" s="2501"/>
      <c r="G4" s="2501"/>
      <c r="H4" s="2501"/>
      <c r="I4" s="2501"/>
    </row>
    <row r="6" spans="1:9" x14ac:dyDescent="0.2">
      <c r="A6" s="1944" t="s">
        <v>2145</v>
      </c>
    </row>
    <row r="8" spans="1:9" x14ac:dyDescent="0.2">
      <c r="A8" s="1945" t="s">
        <v>2146</v>
      </c>
      <c r="B8" s="1946" t="s">
        <v>1989</v>
      </c>
      <c r="C8" s="1947" t="s">
        <v>2158</v>
      </c>
    </row>
    <row r="10" spans="1:9" x14ac:dyDescent="0.2">
      <c r="A10" s="1945" t="s">
        <v>2148</v>
      </c>
    </row>
    <row r="11" spans="1:9" x14ac:dyDescent="0.2">
      <c r="A11" s="2500" t="s">
        <v>2159</v>
      </c>
      <c r="B11" s="2500"/>
      <c r="C11" s="2500"/>
      <c r="D11" s="2500"/>
      <c r="E11" s="2500"/>
      <c r="F11" s="2500"/>
      <c r="G11" s="2500"/>
    </row>
    <row r="12" spans="1:9" x14ac:dyDescent="0.2">
      <c r="A12" s="2500"/>
      <c r="B12" s="2500"/>
      <c r="C12" s="2500"/>
      <c r="D12" s="2500"/>
      <c r="E12" s="2500"/>
      <c r="F12" s="2500"/>
      <c r="G12" s="2500"/>
    </row>
    <row r="14" spans="1:9" x14ac:dyDescent="0.2">
      <c r="A14" s="1945" t="s">
        <v>2149</v>
      </c>
    </row>
    <row r="15" spans="1:9" x14ac:dyDescent="0.2">
      <c r="A15" s="1945" t="s">
        <v>2160</v>
      </c>
    </row>
    <row r="17" spans="1:7" x14ac:dyDescent="0.2">
      <c r="A17" s="1945" t="s">
        <v>2150</v>
      </c>
      <c r="E17" s="1945" t="s">
        <v>2161</v>
      </c>
    </row>
    <row r="19" spans="1:7" x14ac:dyDescent="0.2">
      <c r="A19" s="1945" t="s">
        <v>2151</v>
      </c>
      <c r="E19" s="1945" t="s">
        <v>2169</v>
      </c>
    </row>
    <row r="21" spans="1:7" x14ac:dyDescent="0.2">
      <c r="A21" s="1945" t="s">
        <v>2152</v>
      </c>
    </row>
    <row r="22" spans="1:7" ht="12.75" customHeight="1" x14ac:dyDescent="0.2">
      <c r="A22" s="2502" t="s">
        <v>2174</v>
      </c>
      <c r="B22" s="2502"/>
      <c r="C22" s="2502"/>
      <c r="D22" s="2502"/>
      <c r="E22" s="2502"/>
      <c r="F22" s="2502"/>
      <c r="G22" s="2502"/>
    </row>
    <row r="23" spans="1:7" x14ac:dyDescent="0.2">
      <c r="A23" s="2502"/>
      <c r="B23" s="2502"/>
      <c r="C23" s="2502"/>
      <c r="D23" s="2502"/>
      <c r="E23" s="2502"/>
      <c r="F23" s="2502"/>
      <c r="G23" s="2502"/>
    </row>
    <row r="24" spans="1:7" x14ac:dyDescent="0.2">
      <c r="A24" s="2502"/>
      <c r="B24" s="2502"/>
      <c r="C24" s="2502"/>
      <c r="D24" s="2502"/>
      <c r="E24" s="2502"/>
      <c r="F24" s="2502"/>
      <c r="G24" s="2502"/>
    </row>
    <row r="25" spans="1:7" x14ac:dyDescent="0.2">
      <c r="A25" s="2502"/>
      <c r="B25" s="2502"/>
      <c r="C25" s="2502"/>
      <c r="D25" s="2502"/>
      <c r="E25" s="2502"/>
      <c r="F25" s="2502"/>
      <c r="G25" s="2502"/>
    </row>
    <row r="26" spans="1:7" x14ac:dyDescent="0.2">
      <c r="A26" s="2502"/>
      <c r="B26" s="2502"/>
      <c r="C26" s="2502"/>
      <c r="D26" s="2502"/>
      <c r="E26" s="2502"/>
      <c r="F26" s="2502"/>
      <c r="G26" s="2502"/>
    </row>
    <row r="27" spans="1:7" x14ac:dyDescent="0.2">
      <c r="A27" s="2502"/>
      <c r="B27" s="2502"/>
      <c r="C27" s="2502"/>
      <c r="D27" s="2502"/>
      <c r="E27" s="2502"/>
      <c r="F27" s="2502"/>
      <c r="G27" s="2502"/>
    </row>
  </sheetData>
  <mergeCells count="6">
    <mergeCell ref="A1:I1"/>
    <mergeCell ref="A22:G27"/>
    <mergeCell ref="A11:G12"/>
    <mergeCell ref="A4:I4"/>
    <mergeCell ref="A3:I3"/>
    <mergeCell ref="A2:I2"/>
  </mergeCells>
  <printOptions horizontalCentered="1"/>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I27"/>
  <sheetViews>
    <sheetView view="pageBreakPreview" zoomScale="90" zoomScaleNormal="100" zoomScaleSheetLayoutView="90" workbookViewId="0">
      <selection activeCell="K19" sqref="K19"/>
    </sheetView>
  </sheetViews>
  <sheetFormatPr defaultRowHeight="12.75" x14ac:dyDescent="0.2"/>
  <cols>
    <col min="1" max="16384" width="9.140625" style="1945"/>
  </cols>
  <sheetData>
    <row r="1" spans="1:9" x14ac:dyDescent="0.2">
      <c r="A1" s="2499" t="s">
        <v>2153</v>
      </c>
      <c r="B1" s="2499"/>
      <c r="C1" s="2499"/>
      <c r="D1" s="2499"/>
      <c r="E1" s="2499"/>
      <c r="F1" s="2499"/>
      <c r="G1" s="2499"/>
      <c r="H1" s="2499"/>
      <c r="I1" s="2499"/>
    </row>
    <row r="2" spans="1:9" x14ac:dyDescent="0.2">
      <c r="A2" s="2501" t="s">
        <v>2082</v>
      </c>
      <c r="B2" s="2501"/>
      <c r="C2" s="2501"/>
      <c r="D2" s="2501"/>
      <c r="E2" s="2501"/>
      <c r="F2" s="2501"/>
      <c r="G2" s="2501"/>
      <c r="H2" s="2501"/>
      <c r="I2" s="2501"/>
    </row>
    <row r="3" spans="1:9" x14ac:dyDescent="0.2">
      <c r="A3" s="2501" t="s">
        <v>2154</v>
      </c>
      <c r="B3" s="2501"/>
      <c r="C3" s="2501"/>
      <c r="D3" s="2501"/>
      <c r="E3" s="2501"/>
      <c r="F3" s="2501"/>
      <c r="G3" s="2501"/>
      <c r="H3" s="2501"/>
      <c r="I3" s="2501"/>
    </row>
    <row r="4" spans="1:9" x14ac:dyDescent="0.2">
      <c r="A4" s="2501" t="s">
        <v>1987</v>
      </c>
      <c r="B4" s="2501"/>
      <c r="C4" s="2501"/>
      <c r="D4" s="2501"/>
      <c r="E4" s="2501"/>
      <c r="F4" s="2501"/>
      <c r="G4" s="2501"/>
      <c r="H4" s="2501"/>
      <c r="I4" s="2501"/>
    </row>
    <row r="6" spans="1:9" x14ac:dyDescent="0.2">
      <c r="A6" s="1944" t="s">
        <v>2145</v>
      </c>
    </row>
    <row r="8" spans="1:9" x14ac:dyDescent="0.2">
      <c r="A8" s="1945" t="s">
        <v>2146</v>
      </c>
      <c r="B8" s="1946" t="s">
        <v>1989</v>
      </c>
      <c r="C8" s="1947" t="s">
        <v>2162</v>
      </c>
    </row>
    <row r="10" spans="1:9" x14ac:dyDescent="0.2">
      <c r="A10" s="1945" t="s">
        <v>2148</v>
      </c>
    </row>
    <row r="11" spans="1:9" x14ac:dyDescent="0.2">
      <c r="A11" s="2500" t="s">
        <v>2163</v>
      </c>
      <c r="B11" s="2500"/>
      <c r="C11" s="2500"/>
      <c r="D11" s="2500"/>
      <c r="E11" s="2500"/>
      <c r="F11" s="2500"/>
      <c r="G11" s="2500"/>
    </row>
    <row r="12" spans="1:9" x14ac:dyDescent="0.2">
      <c r="A12" s="2500"/>
      <c r="B12" s="2500"/>
      <c r="C12" s="2500"/>
      <c r="D12" s="2500"/>
      <c r="E12" s="2500"/>
      <c r="F12" s="2500"/>
      <c r="G12" s="2500"/>
    </row>
    <row r="14" spans="1:9" x14ac:dyDescent="0.2">
      <c r="A14" s="1945" t="s">
        <v>2149</v>
      </c>
    </row>
    <row r="15" spans="1:9" x14ac:dyDescent="0.2">
      <c r="A15" s="2500" t="s">
        <v>2164</v>
      </c>
      <c r="B15" s="2500"/>
      <c r="C15" s="2500"/>
      <c r="D15" s="2500"/>
      <c r="E15" s="2500"/>
      <c r="F15" s="2500"/>
      <c r="G15" s="2500"/>
    </row>
    <row r="16" spans="1:9" x14ac:dyDescent="0.2">
      <c r="A16" s="2500"/>
      <c r="B16" s="2500"/>
      <c r="C16" s="2500"/>
      <c r="D16" s="2500"/>
      <c r="E16" s="2500"/>
      <c r="F16" s="2500"/>
      <c r="G16" s="2500"/>
    </row>
    <row r="17" spans="1:7" x14ac:dyDescent="0.2">
      <c r="A17" s="1945" t="s">
        <v>2150</v>
      </c>
      <c r="E17" s="1945" t="s">
        <v>2161</v>
      </c>
    </row>
    <row r="19" spans="1:7" x14ac:dyDescent="0.2">
      <c r="A19" s="1945" t="s">
        <v>2151</v>
      </c>
      <c r="E19" s="1945" t="s">
        <v>2169</v>
      </c>
    </row>
    <row r="21" spans="1:7" x14ac:dyDescent="0.2">
      <c r="A21" s="1945" t="s">
        <v>2152</v>
      </c>
    </row>
    <row r="22" spans="1:7" ht="12.75" customHeight="1" x14ac:dyDescent="0.2">
      <c r="A22" s="2502" t="s">
        <v>2175</v>
      </c>
      <c r="B22" s="2502"/>
      <c r="C22" s="2502"/>
      <c r="D22" s="2502"/>
      <c r="E22" s="2502"/>
      <c r="F22" s="2502"/>
      <c r="G22" s="2502"/>
    </row>
    <row r="23" spans="1:7" x14ac:dyDescent="0.2">
      <c r="A23" s="2502"/>
      <c r="B23" s="2502"/>
      <c r="C23" s="2502"/>
      <c r="D23" s="2502"/>
      <c r="E23" s="2502"/>
      <c r="F23" s="2502"/>
      <c r="G23" s="2502"/>
    </row>
    <row r="24" spans="1:7" x14ac:dyDescent="0.2">
      <c r="A24" s="2502"/>
      <c r="B24" s="2502"/>
      <c r="C24" s="2502"/>
      <c r="D24" s="2502"/>
      <c r="E24" s="2502"/>
      <c r="F24" s="2502"/>
      <c r="G24" s="2502"/>
    </row>
    <row r="25" spans="1:7" x14ac:dyDescent="0.2">
      <c r="A25" s="2502"/>
      <c r="B25" s="2502"/>
      <c r="C25" s="2502"/>
      <c r="D25" s="2502"/>
      <c r="E25" s="2502"/>
      <c r="F25" s="2502"/>
      <c r="G25" s="2502"/>
    </row>
    <row r="26" spans="1:7" x14ac:dyDescent="0.2">
      <c r="A26" s="2502"/>
      <c r="B26" s="2502"/>
      <c r="C26" s="2502"/>
      <c r="D26" s="2502"/>
      <c r="E26" s="2502"/>
      <c r="F26" s="2502"/>
      <c r="G26" s="2502"/>
    </row>
    <row r="27" spans="1:7" x14ac:dyDescent="0.2">
      <c r="A27" s="2502"/>
      <c r="B27" s="2502"/>
      <c r="C27" s="2502"/>
      <c r="D27" s="2502"/>
      <c r="E27" s="2502"/>
      <c r="F27" s="2502"/>
      <c r="G27" s="2502"/>
    </row>
  </sheetData>
  <mergeCells count="7">
    <mergeCell ref="A2:I2"/>
    <mergeCell ref="A1:I1"/>
    <mergeCell ref="A22:G27"/>
    <mergeCell ref="A15:G16"/>
    <mergeCell ref="A11:G12"/>
    <mergeCell ref="A4:I4"/>
    <mergeCell ref="A3:I3"/>
  </mergeCells>
  <printOptions horizontalCentered="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6" colorId="8" zoomScale="110" zoomScaleNormal="110" workbookViewId="0">
      <selection activeCell="N15" sqref="N1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6" t="s">
        <v>386</v>
      </c>
      <c r="B1" s="2096"/>
      <c r="C1" s="2096"/>
      <c r="D1" s="2096"/>
      <c r="E1" s="2096"/>
      <c r="F1" s="2096"/>
      <c r="G1" s="2096"/>
      <c r="H1" s="2096"/>
      <c r="I1" s="2096"/>
      <c r="J1" s="2096"/>
      <c r="K1" s="2096"/>
      <c r="L1" s="2096"/>
      <c r="M1" s="209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322586079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2.8723100000000001E-2</v>
      </c>
      <c r="E10" s="356" t="s">
        <v>1005</v>
      </c>
      <c r="F10" s="355">
        <v>5.7720000000000002E-3</v>
      </c>
      <c r="G10" s="356" t="s">
        <v>1005</v>
      </c>
      <c r="H10" s="355">
        <v>3.9004E-3</v>
      </c>
      <c r="I10" s="356" t="s">
        <v>1006</v>
      </c>
      <c r="J10" s="1732">
        <f>ROUND(D10+F10+H10,5)</f>
        <v>3.8399999999999997E-2</v>
      </c>
      <c r="K10" s="222"/>
      <c r="L10" s="355">
        <v>0</v>
      </c>
      <c r="M10" s="222"/>
    </row>
    <row r="11" spans="1:14" ht="7.5" customHeight="1" x14ac:dyDescent="0.2">
      <c r="B11" s="222"/>
      <c r="C11" s="222"/>
      <c r="D11" s="2106" t="str">
        <f>IF(SUM(J10)&lt;=0.0999999,"","Enter the Tax Rates by moving the decimal two places to the left.")</f>
        <v/>
      </c>
      <c r="E11" s="2107"/>
      <c r="F11" s="2107"/>
      <c r="G11" s="2107"/>
      <c r="H11" s="2107"/>
      <c r="I11" s="2107"/>
      <c r="J11" s="210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26690456</v>
      </c>
      <c r="E16" s="356"/>
      <c r="F16" s="1733">
        <f>SUM('Acct Summary 7-8'!C17,'Acct Summary 7-8'!D17,'Acct Summary 7-8'!F17)</f>
        <v>23902162</v>
      </c>
      <c r="G16" s="356"/>
      <c r="H16" s="1733">
        <f>SUM(D16-F16)</f>
        <v>2788294</v>
      </c>
      <c r="I16" s="222"/>
      <c r="J16" s="1733">
        <f>SUM('Acct Summary 7-8'!C81,'Acct Summary 7-8'!D81,'Acct Summary 7-8'!F81,'Acct Summary 7-8'!I81)</f>
        <v>13490477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44516878.902000003</v>
      </c>
      <c r="I31" s="368"/>
      <c r="J31" s="222"/>
      <c r="K31" s="222"/>
      <c r="L31" s="222"/>
      <c r="M31" s="222"/>
    </row>
    <row r="32" spans="1:13" ht="13.35" customHeight="1" x14ac:dyDescent="0.2">
      <c r="B32" s="369" t="s">
        <v>2065</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7"/>
      <c r="C54" s="2098"/>
      <c r="D54" s="2098"/>
      <c r="E54" s="2098"/>
      <c r="F54" s="2098"/>
      <c r="G54" s="2098"/>
      <c r="H54" s="2098"/>
      <c r="I54" s="2098"/>
      <c r="J54" s="2098"/>
      <c r="K54" s="2098"/>
      <c r="L54" s="2099"/>
      <c r="M54" s="380"/>
    </row>
    <row r="55" spans="1:13" ht="12.75" customHeight="1" x14ac:dyDescent="0.2">
      <c r="B55" s="2100"/>
      <c r="C55" s="2101"/>
      <c r="D55" s="2101"/>
      <c r="E55" s="2101"/>
      <c r="F55" s="2101"/>
      <c r="G55" s="2101"/>
      <c r="H55" s="2101"/>
      <c r="I55" s="2101"/>
      <c r="J55" s="2101"/>
      <c r="K55" s="2101"/>
      <c r="L55" s="2102"/>
      <c r="M55" s="380"/>
    </row>
    <row r="56" spans="1:13" ht="12.75" customHeight="1" x14ac:dyDescent="0.2">
      <c r="B56" s="2100"/>
      <c r="C56" s="2101"/>
      <c r="D56" s="2101"/>
      <c r="E56" s="2101"/>
      <c r="F56" s="2101"/>
      <c r="G56" s="2101"/>
      <c r="H56" s="2101"/>
      <c r="I56" s="2101"/>
      <c r="J56" s="2101"/>
      <c r="K56" s="2101"/>
      <c r="L56" s="2102"/>
      <c r="M56" s="222"/>
    </row>
    <row r="57" spans="1:13" ht="12.75" customHeight="1" x14ac:dyDescent="0.2">
      <c r="B57" s="2100"/>
      <c r="C57" s="2101"/>
      <c r="D57" s="2101"/>
      <c r="E57" s="2101"/>
      <c r="F57" s="2101"/>
      <c r="G57" s="2101"/>
      <c r="H57" s="2101"/>
      <c r="I57" s="2101"/>
      <c r="J57" s="2101"/>
      <c r="K57" s="2101"/>
      <c r="L57" s="2102"/>
      <c r="M57" s="222"/>
    </row>
    <row r="58" spans="1:13" x14ac:dyDescent="0.2">
      <c r="B58" s="2103"/>
      <c r="C58" s="2104"/>
      <c r="D58" s="2104"/>
      <c r="E58" s="2104"/>
      <c r="F58" s="2104"/>
      <c r="G58" s="2104"/>
      <c r="H58" s="2104"/>
      <c r="I58" s="2104"/>
      <c r="J58" s="2104"/>
      <c r="K58" s="2104"/>
      <c r="L58" s="210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8"/>
      <c r="D61" s="210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4" zoomScale="110" zoomScaleNormal="110" workbookViewId="0">
      <selection activeCell="T34" sqref="T3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1"/>
      <c r="B1" s="2112"/>
      <c r="C1" s="2112"/>
      <c r="D1" s="384"/>
      <c r="E1" s="384"/>
      <c r="F1" s="384"/>
      <c r="G1" s="384"/>
      <c r="H1" s="384"/>
      <c r="I1" s="384"/>
      <c r="J1" s="384"/>
      <c r="K1" s="384"/>
      <c r="L1" s="384"/>
      <c r="M1" s="384"/>
      <c r="N1" s="384"/>
      <c r="O1" s="2111"/>
      <c r="P1" s="2112"/>
      <c r="Q1" s="2112"/>
    </row>
    <row r="2" spans="1:18" ht="15" x14ac:dyDescent="0.2">
      <c r="A2" s="2115" t="s">
        <v>556</v>
      </c>
      <c r="B2" s="2115"/>
      <c r="C2" s="2115"/>
      <c r="D2" s="2115"/>
      <c r="E2" s="2115"/>
      <c r="F2" s="2115"/>
      <c r="G2" s="2115"/>
      <c r="H2" s="2115"/>
      <c r="I2" s="2115"/>
      <c r="J2" s="2115"/>
      <c r="K2" s="2115"/>
      <c r="L2" s="2115"/>
      <c r="M2" s="2115"/>
      <c r="N2" s="2115"/>
      <c r="O2" s="2115"/>
      <c r="P2" s="2115"/>
      <c r="Q2" s="2115"/>
      <c r="R2" s="2115"/>
    </row>
    <row r="3" spans="1:18" ht="12.75" x14ac:dyDescent="0.2">
      <c r="A3" s="2116" t="s">
        <v>1413</v>
      </c>
      <c r="B3" s="2116"/>
      <c r="C3" s="2116"/>
      <c r="D3" s="2116"/>
      <c r="E3" s="2116"/>
      <c r="F3" s="2116"/>
      <c r="G3" s="2116"/>
      <c r="H3" s="2116"/>
      <c r="I3" s="2116"/>
      <c r="J3" s="2116"/>
      <c r="K3" s="2116"/>
      <c r="L3" s="2116"/>
      <c r="M3" s="2116"/>
      <c r="N3" s="2116"/>
      <c r="O3" s="2116"/>
      <c r="P3" s="2116"/>
      <c r="Q3" s="2116"/>
      <c r="R3" s="2116"/>
    </row>
    <row r="4" spans="1:18" x14ac:dyDescent="0.2">
      <c r="A4" s="2117" t="s">
        <v>1554</v>
      </c>
      <c r="B4" s="2117"/>
      <c r="C4" s="2117"/>
      <c r="D4" s="2117"/>
      <c r="E4" s="2117"/>
      <c r="F4" s="2117"/>
      <c r="G4" s="2117"/>
      <c r="H4" s="2117"/>
      <c r="I4" s="2117"/>
      <c r="J4" s="2117"/>
      <c r="K4" s="2117"/>
      <c r="L4" s="2117"/>
      <c r="M4" s="2117"/>
      <c r="N4" s="2117"/>
      <c r="O4" s="2117"/>
      <c r="P4" s="2117"/>
      <c r="Q4" s="2117"/>
      <c r="R4" s="211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Charleston CUSD 1</v>
      </c>
      <c r="E7" s="391"/>
      <c r="G7" s="252"/>
      <c r="H7" s="387"/>
      <c r="I7" s="387"/>
      <c r="J7" s="387"/>
      <c r="K7" s="387"/>
      <c r="L7" s="329"/>
      <c r="M7" s="329"/>
      <c r="N7" s="329"/>
      <c r="O7" s="329"/>
      <c r="P7" s="329"/>
    </row>
    <row r="8" spans="1:18" ht="12.75" x14ac:dyDescent="0.2">
      <c r="A8" s="329"/>
      <c r="B8" s="329"/>
      <c r="C8" s="389" t="s">
        <v>1125</v>
      </c>
      <c r="D8" s="392">
        <f>COVER!A13</f>
        <v>11015001026</v>
      </c>
      <c r="E8" s="393"/>
      <c r="G8" s="329"/>
      <c r="H8" s="329"/>
      <c r="I8" s="329"/>
      <c r="J8" s="329"/>
      <c r="K8" s="329"/>
      <c r="L8" s="329"/>
      <c r="M8" s="329"/>
      <c r="N8" s="329"/>
      <c r="O8" s="329"/>
      <c r="P8" s="329"/>
    </row>
    <row r="9" spans="1:18" ht="12.75" x14ac:dyDescent="0.2">
      <c r="A9" s="329"/>
      <c r="B9" s="329"/>
      <c r="C9" s="389" t="s">
        <v>713</v>
      </c>
      <c r="D9" s="394" t="str">
        <f>COVER!A15</f>
        <v>Coles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13490477</v>
      </c>
      <c r="I12" s="404"/>
      <c r="J12" s="404"/>
      <c r="K12" s="405">
        <f>TRUNC((H12/H13*100000),5)/100000</f>
        <v>0.50544198269999996</v>
      </c>
      <c r="L12" s="406"/>
      <c r="M12" s="360" t="s">
        <v>1144</v>
      </c>
      <c r="N12" s="360"/>
      <c r="O12" s="407">
        <v>0.35</v>
      </c>
      <c r="P12" s="218"/>
      <c r="Q12" s="218"/>
    </row>
    <row r="13" spans="1:18" s="408" customFormat="1" ht="12.75" x14ac:dyDescent="0.2">
      <c r="A13" s="218"/>
      <c r="B13" s="401"/>
      <c r="C13" s="2113" t="s">
        <v>1324</v>
      </c>
      <c r="D13" s="2114"/>
      <c r="E13" s="218"/>
      <c r="F13" s="409" t="s">
        <v>793</v>
      </c>
      <c r="G13" s="402"/>
      <c r="H13" s="403">
        <f>SUM('Acct Summary 7-8'!C8+'Acct Summary 7-8'!D8+'Acct Summary 7-8'!F8+'Acct Summary 7-8'!I8)+H14</f>
        <v>26690456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23902162</v>
      </c>
      <c r="I17" s="404"/>
      <c r="J17" s="416"/>
      <c r="K17" s="405">
        <f>TRUNC((H17/H18*100000),5)/100000</f>
        <v>0.89553217070000002</v>
      </c>
      <c r="L17" s="406"/>
      <c r="M17" s="417" t="s">
        <v>1171</v>
      </c>
      <c r="O17" s="418" t="str">
        <f>IF(AND(O16="2", J20 &gt; 2),"1",IF(AND(O16 = "1", J20 &gt; 2),"2",IF(AND(O16="1", J20 &gt;1),"1","0")))</f>
        <v>0</v>
      </c>
      <c r="P17" s="218"/>
    </row>
    <row r="18" spans="1:18" s="408" customFormat="1" ht="11.25" x14ac:dyDescent="0.2">
      <c r="A18" s="218"/>
      <c r="B18" s="401"/>
      <c r="C18" s="2113" t="s">
        <v>1317</v>
      </c>
      <c r="D18" s="2114"/>
      <c r="E18" s="218"/>
      <c r="F18" s="419" t="s">
        <v>794</v>
      </c>
      <c r="G18" s="402"/>
      <c r="H18" s="403">
        <f>SUM('Acct Summary 7-8'!C8+'Acct Summary 7-8'!D8+'Acct Summary 7-8'!F8+'Acct Summary 7-8'!I8)+H19</f>
        <v>26690456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0" t="s">
        <v>1412</v>
      </c>
      <c r="D24" s="2110"/>
      <c r="E24" s="218"/>
      <c r="F24" s="218" t="s">
        <v>445</v>
      </c>
      <c r="G24" s="402"/>
      <c r="H24" s="403">
        <f>SUM('Assets-Liab 5-6'!C4+'Assets-Liab 5-6'!D4+'Assets-Liab 5-6'!F4+'Assets-Liab 5-6'!I4+'Assets-Liab 5-6'!C5+'Assets-Liab 5-6'!D5+'Assets-Liab 5-6'!F5+'Assets-Liab 5-6'!I5)</f>
        <v>13500553</v>
      </c>
      <c r="I24" s="422"/>
      <c r="J24" s="422"/>
      <c r="K24" s="423">
        <f>TRUNC(((H24/H25*100000)/100000),2)</f>
        <v>203.33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66394.894440000004</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10529209.618559999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44516878.902000003</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12" activePane="bottomLeft" state="frozen"/>
      <selection activeCell="X22" sqref="X22"/>
      <selection pane="bottomLeft" activeCell="C45" sqref="C4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0" t="s">
        <v>973</v>
      </c>
      <c r="B3" s="2121"/>
      <c r="C3" s="1559"/>
      <c r="D3" s="1560"/>
      <c r="E3" s="1560"/>
      <c r="F3" s="1560"/>
      <c r="G3" s="1560"/>
      <c r="H3" s="1560"/>
      <c r="I3" s="1560"/>
      <c r="J3" s="1560"/>
      <c r="K3" s="1560"/>
      <c r="L3" s="1560"/>
      <c r="M3" s="1561"/>
      <c r="N3" s="1562"/>
    </row>
    <row r="4" spans="1:14" ht="13.5" customHeight="1" x14ac:dyDescent="0.2">
      <c r="A4" s="463" t="s">
        <v>1651</v>
      </c>
      <c r="B4" s="464"/>
      <c r="C4" s="465">
        <v>3512208</v>
      </c>
      <c r="D4" s="466">
        <v>328694</v>
      </c>
      <c r="E4" s="466"/>
      <c r="F4" s="466">
        <v>835121</v>
      </c>
      <c r="G4" s="466">
        <v>282712</v>
      </c>
      <c r="H4" s="466">
        <v>586061</v>
      </c>
      <c r="I4" s="466">
        <v>117203</v>
      </c>
      <c r="J4" s="467">
        <v>12310</v>
      </c>
      <c r="K4" s="466">
        <v>100942</v>
      </c>
      <c r="L4" s="466">
        <v>213590</v>
      </c>
      <c r="M4" s="468"/>
      <c r="N4" s="469"/>
    </row>
    <row r="5" spans="1:14" x14ac:dyDescent="0.2">
      <c r="A5" s="463" t="s">
        <v>992</v>
      </c>
      <c r="B5" s="470">
        <v>120</v>
      </c>
      <c r="C5" s="465">
        <v>6040571</v>
      </c>
      <c r="D5" s="466">
        <v>684387</v>
      </c>
      <c r="E5" s="466"/>
      <c r="F5" s="466">
        <v>657256</v>
      </c>
      <c r="G5" s="466">
        <v>783260</v>
      </c>
      <c r="H5" s="466">
        <v>808396</v>
      </c>
      <c r="I5" s="466">
        <v>1325113</v>
      </c>
      <c r="J5" s="467"/>
      <c r="K5" s="471">
        <v>359445</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v>1224475</v>
      </c>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9552779</v>
      </c>
      <c r="D13" s="1737">
        <f t="shared" ref="D13:L13" si="0">SUM(D4:D12)</f>
        <v>1013081</v>
      </c>
      <c r="E13" s="1737">
        <f t="shared" si="0"/>
        <v>0</v>
      </c>
      <c r="F13" s="1737">
        <f t="shared" si="0"/>
        <v>1492377</v>
      </c>
      <c r="G13" s="1737">
        <f t="shared" si="0"/>
        <v>1065972</v>
      </c>
      <c r="H13" s="1737">
        <f t="shared" si="0"/>
        <v>1394457</v>
      </c>
      <c r="I13" s="1737">
        <f t="shared" si="0"/>
        <v>2666791</v>
      </c>
      <c r="J13" s="1737">
        <f t="shared" si="0"/>
        <v>12310</v>
      </c>
      <c r="K13" s="1737">
        <f t="shared" si="0"/>
        <v>460387</v>
      </c>
      <c r="L13" s="1737">
        <f t="shared" si="0"/>
        <v>213590</v>
      </c>
      <c r="M13" s="468"/>
      <c r="N13" s="469"/>
    </row>
    <row r="14" spans="1:14" ht="18" customHeight="1" thickTop="1" x14ac:dyDescent="0.2">
      <c r="A14" s="2122" t="s">
        <v>147</v>
      </c>
      <c r="B14" s="2123"/>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1099169</v>
      </c>
      <c r="N16" s="484"/>
    </row>
    <row r="17" spans="1:14" s="485" customFormat="1" ht="12.75" customHeight="1" x14ac:dyDescent="0.2">
      <c r="A17" s="482" t="s">
        <v>1403</v>
      </c>
      <c r="B17" s="483">
        <v>230</v>
      </c>
      <c r="C17" s="477"/>
      <c r="D17" s="477"/>
      <c r="E17" s="477"/>
      <c r="F17" s="477"/>
      <c r="G17" s="477"/>
      <c r="H17" s="477"/>
      <c r="I17" s="477"/>
      <c r="J17" s="477"/>
      <c r="K17" s="477"/>
      <c r="L17" s="477"/>
      <c r="M17" s="467">
        <v>45792451</v>
      </c>
      <c r="N17" s="484"/>
    </row>
    <row r="18" spans="1:14" s="485" customFormat="1" ht="12.75" customHeight="1" x14ac:dyDescent="0.2">
      <c r="A18" s="482" t="s">
        <v>1404</v>
      </c>
      <c r="B18" s="483">
        <v>240</v>
      </c>
      <c r="C18" s="477"/>
      <c r="D18" s="477"/>
      <c r="E18" s="477"/>
      <c r="F18" s="477"/>
      <c r="G18" s="477"/>
      <c r="H18" s="477"/>
      <c r="I18" s="477"/>
      <c r="J18" s="477"/>
      <c r="K18" s="477"/>
      <c r="L18" s="477"/>
      <c r="M18" s="467">
        <v>4194219</v>
      </c>
      <c r="N18" s="484"/>
    </row>
    <row r="19" spans="1:14" s="485" customFormat="1" ht="12.75" customHeight="1" x14ac:dyDescent="0.2">
      <c r="A19" s="482" t="s">
        <v>1405</v>
      </c>
      <c r="B19" s="483">
        <v>250</v>
      </c>
      <c r="C19" s="477"/>
      <c r="D19" s="477"/>
      <c r="E19" s="477"/>
      <c r="F19" s="477"/>
      <c r="G19" s="477"/>
      <c r="H19" s="477"/>
      <c r="I19" s="477"/>
      <c r="J19" s="477"/>
      <c r="K19" s="477"/>
      <c r="L19" s="477"/>
      <c r="M19" s="467">
        <v>682183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51768022</v>
      </c>
      <c r="N23" s="1688">
        <f>SUM(N21:N22)</f>
        <v>0</v>
      </c>
    </row>
    <row r="24" spans="1:14" ht="18" customHeight="1" thickTop="1" x14ac:dyDescent="0.2">
      <c r="A24" s="2124" t="s">
        <v>598</v>
      </c>
      <c r="B24" s="2125"/>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v>1224475</v>
      </c>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8946</v>
      </c>
      <c r="D31" s="467">
        <v>1130</v>
      </c>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213590</v>
      </c>
      <c r="M33" s="468"/>
      <c r="N33" s="469"/>
    </row>
    <row r="34" spans="1:14" ht="13.5" customHeight="1" thickBot="1" x14ac:dyDescent="0.25">
      <c r="A34" s="1738" t="s">
        <v>654</v>
      </c>
      <c r="B34" s="1739"/>
      <c r="C34" s="1740">
        <f>SUM(C25:C33)</f>
        <v>8946</v>
      </c>
      <c r="D34" s="1740">
        <f t="shared" ref="D34:K34" si="1">SUM(D25:D33)</f>
        <v>1130</v>
      </c>
      <c r="E34" s="1740">
        <f t="shared" si="1"/>
        <v>0</v>
      </c>
      <c r="F34" s="1740">
        <f t="shared" si="1"/>
        <v>1224475</v>
      </c>
      <c r="G34" s="1740">
        <f t="shared" si="1"/>
        <v>0</v>
      </c>
      <c r="H34" s="1740">
        <f t="shared" si="1"/>
        <v>0</v>
      </c>
      <c r="I34" s="1740">
        <f t="shared" si="1"/>
        <v>0</v>
      </c>
      <c r="J34" s="1740">
        <f t="shared" si="1"/>
        <v>0</v>
      </c>
      <c r="K34" s="1740">
        <f t="shared" si="1"/>
        <v>0</v>
      </c>
      <c r="L34" s="1721">
        <f>SUM(L33)</f>
        <v>213590</v>
      </c>
      <c r="M34" s="468"/>
      <c r="N34" s="480"/>
    </row>
    <row r="35" spans="1:14" ht="18" customHeight="1" thickTop="1" x14ac:dyDescent="0.2">
      <c r="A35" s="2126" t="s">
        <v>529</v>
      </c>
      <c r="B35" s="2127"/>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v>268156</v>
      </c>
      <c r="H38" s="466"/>
      <c r="I38" s="466"/>
      <c r="J38" s="467"/>
      <c r="K38" s="466"/>
      <c r="L38" s="481"/>
      <c r="M38" s="497"/>
      <c r="N38" s="497"/>
    </row>
    <row r="39" spans="1:14" s="329" customFormat="1" ht="13.5" customHeight="1" x14ac:dyDescent="0.2">
      <c r="A39" s="496" t="s">
        <v>342</v>
      </c>
      <c r="B39" s="483">
        <v>730</v>
      </c>
      <c r="C39" s="466">
        <f>'Acct Summary 7-8'!C81</f>
        <v>9543833</v>
      </c>
      <c r="D39" s="466">
        <f>'Acct Summary 7-8'!D81</f>
        <v>1011951</v>
      </c>
      <c r="E39" s="466">
        <f>'Acct Summary 7-8'!E81</f>
        <v>0</v>
      </c>
      <c r="F39" s="466">
        <f>'Acct Summary 7-8'!F81</f>
        <v>267902</v>
      </c>
      <c r="G39" s="466">
        <v>797816</v>
      </c>
      <c r="H39" s="466">
        <f>'Acct Summary 7-8'!H81</f>
        <v>1394457</v>
      </c>
      <c r="I39" s="466">
        <f>'Acct Summary 7-8'!I81</f>
        <v>2666791</v>
      </c>
      <c r="J39" s="467">
        <f>'Acct Summary 7-8'!J81</f>
        <v>12310</v>
      </c>
      <c r="K39" s="466">
        <f>'Acct Summary 7-8'!K81:K81</f>
        <v>460387</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51768022</v>
      </c>
      <c r="N40" s="497"/>
    </row>
    <row r="41" spans="1:14" ht="13.5" customHeight="1" thickBot="1" x14ac:dyDescent="0.25">
      <c r="A41" s="1736" t="s">
        <v>655</v>
      </c>
      <c r="B41" s="1706"/>
      <c r="C41" s="1688">
        <f>(SUM(C34,C37,C38,C39))</f>
        <v>9552779</v>
      </c>
      <c r="D41" s="1688">
        <f t="shared" ref="D41:L41" si="2">SUM(D34,D37,D38:D39)</f>
        <v>1013081</v>
      </c>
      <c r="E41" s="1688">
        <f t="shared" si="2"/>
        <v>0</v>
      </c>
      <c r="F41" s="1688">
        <f t="shared" si="2"/>
        <v>1492377</v>
      </c>
      <c r="G41" s="1688">
        <f t="shared" si="2"/>
        <v>1065972</v>
      </c>
      <c r="H41" s="1688">
        <f t="shared" si="2"/>
        <v>1394457</v>
      </c>
      <c r="I41" s="1688">
        <f t="shared" si="2"/>
        <v>2666791</v>
      </c>
      <c r="J41" s="1688">
        <f t="shared" si="2"/>
        <v>12310</v>
      </c>
      <c r="K41" s="1688">
        <f t="shared" si="2"/>
        <v>460387</v>
      </c>
      <c r="L41" s="1688">
        <f t="shared" si="2"/>
        <v>213590</v>
      </c>
      <c r="M41" s="1688">
        <f>SUM(M40)</f>
        <v>51768022</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&amp;C&amp;"Times New Roman,Regular"&amp;12The notes to the financial statements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 activePane="bottomLeft" state="frozen"/>
      <selection activeCell="X22" sqref="X22"/>
      <selection pane="bottomLeft" activeCell="X22" sqref="X2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6"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7"/>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8" t="s">
        <v>1175</v>
      </c>
      <c r="B3" s="2149"/>
      <c r="C3" s="1573"/>
      <c r="D3" s="1574"/>
      <c r="E3" s="1574"/>
      <c r="F3" s="1574"/>
      <c r="G3" s="1574"/>
      <c r="H3" s="1574"/>
      <c r="I3" s="1574"/>
      <c r="J3" s="1574"/>
      <c r="K3" s="1575"/>
      <c r="L3" s="506"/>
    </row>
    <row r="4" spans="1:13" ht="15.75" customHeight="1" x14ac:dyDescent="0.2">
      <c r="A4" s="1928" t="s">
        <v>1499</v>
      </c>
      <c r="B4" s="1929">
        <v>1000</v>
      </c>
      <c r="C4" s="1742">
        <f>'Revenues 9-14'!C109</f>
        <v>11828305</v>
      </c>
      <c r="D4" s="1742">
        <f>'Revenues 9-14'!D109</f>
        <v>1901216</v>
      </c>
      <c r="E4" s="1742">
        <f>'Revenues 9-14'!E109</f>
        <v>0</v>
      </c>
      <c r="F4" s="1742">
        <f>'Revenues 9-14'!F109</f>
        <v>1285473</v>
      </c>
      <c r="G4" s="1742">
        <f>'Revenues 9-14'!G109</f>
        <v>776829</v>
      </c>
      <c r="H4" s="1742">
        <f>'Revenues 9-14'!H109</f>
        <v>2208428</v>
      </c>
      <c r="I4" s="1742">
        <f>'Revenues 9-14'!I109</f>
        <v>181468</v>
      </c>
      <c r="J4" s="1742">
        <f>'Revenues 9-14'!J109</f>
        <v>10133</v>
      </c>
      <c r="K4" s="1742">
        <f>'Revenues 9-14'!K109</f>
        <v>157115</v>
      </c>
      <c r="L4" s="347"/>
    </row>
    <row r="5" spans="1:13" ht="15.75" customHeight="1" x14ac:dyDescent="0.2">
      <c r="A5" s="1576" t="s">
        <v>1500</v>
      </c>
      <c r="B5" s="1577">
        <v>2000</v>
      </c>
      <c r="C5" s="1743">
        <f>'Revenues 9-14'!C114</f>
        <v>227000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7269590</v>
      </c>
      <c r="D6" s="1743">
        <f>'Revenues 9-14'!D170</f>
        <v>300000</v>
      </c>
      <c r="E6" s="1743">
        <f>'Revenues 9-14'!E170</f>
        <v>0</v>
      </c>
      <c r="F6" s="1743">
        <f>'Revenues 9-14'!F170</f>
        <v>2057845</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1639559</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20964454</v>
      </c>
      <c r="D8" s="1688">
        <f t="shared" ref="D8:K8" si="0">SUM(D4:D7)</f>
        <v>2201216</v>
      </c>
      <c r="E8" s="1688">
        <f t="shared" si="0"/>
        <v>0</v>
      </c>
      <c r="F8" s="1688">
        <f t="shared" si="0"/>
        <v>3343318</v>
      </c>
      <c r="G8" s="1688">
        <f t="shared" si="0"/>
        <v>776829</v>
      </c>
      <c r="H8" s="1688">
        <f t="shared" si="0"/>
        <v>2208428</v>
      </c>
      <c r="I8" s="1688">
        <f t="shared" si="0"/>
        <v>181468</v>
      </c>
      <c r="J8" s="1688">
        <f t="shared" si="0"/>
        <v>10133</v>
      </c>
      <c r="K8" s="1688">
        <f t="shared" si="0"/>
        <v>157115</v>
      </c>
      <c r="L8" s="347"/>
    </row>
    <row r="9" spans="1:13" ht="15.75" thickTop="1" x14ac:dyDescent="0.2">
      <c r="A9" s="514" t="s">
        <v>1653</v>
      </c>
      <c r="B9" s="515">
        <v>3998</v>
      </c>
      <c r="C9" s="481">
        <v>8132153</v>
      </c>
      <c r="D9" s="516"/>
      <c r="E9" s="481"/>
      <c r="F9" s="481"/>
      <c r="G9" s="517"/>
      <c r="H9" s="481"/>
      <c r="I9" s="509" t="s">
        <v>1169</v>
      </c>
      <c r="J9" s="478"/>
      <c r="K9" s="481"/>
      <c r="L9" s="347"/>
    </row>
    <row r="10" spans="1:13" s="519" customFormat="1" ht="13.5" thickBot="1" x14ac:dyDescent="0.25">
      <c r="A10" s="1736" t="s">
        <v>1173</v>
      </c>
      <c r="B10" s="1709"/>
      <c r="C10" s="1688">
        <f>SUM(C8:C9)</f>
        <v>29096607</v>
      </c>
      <c r="D10" s="1688">
        <f t="shared" ref="D10:K10" si="1">SUM(D8:D9)</f>
        <v>2201216</v>
      </c>
      <c r="E10" s="1688">
        <f t="shared" si="1"/>
        <v>0</v>
      </c>
      <c r="F10" s="1688">
        <f t="shared" si="1"/>
        <v>3343318</v>
      </c>
      <c r="G10" s="1688">
        <f t="shared" si="1"/>
        <v>776829</v>
      </c>
      <c r="H10" s="1688">
        <f t="shared" si="1"/>
        <v>2208428</v>
      </c>
      <c r="I10" s="1688">
        <f t="shared" si="1"/>
        <v>181468</v>
      </c>
      <c r="J10" s="1688">
        <f t="shared" si="1"/>
        <v>10133</v>
      </c>
      <c r="K10" s="1688">
        <f t="shared" si="1"/>
        <v>157115</v>
      </c>
      <c r="L10" s="518"/>
    </row>
    <row r="11" spans="1:13" s="519" customFormat="1" ht="16.7" customHeight="1" thickTop="1" x14ac:dyDescent="0.2">
      <c r="A11" s="2122" t="s">
        <v>1176</v>
      </c>
      <c r="B11" s="2123"/>
      <c r="C11" s="1570"/>
      <c r="D11" s="1571"/>
      <c r="E11" s="1571"/>
      <c r="F11" s="1571"/>
      <c r="G11" s="1571"/>
      <c r="H11" s="1571"/>
      <c r="I11" s="1571"/>
      <c r="J11" s="1571"/>
      <c r="K11" s="1572"/>
      <c r="L11" s="518"/>
    </row>
    <row r="12" spans="1:13" ht="15.75" customHeight="1" x14ac:dyDescent="0.2">
      <c r="A12" s="1576" t="s">
        <v>456</v>
      </c>
      <c r="B12" s="1578">
        <v>1000</v>
      </c>
      <c r="C12" s="1742">
        <f>'Expenditures 15-22'!K33</f>
        <v>11949742</v>
      </c>
      <c r="D12" s="520" t="s">
        <v>1169</v>
      </c>
      <c r="E12" s="468" t="s">
        <v>1169</v>
      </c>
      <c r="F12" s="468" t="s">
        <v>1169</v>
      </c>
      <c r="G12" s="1742">
        <f>'Expenditures 15-22'!K229</f>
        <v>235132</v>
      </c>
      <c r="H12" s="521"/>
      <c r="I12" s="468" t="s">
        <v>1169</v>
      </c>
      <c r="J12" s="468" t="s">
        <v>1169</v>
      </c>
      <c r="K12" s="521" t="s">
        <v>1169</v>
      </c>
      <c r="L12" s="347"/>
    </row>
    <row r="13" spans="1:13" ht="15.75" customHeight="1" x14ac:dyDescent="0.2">
      <c r="A13" s="1576" t="s">
        <v>457</v>
      </c>
      <c r="B13" s="1578">
        <v>2000</v>
      </c>
      <c r="C13" s="1743">
        <f>'Expenditures 15-22'!K74</f>
        <v>6120381</v>
      </c>
      <c r="D13" s="1743">
        <f>'Expenditures 15-22'!K129</f>
        <v>1961778</v>
      </c>
      <c r="E13" s="469" t="s">
        <v>1169</v>
      </c>
      <c r="F13" s="1743">
        <f>'Expenditures 15-22'!K184</f>
        <v>2370222</v>
      </c>
      <c r="G13" s="1743">
        <f>'Expenditures 15-22'!K279</f>
        <v>273541</v>
      </c>
      <c r="H13" s="1743">
        <f>'Expenditures 15-22'!K303</f>
        <v>1865178</v>
      </c>
      <c r="I13" s="468" t="s">
        <v>1169</v>
      </c>
      <c r="J13" s="1743">
        <f>'Expenditures 15-22'!K330</f>
        <v>0</v>
      </c>
      <c r="K13" s="1747">
        <f>'Expenditures 15-22'!K352</f>
        <v>119465</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1467861</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32178</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19570162</v>
      </c>
      <c r="D17" s="1688">
        <f t="shared" si="2"/>
        <v>1961778</v>
      </c>
      <c r="E17" s="1688">
        <f t="shared" si="2"/>
        <v>0</v>
      </c>
      <c r="F17" s="1688">
        <f t="shared" si="2"/>
        <v>2370222</v>
      </c>
      <c r="G17" s="1688">
        <f t="shared" si="2"/>
        <v>508673</v>
      </c>
      <c r="H17" s="1688">
        <f t="shared" si="2"/>
        <v>1865178</v>
      </c>
      <c r="I17" s="468"/>
      <c r="J17" s="1688">
        <f>SUM(J12:J16)</f>
        <v>0</v>
      </c>
      <c r="K17" s="1688">
        <f>SUM(K12:K16)</f>
        <v>119465</v>
      </c>
      <c r="L17" s="347"/>
    </row>
    <row r="18" spans="1:12" ht="15" customHeight="1" thickTop="1" x14ac:dyDescent="0.2">
      <c r="A18" s="1744" t="s">
        <v>1654</v>
      </c>
      <c r="B18" s="1745">
        <v>4180</v>
      </c>
      <c r="C18" s="1742">
        <f t="shared" ref="C18:H18" si="3">C9</f>
        <v>8132153</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27702315</v>
      </c>
      <c r="D19" s="1688">
        <f t="shared" si="4"/>
        <v>1961778</v>
      </c>
      <c r="E19" s="1688">
        <f t="shared" si="4"/>
        <v>0</v>
      </c>
      <c r="F19" s="1688">
        <f t="shared" si="4"/>
        <v>2370222</v>
      </c>
      <c r="G19" s="1688">
        <f t="shared" si="4"/>
        <v>508673</v>
      </c>
      <c r="H19" s="1688">
        <f t="shared" si="4"/>
        <v>1865178</v>
      </c>
      <c r="I19" s="468"/>
      <c r="J19" s="1688">
        <f>SUM(J17:J18)</f>
        <v>0</v>
      </c>
      <c r="K19" s="1688">
        <f>SUM(K17:K18)</f>
        <v>119465</v>
      </c>
      <c r="L19" s="347"/>
    </row>
    <row r="20" spans="1:12" ht="16.5" thickTop="1" thickBot="1" x14ac:dyDescent="0.25">
      <c r="A20" s="2138" t="s">
        <v>1655</v>
      </c>
      <c r="B20" s="2139"/>
      <c r="C20" s="1746">
        <f>C8-C17</f>
        <v>1394292</v>
      </c>
      <c r="D20" s="1746">
        <f t="shared" ref="D20:K20" si="5">D8-D17</f>
        <v>239438</v>
      </c>
      <c r="E20" s="1746">
        <f t="shared" si="5"/>
        <v>0</v>
      </c>
      <c r="F20" s="1746">
        <f t="shared" si="5"/>
        <v>973096</v>
      </c>
      <c r="G20" s="1746">
        <f t="shared" si="5"/>
        <v>268156</v>
      </c>
      <c r="H20" s="1746">
        <f t="shared" si="5"/>
        <v>343250</v>
      </c>
      <c r="I20" s="1746">
        <f t="shared" si="5"/>
        <v>181468</v>
      </c>
      <c r="J20" s="1746">
        <f t="shared" si="5"/>
        <v>10133</v>
      </c>
      <c r="K20" s="1746">
        <f t="shared" si="5"/>
        <v>37650</v>
      </c>
      <c r="L20" s="347"/>
    </row>
    <row r="21" spans="1:12" ht="16.7" customHeight="1" thickTop="1" x14ac:dyDescent="0.2">
      <c r="A21" s="2150" t="s">
        <v>595</v>
      </c>
      <c r="B21" s="2151"/>
      <c r="C21" s="1570"/>
      <c r="D21" s="1571"/>
      <c r="E21" s="1571"/>
      <c r="F21" s="1571"/>
      <c r="G21" s="1571"/>
      <c r="H21" s="1571"/>
      <c r="I21" s="1571"/>
      <c r="J21" s="1571"/>
      <c r="K21" s="1572"/>
      <c r="L21" s="524"/>
    </row>
    <row r="22" spans="1:12" ht="15.75" customHeight="1" collapsed="1" x14ac:dyDescent="0.2">
      <c r="A22" s="2146" t="s">
        <v>596</v>
      </c>
      <c r="B22" s="2147"/>
      <c r="C22" s="477"/>
      <c r="D22" s="477"/>
      <c r="E22" s="477"/>
      <c r="F22" s="477"/>
      <c r="G22" s="477"/>
      <c r="H22" s="477"/>
      <c r="I22" s="477"/>
      <c r="J22" s="477"/>
      <c r="K22" s="477"/>
      <c r="L22" s="347"/>
    </row>
    <row r="23" spans="1:12" s="485" customFormat="1" ht="15.75" customHeight="1" x14ac:dyDescent="0.2">
      <c r="A23" s="2142" t="s">
        <v>293</v>
      </c>
      <c r="B23" s="2143"/>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44" t="s">
        <v>981</v>
      </c>
      <c r="B32" s="2145"/>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v>527</v>
      </c>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52" t="s">
        <v>374</v>
      </c>
      <c r="B44" s="2153"/>
      <c r="C44" s="1703">
        <f>SUM(C24:C43)</f>
        <v>0</v>
      </c>
      <c r="D44" s="1703">
        <f t="shared" ref="D44:K44" si="6">SUM(D24:D43)</f>
        <v>527</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46" t="s">
        <v>108</v>
      </c>
      <c r="B45" s="2147"/>
      <c r="C45" s="528"/>
      <c r="D45" s="528"/>
      <c r="E45" s="528"/>
      <c r="F45" s="528"/>
      <c r="G45" s="528"/>
      <c r="H45" s="528"/>
      <c r="I45" s="528"/>
      <c r="J45" s="528"/>
      <c r="K45" s="528"/>
      <c r="L45" s="347"/>
    </row>
    <row r="46" spans="1:12" s="485" customFormat="1" ht="15.75" customHeight="1" x14ac:dyDescent="0.2">
      <c r="A46" s="2154" t="s">
        <v>109</v>
      </c>
      <c r="B46" s="2155"/>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8" t="s">
        <v>440</v>
      </c>
      <c r="B76" s="2129"/>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30" t="s">
        <v>1177</v>
      </c>
      <c r="B77" s="2131"/>
      <c r="C77" s="1703">
        <f t="shared" ref="C77:K77" si="8">C44-C76</f>
        <v>0</v>
      </c>
      <c r="D77" s="1703">
        <f t="shared" si="8"/>
        <v>527</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34" t="s">
        <v>597</v>
      </c>
      <c r="B78" s="2135"/>
      <c r="C78" s="1702">
        <f t="shared" ref="C78:K78" si="9">C20+C77</f>
        <v>1394292</v>
      </c>
      <c r="D78" s="1702">
        <f t="shared" si="9"/>
        <v>239965</v>
      </c>
      <c r="E78" s="1702">
        <f t="shared" si="9"/>
        <v>0</v>
      </c>
      <c r="F78" s="1702">
        <f t="shared" si="9"/>
        <v>973096</v>
      </c>
      <c r="G78" s="1702">
        <f t="shared" si="9"/>
        <v>268156</v>
      </c>
      <c r="H78" s="1702">
        <f t="shared" si="9"/>
        <v>343250</v>
      </c>
      <c r="I78" s="1702">
        <f t="shared" si="9"/>
        <v>181468</v>
      </c>
      <c r="J78" s="1702">
        <f t="shared" si="9"/>
        <v>10133</v>
      </c>
      <c r="K78" s="1702">
        <f t="shared" si="9"/>
        <v>37650</v>
      </c>
      <c r="L78" s="533"/>
    </row>
    <row r="79" spans="1:12" ht="13.5" thickTop="1" x14ac:dyDescent="0.2">
      <c r="A79" s="1494" t="s">
        <v>1947</v>
      </c>
      <c r="B79" s="534"/>
      <c r="C79" s="478">
        <v>8149541</v>
      </c>
      <c r="D79" s="535">
        <v>771986</v>
      </c>
      <c r="E79" s="535"/>
      <c r="F79" s="535">
        <v>-705194</v>
      </c>
      <c r="G79" s="535">
        <v>797816</v>
      </c>
      <c r="H79" s="535">
        <v>1051207</v>
      </c>
      <c r="I79" s="535">
        <v>2485323</v>
      </c>
      <c r="J79" s="535">
        <v>2177</v>
      </c>
      <c r="K79" s="535">
        <v>422737</v>
      </c>
      <c r="L79" s="347"/>
    </row>
    <row r="80" spans="1:12" x14ac:dyDescent="0.2">
      <c r="A80" s="2140" t="s">
        <v>1795</v>
      </c>
      <c r="B80" s="2141"/>
      <c r="C80" s="467"/>
      <c r="D80" s="467"/>
      <c r="E80" s="467"/>
      <c r="F80" s="467"/>
      <c r="G80" s="467"/>
      <c r="H80" s="467"/>
      <c r="I80" s="467"/>
      <c r="J80" s="467"/>
      <c r="K80" s="467"/>
      <c r="L80" s="347"/>
    </row>
    <row r="81" spans="1:12" ht="13.5" thickBot="1" x14ac:dyDescent="0.25">
      <c r="A81" s="2132" t="s">
        <v>1948</v>
      </c>
      <c r="B81" s="2133"/>
      <c r="C81" s="1688">
        <f>(SUM(C78:C80))</f>
        <v>9543833</v>
      </c>
      <c r="D81" s="1688">
        <f>SUM(D78:D80)</f>
        <v>1011951</v>
      </c>
      <c r="E81" s="1688">
        <f t="shared" ref="E81:K81" si="10">SUM(E78:E80)</f>
        <v>0</v>
      </c>
      <c r="F81" s="1688">
        <f t="shared" si="10"/>
        <v>267902</v>
      </c>
      <c r="G81" s="1688">
        <f t="shared" si="10"/>
        <v>1065972</v>
      </c>
      <c r="H81" s="1688">
        <f t="shared" si="10"/>
        <v>1394457</v>
      </c>
      <c r="I81" s="1688">
        <f t="shared" si="10"/>
        <v>2666791</v>
      </c>
      <c r="J81" s="1688">
        <f t="shared" si="10"/>
        <v>12310</v>
      </c>
      <c r="K81" s="1688">
        <f t="shared" si="10"/>
        <v>460387</v>
      </c>
      <c r="L81" s="347"/>
    </row>
    <row r="82" spans="1:12" ht="0.75" customHeight="1" thickTop="1" thickBot="1" x14ac:dyDescent="0.25">
      <c r="A82" s="536" t="s">
        <v>343</v>
      </c>
      <c r="B82" s="537"/>
      <c r="C82" s="538">
        <f>(C81-C79)</f>
        <v>1394292</v>
      </c>
      <c r="D82" s="538">
        <f t="shared" ref="D82:K82" si="11">(D81-D79)</f>
        <v>239965</v>
      </c>
      <c r="E82" s="538">
        <f t="shared" si="11"/>
        <v>0</v>
      </c>
      <c r="F82" s="538">
        <f t="shared" si="11"/>
        <v>973096</v>
      </c>
      <c r="G82" s="538">
        <f t="shared" si="11"/>
        <v>268156</v>
      </c>
      <c r="H82" s="538">
        <f t="shared" si="11"/>
        <v>343250</v>
      </c>
      <c r="I82" s="538">
        <f t="shared" si="11"/>
        <v>181468</v>
      </c>
      <c r="J82" s="538">
        <f t="shared" si="11"/>
        <v>10133</v>
      </c>
      <c r="K82" s="538">
        <f t="shared" si="11"/>
        <v>37650</v>
      </c>
    </row>
    <row r="83" spans="1:12" ht="14.25" hidden="1" thickTop="1" thickBot="1" x14ac:dyDescent="0.25">
      <c r="A83" s="539" t="s">
        <v>344</v>
      </c>
      <c r="B83" s="464"/>
      <c r="C83" s="540">
        <f>C82/C81</f>
        <v>0.14609350352211736</v>
      </c>
      <c r="D83" s="540">
        <f t="shared" ref="D83:K83" si="12">D82/D81</f>
        <v>0.23713104685898823</v>
      </c>
      <c r="E83" s="540" t="e">
        <f t="shared" si="12"/>
        <v>#DIV/0!</v>
      </c>
      <c r="F83" s="540">
        <f t="shared" si="12"/>
        <v>3.632283446932087</v>
      </c>
      <c r="G83" s="540">
        <f t="shared" si="12"/>
        <v>0.25156007850112383</v>
      </c>
      <c r="H83" s="540">
        <f t="shared" si="12"/>
        <v>0.24615316212690674</v>
      </c>
      <c r="I83" s="540">
        <f t="shared" si="12"/>
        <v>6.8047327293364948E-2</v>
      </c>
      <c r="J83" s="540">
        <f t="shared" si="12"/>
        <v>0.82315190901705926</v>
      </c>
      <c r="K83" s="540">
        <f t="shared" si="12"/>
        <v>8.1779025037631389E-2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&amp;C&amp;"Times New Roman,Regular"&amp;12The notes to the financial statements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42" activePane="bottomLeft" state="frozen"/>
      <selection activeCell="X22" sqref="X22"/>
      <selection pane="bottomLeft" activeCell="C69" sqref="C6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6" t="s">
        <v>1802</v>
      </c>
      <c r="B1" s="452"/>
      <c r="C1" s="453" t="s">
        <v>425</v>
      </c>
      <c r="D1" s="453" t="s">
        <v>426</v>
      </c>
      <c r="E1" s="453" t="s">
        <v>427</v>
      </c>
      <c r="F1" s="453" t="s">
        <v>428</v>
      </c>
      <c r="G1" s="453" t="s">
        <v>429</v>
      </c>
      <c r="H1" s="453" t="s">
        <v>430</v>
      </c>
      <c r="I1" s="453" t="s">
        <v>431</v>
      </c>
      <c r="J1" s="453" t="s">
        <v>432</v>
      </c>
      <c r="K1" s="453" t="s">
        <v>756</v>
      </c>
    </row>
    <row r="2" spans="1:12" ht="36" x14ac:dyDescent="0.2">
      <c r="A2" s="2137"/>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9268421</v>
      </c>
      <c r="D5" s="481">
        <v>1838494</v>
      </c>
      <c r="E5" s="466"/>
      <c r="F5" s="548">
        <v>1243829</v>
      </c>
      <c r="G5" s="466">
        <v>328177</v>
      </c>
      <c r="H5" s="466"/>
      <c r="I5" s="466">
        <v>153353</v>
      </c>
      <c r="J5" s="467">
        <v>10111</v>
      </c>
      <c r="K5" s="466">
        <v>149804</v>
      </c>
    </row>
    <row r="6" spans="1:12" ht="15" x14ac:dyDescent="0.2">
      <c r="A6" s="463" t="s">
        <v>1662</v>
      </c>
      <c r="B6" s="470">
        <v>1130</v>
      </c>
      <c r="C6" s="466">
        <v>64696</v>
      </c>
      <c r="D6" s="466"/>
      <c r="E6" s="475"/>
      <c r="F6" s="475"/>
      <c r="G6" s="468"/>
      <c r="H6" s="468"/>
      <c r="I6" s="468"/>
      <c r="J6" s="468"/>
      <c r="K6" s="468"/>
    </row>
    <row r="7" spans="1:12" x14ac:dyDescent="0.2">
      <c r="A7" s="463" t="s">
        <v>110</v>
      </c>
      <c r="B7" s="549">
        <v>1140</v>
      </c>
      <c r="C7" s="466">
        <v>136603</v>
      </c>
      <c r="D7" s="466"/>
      <c r="E7" s="468"/>
      <c r="F7" s="467"/>
      <c r="G7" s="467"/>
      <c r="H7" s="467"/>
      <c r="I7" s="468"/>
      <c r="J7" s="468"/>
      <c r="K7" s="468"/>
    </row>
    <row r="8" spans="1:12" x14ac:dyDescent="0.2">
      <c r="A8" s="463" t="s">
        <v>413</v>
      </c>
      <c r="B8" s="470">
        <v>1150</v>
      </c>
      <c r="C8" s="475"/>
      <c r="D8" s="475"/>
      <c r="E8" s="477"/>
      <c r="F8" s="477"/>
      <c r="G8" s="481">
        <v>385193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9469720</v>
      </c>
      <c r="D12" s="1707">
        <f t="shared" si="0"/>
        <v>1838494</v>
      </c>
      <c r="E12" s="1707">
        <f t="shared" si="0"/>
        <v>0</v>
      </c>
      <c r="F12" s="1707">
        <f t="shared" si="0"/>
        <v>1243829</v>
      </c>
      <c r="G12" s="1707">
        <f t="shared" si="0"/>
        <v>713370</v>
      </c>
      <c r="H12" s="1707">
        <f t="shared" si="0"/>
        <v>0</v>
      </c>
      <c r="I12" s="1707">
        <f t="shared" si="0"/>
        <v>153353</v>
      </c>
      <c r="J12" s="1707">
        <f t="shared" si="0"/>
        <v>10111</v>
      </c>
      <c r="K12" s="1688">
        <f t="shared" si="0"/>
        <v>149804</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784644</v>
      </c>
      <c r="D16" s="466"/>
      <c r="E16" s="466"/>
      <c r="F16" s="466"/>
      <c r="G16" s="466">
        <f>49883</f>
        <v>49883</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784644</v>
      </c>
      <c r="D18" s="1710">
        <f t="shared" ref="D18:K18" si="1">SUM(D14:D17)</f>
        <v>0</v>
      </c>
      <c r="E18" s="1710">
        <f t="shared" si="1"/>
        <v>0</v>
      </c>
      <c r="F18" s="1710">
        <f t="shared" si="1"/>
        <v>0</v>
      </c>
      <c r="G18" s="1710">
        <f t="shared" si="1"/>
        <v>49883</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2550</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2640</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v>508731</v>
      </c>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513921</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v>537</v>
      </c>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537</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185888</v>
      </c>
      <c r="D65" s="466">
        <v>20521</v>
      </c>
      <c r="E65" s="466"/>
      <c r="F65" s="467">
        <v>14665</v>
      </c>
      <c r="G65" s="466">
        <v>13576</v>
      </c>
      <c r="H65" s="466">
        <v>15044</v>
      </c>
      <c r="I65" s="466">
        <v>28115</v>
      </c>
      <c r="J65" s="467">
        <v>22</v>
      </c>
      <c r="K65" s="466">
        <v>7311</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185888</v>
      </c>
      <c r="D67" s="1688">
        <f t="shared" ref="D67:K67" si="2">SUM(D65:D66)</f>
        <v>20521</v>
      </c>
      <c r="E67" s="1688">
        <f t="shared" si="2"/>
        <v>0</v>
      </c>
      <c r="F67" s="1688">
        <f t="shared" si="2"/>
        <v>14665</v>
      </c>
      <c r="G67" s="1688">
        <f t="shared" si="2"/>
        <v>13576</v>
      </c>
      <c r="H67" s="1688">
        <f t="shared" si="2"/>
        <v>15044</v>
      </c>
      <c r="I67" s="1688">
        <f t="shared" si="2"/>
        <v>28115</v>
      </c>
      <c r="J67" s="1688">
        <f t="shared" si="2"/>
        <v>22</v>
      </c>
      <c r="K67" s="1688">
        <f t="shared" si="2"/>
        <v>7311</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299874</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14801</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7894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322569</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99123</v>
      </c>
      <c r="D77" s="466"/>
      <c r="E77" s="468"/>
      <c r="F77" s="468"/>
      <c r="G77" s="468"/>
      <c r="H77" s="468"/>
      <c r="I77" s="468"/>
      <c r="J77" s="468"/>
      <c r="K77" s="468"/>
    </row>
    <row r="78" spans="1:11" ht="12.75" customHeight="1" x14ac:dyDescent="0.2">
      <c r="A78" s="463" t="s">
        <v>76</v>
      </c>
      <c r="B78" s="470">
        <v>1719</v>
      </c>
      <c r="C78" s="551">
        <v>56463</v>
      </c>
      <c r="D78" s="466"/>
      <c r="E78" s="468"/>
      <c r="F78" s="468"/>
      <c r="G78" s="468"/>
      <c r="H78" s="468"/>
      <c r="I78" s="468"/>
      <c r="J78" s="468"/>
      <c r="K78" s="468"/>
    </row>
    <row r="79" spans="1:11" ht="12.75" customHeight="1" x14ac:dyDescent="0.2">
      <c r="A79" s="463" t="s">
        <v>550</v>
      </c>
      <c r="B79" s="470">
        <v>1720</v>
      </c>
      <c r="C79" s="551">
        <v>38120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193706</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80300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v>24405</v>
      </c>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104705</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10142</v>
      </c>
      <c r="E95" s="521"/>
      <c r="F95" s="521"/>
      <c r="G95" s="521"/>
      <c r="H95" s="521"/>
      <c r="I95" s="521"/>
      <c r="J95" s="521"/>
      <c r="K95" s="521"/>
    </row>
    <row r="96" spans="1:11" ht="12.75" customHeight="1" x14ac:dyDescent="0.2">
      <c r="A96" s="463" t="s">
        <v>391</v>
      </c>
      <c r="B96" s="470">
        <v>1920</v>
      </c>
      <c r="C96" s="551">
        <v>184612</v>
      </c>
      <c r="D96" s="551"/>
      <c r="E96" s="479"/>
      <c r="F96" s="478">
        <v>26442</v>
      </c>
      <c r="G96" s="478"/>
      <c r="H96" s="478">
        <v>245000</v>
      </c>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24154</v>
      </c>
      <c r="D99" s="466"/>
      <c r="E99" s="466"/>
      <c r="F99" s="466"/>
      <c r="G99" s="466"/>
      <c r="H99" s="466"/>
      <c r="I99" s="468"/>
      <c r="J99" s="467"/>
      <c r="K99" s="466"/>
    </row>
    <row r="100" spans="1:12" ht="12.75" customHeight="1" x14ac:dyDescent="0.2">
      <c r="A100" s="463" t="s">
        <v>245</v>
      </c>
      <c r="B100" s="470">
        <v>1960</v>
      </c>
      <c r="C100" s="489">
        <v>17590</v>
      </c>
      <c r="D100" s="489"/>
      <c r="E100" s="489"/>
      <c r="F100" s="489"/>
      <c r="G100" s="489"/>
      <c r="H100" s="489"/>
      <c r="I100" s="467"/>
      <c r="J100" s="489"/>
      <c r="K100" s="467"/>
    </row>
    <row r="101" spans="1:12" ht="12.75" customHeight="1" x14ac:dyDescent="0.2">
      <c r="A101" s="463" t="s">
        <v>246</v>
      </c>
      <c r="B101" s="470">
        <v>1970</v>
      </c>
      <c r="C101" s="489">
        <v>25448</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1948384</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f>800+548</f>
        <v>1348</v>
      </c>
      <c r="D107" s="466">
        <v>32059</v>
      </c>
      <c r="E107" s="466"/>
      <c r="F107" s="466"/>
      <c r="G107" s="466"/>
      <c r="H107" s="466"/>
      <c r="I107" s="466"/>
      <c r="J107" s="467"/>
      <c r="K107" s="466"/>
    </row>
    <row r="108" spans="1:12" ht="12.75" customHeight="1" thickBot="1" x14ac:dyDescent="0.25">
      <c r="A108" s="1708" t="s">
        <v>487</v>
      </c>
      <c r="B108" s="1712"/>
      <c r="C108" s="1707">
        <f>SUM(C95:C107)</f>
        <v>253152</v>
      </c>
      <c r="D108" s="1707">
        <f t="shared" ref="D108:K108" si="3">SUM(D95:D107)</f>
        <v>42201</v>
      </c>
      <c r="E108" s="1707">
        <f t="shared" si="3"/>
        <v>0</v>
      </c>
      <c r="F108" s="1707">
        <f t="shared" si="3"/>
        <v>26442</v>
      </c>
      <c r="G108" s="1707">
        <f t="shared" si="3"/>
        <v>0</v>
      </c>
      <c r="H108" s="1707">
        <f t="shared" si="3"/>
        <v>2193384</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11828305</v>
      </c>
      <c r="D109" s="1715">
        <f t="shared" si="4"/>
        <v>1901216</v>
      </c>
      <c r="E109" s="1715">
        <f t="shared" si="4"/>
        <v>0</v>
      </c>
      <c r="F109" s="1715">
        <f t="shared" si="4"/>
        <v>1285473</v>
      </c>
      <c r="G109" s="1715">
        <f t="shared" si="4"/>
        <v>776829</v>
      </c>
      <c r="H109" s="1715">
        <f t="shared" si="4"/>
        <v>2208428</v>
      </c>
      <c r="I109" s="1715">
        <f t="shared" si="4"/>
        <v>181468</v>
      </c>
      <c r="J109" s="1715">
        <f t="shared" si="4"/>
        <v>10133</v>
      </c>
      <c r="K109" s="1702">
        <f t="shared" si="4"/>
        <v>157115</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v>227000</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227000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6376271</v>
      </c>
      <c r="D117" s="481">
        <v>300000</v>
      </c>
      <c r="E117" s="466"/>
      <c r="F117" s="481">
        <v>699000</v>
      </c>
      <c r="G117" s="481"/>
      <c r="H117" s="466"/>
      <c r="I117" s="468"/>
      <c r="J117" s="467"/>
      <c r="K117" s="466"/>
    </row>
    <row r="118" spans="1:11" ht="12.75" customHeight="1" x14ac:dyDescent="0.2">
      <c r="A118" s="463" t="s">
        <v>1799</v>
      </c>
      <c r="B118" s="562">
        <v>3002</v>
      </c>
      <c r="C118" s="551">
        <v>289503</v>
      </c>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6665774</v>
      </c>
      <c r="D122" s="1707">
        <f t="shared" si="5"/>
        <v>300000</v>
      </c>
      <c r="E122" s="1707">
        <f t="shared" si="5"/>
        <v>0</v>
      </c>
      <c r="F122" s="1707">
        <f t="shared" si="5"/>
        <v>699000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473921</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37041</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510962</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26824</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13772</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40596</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11278</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36500</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847617</v>
      </c>
      <c r="G152" s="467"/>
      <c r="H152" s="468"/>
      <c r="I152" s="468"/>
      <c r="J152" s="468"/>
      <c r="K152" s="468"/>
    </row>
    <row r="153" spans="1:11" ht="12.75" customHeight="1" x14ac:dyDescent="0.2">
      <c r="A153" s="463" t="s">
        <v>1057</v>
      </c>
      <c r="B153" s="562">
        <v>3510</v>
      </c>
      <c r="C153" s="551"/>
      <c r="D153" s="466"/>
      <c r="E153" s="561"/>
      <c r="F153" s="466">
        <v>511228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1358845</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4480</v>
      </c>
      <c r="D168" s="580"/>
      <c r="E168" s="580"/>
      <c r="F168" s="580"/>
      <c r="G168" s="581"/>
      <c r="H168" s="582"/>
      <c r="I168" s="581"/>
      <c r="J168" s="581"/>
      <c r="K168" s="582"/>
    </row>
    <row r="169" spans="1:11" ht="12.75" customHeight="1" thickTop="1" thickBot="1" x14ac:dyDescent="0.25">
      <c r="A169" s="2156" t="s">
        <v>398</v>
      </c>
      <c r="B169" s="2157"/>
      <c r="C169" s="1722">
        <f t="shared" ref="C169:K169" si="6">SUM(C132,C141,C145,C146:C150,C155,C156:C167,C168)</f>
        <v>603816</v>
      </c>
      <c r="D169" s="1722">
        <f t="shared" si="6"/>
        <v>0</v>
      </c>
      <c r="E169" s="1722">
        <f t="shared" si="6"/>
        <v>0</v>
      </c>
      <c r="F169" s="1722">
        <f t="shared" si="6"/>
        <v>1358845</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7269590</v>
      </c>
      <c r="D170" s="1715">
        <f t="shared" si="7"/>
        <v>300000</v>
      </c>
      <c r="E170" s="1715">
        <f t="shared" si="7"/>
        <v>0</v>
      </c>
      <c r="F170" s="1715">
        <f t="shared" si="7"/>
        <v>2057845</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8" t="s">
        <v>1492</v>
      </c>
      <c r="B172" s="2159"/>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2" t="s">
        <v>1665</v>
      </c>
      <c r="B175" s="2163"/>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6" t="s">
        <v>1664</v>
      </c>
      <c r="B176" s="2167"/>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4" t="s">
        <v>785</v>
      </c>
      <c r="B181" s="2165"/>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60" t="s">
        <v>1803</v>
      </c>
      <c r="B182" s="2161"/>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519196</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164723</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683919</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f>571235+63396</f>
        <v>634631</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634631</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22953</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22953</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29844</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29844</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110227</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67042</v>
      </c>
      <c r="D263" s="576"/>
      <c r="E263" s="468"/>
      <c r="F263" s="576"/>
      <c r="G263" s="576"/>
      <c r="H263" s="468"/>
      <c r="I263" s="468"/>
      <c r="J263" s="468"/>
      <c r="K263" s="468"/>
    </row>
    <row r="264" spans="1:11" ht="12.75" customHeight="1" thickTop="1" thickBot="1" x14ac:dyDescent="0.25">
      <c r="A264" s="463" t="s">
        <v>377</v>
      </c>
      <c r="B264" s="470">
        <v>4992</v>
      </c>
      <c r="C264" s="575">
        <v>90943</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1639559</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1639559</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20964454</v>
      </c>
      <c r="D268" s="1715">
        <f t="shared" si="12"/>
        <v>2201216</v>
      </c>
      <c r="E268" s="1715">
        <f t="shared" si="12"/>
        <v>0</v>
      </c>
      <c r="F268" s="1715">
        <f t="shared" si="12"/>
        <v>3343318</v>
      </c>
      <c r="G268" s="1715">
        <f t="shared" si="12"/>
        <v>776829</v>
      </c>
      <c r="H268" s="1715">
        <f t="shared" si="12"/>
        <v>2208428</v>
      </c>
      <c r="I268" s="1715">
        <f t="shared" si="12"/>
        <v>181468</v>
      </c>
      <c r="J268" s="1715">
        <f t="shared" si="12"/>
        <v>10133</v>
      </c>
      <c r="K268" s="1702">
        <f t="shared" si="12"/>
        <v>157115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&amp;C&amp;"Times New Roman,Regular"&amp;12The notes to the financial statements are an integral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pageSetUpPr fitToPage="1"/>
  </sheetPr>
  <dimension ref="A1:N368"/>
  <sheetViews>
    <sheetView showGridLines="0" defaultGridColor="0" colorId="8" zoomScale="110" zoomScaleNormal="110" workbookViewId="0">
      <pane ySplit="2" topLeftCell="A96" activePane="bottomLeft" state="frozen"/>
      <selection activeCell="X22" sqref="X22"/>
      <selection pane="bottomLeft" activeCell="H101" sqref="H10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6"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6" t="s">
        <v>297</v>
      </c>
      <c r="B3" s="2177"/>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5303128</v>
      </c>
      <c r="D5" s="466">
        <v>1391901</v>
      </c>
      <c r="E5" s="466">
        <v>1762</v>
      </c>
      <c r="F5" s="466">
        <v>132581</v>
      </c>
      <c r="G5" s="466">
        <v>8367</v>
      </c>
      <c r="H5" s="466"/>
      <c r="I5" s="467"/>
      <c r="J5" s="467"/>
      <c r="K5" s="1671">
        <f>SUM(C5:J5)</f>
        <v>6837739</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2176481</v>
      </c>
      <c r="D8" s="466">
        <v>686928</v>
      </c>
      <c r="E8" s="466"/>
      <c r="F8" s="466">
        <v>1767</v>
      </c>
      <c r="G8" s="466"/>
      <c r="H8" s="466"/>
      <c r="I8" s="467"/>
      <c r="J8" s="467"/>
      <c r="K8" s="1671">
        <f t="shared" si="0"/>
        <v>2865176</v>
      </c>
      <c r="L8" s="466"/>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497609</v>
      </c>
      <c r="D10" s="466">
        <v>172644</v>
      </c>
      <c r="E10" s="466">
        <v>24940</v>
      </c>
      <c r="F10" s="466">
        <v>66443</v>
      </c>
      <c r="G10" s="466">
        <v>40523</v>
      </c>
      <c r="H10" s="466"/>
      <c r="I10" s="467"/>
      <c r="J10" s="467"/>
      <c r="K10" s="1671">
        <f t="shared" si="0"/>
        <v>802159</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v>554613</v>
      </c>
      <c r="F12" s="466"/>
      <c r="G12" s="466"/>
      <c r="H12" s="466"/>
      <c r="I12" s="467"/>
      <c r="J12" s="467"/>
      <c r="K12" s="1671">
        <f t="shared" si="0"/>
        <v>554613</v>
      </c>
      <c r="L12" s="466"/>
    </row>
    <row r="13" spans="1:14" x14ac:dyDescent="0.2">
      <c r="A13" s="1504" t="s">
        <v>723</v>
      </c>
      <c r="B13" s="614">
        <v>1400</v>
      </c>
      <c r="C13" s="466">
        <v>217561</v>
      </c>
      <c r="D13" s="466">
        <v>48732</v>
      </c>
      <c r="E13" s="466"/>
      <c r="F13" s="466">
        <v>7396</v>
      </c>
      <c r="G13" s="466"/>
      <c r="H13" s="466"/>
      <c r="I13" s="467"/>
      <c r="J13" s="467"/>
      <c r="K13" s="1671">
        <f t="shared" si="0"/>
        <v>273689</v>
      </c>
      <c r="L13" s="466"/>
    </row>
    <row r="14" spans="1:14" x14ac:dyDescent="0.2">
      <c r="A14" s="1504" t="s">
        <v>963</v>
      </c>
      <c r="B14" s="614">
        <v>1500</v>
      </c>
      <c r="C14" s="466">
        <v>224081</v>
      </c>
      <c r="D14" s="466">
        <v>14605</v>
      </c>
      <c r="E14" s="466">
        <v>95144</v>
      </c>
      <c r="F14" s="466">
        <v>41159</v>
      </c>
      <c r="G14" s="466"/>
      <c r="H14" s="466">
        <v>1500</v>
      </c>
      <c r="I14" s="467"/>
      <c r="J14" s="467"/>
      <c r="K14" s="1671">
        <f t="shared" si="0"/>
        <v>376489</v>
      </c>
      <c r="L14" s="466"/>
    </row>
    <row r="15" spans="1:14" x14ac:dyDescent="0.2">
      <c r="A15" s="1504" t="s">
        <v>964</v>
      </c>
      <c r="B15" s="614">
        <v>1600</v>
      </c>
      <c r="C15" s="466">
        <v>3715</v>
      </c>
      <c r="D15" s="466">
        <v>215</v>
      </c>
      <c r="E15" s="466">
        <v>1580</v>
      </c>
      <c r="F15" s="466">
        <v>229</v>
      </c>
      <c r="G15" s="466"/>
      <c r="H15" s="466"/>
      <c r="I15" s="467"/>
      <c r="J15" s="467"/>
      <c r="K15" s="1671">
        <f t="shared" si="0"/>
        <v>5739</v>
      </c>
      <c r="L15" s="466"/>
    </row>
    <row r="16" spans="1:14" x14ac:dyDescent="0.2">
      <c r="A16" s="1504" t="s">
        <v>987</v>
      </c>
      <c r="B16" s="614" t="s">
        <v>424</v>
      </c>
      <c r="C16" s="466">
        <v>35413</v>
      </c>
      <c r="D16" s="466">
        <v>11869</v>
      </c>
      <c r="E16" s="466">
        <v>899</v>
      </c>
      <c r="F16" s="466">
        <v>4098</v>
      </c>
      <c r="G16" s="466"/>
      <c r="H16" s="466"/>
      <c r="I16" s="467"/>
      <c r="J16" s="467"/>
      <c r="K16" s="1671">
        <f t="shared" si="0"/>
        <v>52279</v>
      </c>
      <c r="L16" s="466"/>
    </row>
    <row r="17" spans="1:12" x14ac:dyDescent="0.2">
      <c r="A17" s="1504" t="s">
        <v>724</v>
      </c>
      <c r="B17" s="614" t="s">
        <v>162</v>
      </c>
      <c r="C17" s="467">
        <v>144016</v>
      </c>
      <c r="D17" s="467">
        <v>21906</v>
      </c>
      <c r="E17" s="467"/>
      <c r="F17" s="467"/>
      <c r="G17" s="467"/>
      <c r="H17" s="467"/>
      <c r="I17" s="467"/>
      <c r="J17" s="467"/>
      <c r="K17" s="1671">
        <f t="shared" si="0"/>
        <v>165922</v>
      </c>
      <c r="L17" s="466"/>
    </row>
    <row r="18" spans="1:12" x14ac:dyDescent="0.2">
      <c r="A18" s="1504" t="s">
        <v>1087</v>
      </c>
      <c r="B18" s="614">
        <v>1800</v>
      </c>
      <c r="C18" s="466">
        <v>15744</v>
      </c>
      <c r="D18" s="466">
        <v>193</v>
      </c>
      <c r="E18" s="466"/>
      <c r="F18" s="466"/>
      <c r="G18" s="466"/>
      <c r="H18" s="466"/>
      <c r="I18" s="467"/>
      <c r="J18" s="467"/>
      <c r="K18" s="1671">
        <f t="shared" si="0"/>
        <v>15937</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8617748</v>
      </c>
      <c r="D33" s="1670">
        <f t="shared" ref="D33:L33" si="1">SUM(D5:D32)</f>
        <v>2348993</v>
      </c>
      <c r="E33" s="1670">
        <f t="shared" si="1"/>
        <v>678938</v>
      </c>
      <c r="F33" s="1670">
        <f t="shared" si="1"/>
        <v>253673</v>
      </c>
      <c r="G33" s="1670">
        <f t="shared" si="1"/>
        <v>48890</v>
      </c>
      <c r="H33" s="1670">
        <f t="shared" si="1"/>
        <v>1500</v>
      </c>
      <c r="I33" s="1670">
        <f t="shared" si="1"/>
        <v>0</v>
      </c>
      <c r="J33" s="1670">
        <f t="shared" si="1"/>
        <v>0</v>
      </c>
      <c r="K33" s="1670">
        <f t="shared" si="1"/>
        <v>11949742</v>
      </c>
      <c r="L33" s="1670">
        <f t="shared" si="1"/>
        <v>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216477</v>
      </c>
      <c r="D36" s="481">
        <v>57158</v>
      </c>
      <c r="E36" s="481"/>
      <c r="F36" s="481"/>
      <c r="G36" s="481"/>
      <c r="H36" s="481"/>
      <c r="I36" s="467"/>
      <c r="J36" s="467"/>
      <c r="K36" s="1671">
        <f t="shared" ref="K36:K41" si="2">SUM(C36:J36)</f>
        <v>273635</v>
      </c>
      <c r="L36" s="466"/>
    </row>
    <row r="37" spans="1:14" x14ac:dyDescent="0.2">
      <c r="A37" s="1504" t="s">
        <v>1090</v>
      </c>
      <c r="B37" s="614">
        <v>2120</v>
      </c>
      <c r="C37" s="466">
        <v>358808</v>
      </c>
      <c r="D37" s="466">
        <v>79581</v>
      </c>
      <c r="E37" s="466"/>
      <c r="F37" s="466"/>
      <c r="G37" s="466"/>
      <c r="H37" s="466"/>
      <c r="I37" s="467"/>
      <c r="J37" s="467"/>
      <c r="K37" s="1671">
        <f t="shared" si="2"/>
        <v>438389</v>
      </c>
      <c r="L37" s="466"/>
    </row>
    <row r="38" spans="1:14" x14ac:dyDescent="0.2">
      <c r="A38" s="1504" t="s">
        <v>198</v>
      </c>
      <c r="B38" s="614">
        <v>2130</v>
      </c>
      <c r="C38" s="466">
        <v>132861</v>
      </c>
      <c r="D38" s="466">
        <v>29959</v>
      </c>
      <c r="E38" s="466">
        <v>2948</v>
      </c>
      <c r="F38" s="466">
        <v>3997</v>
      </c>
      <c r="G38" s="466">
        <v>1771</v>
      </c>
      <c r="H38" s="466"/>
      <c r="I38" s="467"/>
      <c r="J38" s="467"/>
      <c r="K38" s="1671">
        <f t="shared" si="2"/>
        <v>171536</v>
      </c>
      <c r="L38" s="466"/>
    </row>
    <row r="39" spans="1:14" x14ac:dyDescent="0.2">
      <c r="A39" s="1504" t="s">
        <v>199</v>
      </c>
      <c r="B39" s="614">
        <v>2140</v>
      </c>
      <c r="C39" s="466">
        <v>90144</v>
      </c>
      <c r="D39" s="466">
        <v>24740</v>
      </c>
      <c r="E39" s="466">
        <v>46375</v>
      </c>
      <c r="F39" s="466"/>
      <c r="G39" s="466"/>
      <c r="H39" s="466"/>
      <c r="I39" s="467"/>
      <c r="J39" s="467"/>
      <c r="K39" s="1671">
        <f t="shared" si="2"/>
        <v>161259</v>
      </c>
      <c r="L39" s="466"/>
    </row>
    <row r="40" spans="1:14" x14ac:dyDescent="0.2">
      <c r="A40" s="1504" t="s">
        <v>200</v>
      </c>
      <c r="B40" s="614">
        <v>2150</v>
      </c>
      <c r="C40" s="466">
        <v>229562</v>
      </c>
      <c r="D40" s="466">
        <v>54391</v>
      </c>
      <c r="E40" s="466">
        <v>6885</v>
      </c>
      <c r="F40" s="466">
        <v>422</v>
      </c>
      <c r="G40" s="466"/>
      <c r="H40" s="466"/>
      <c r="I40" s="467"/>
      <c r="J40" s="467"/>
      <c r="K40" s="1671">
        <f t="shared" si="2"/>
        <v>291260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1027852</v>
      </c>
      <c r="D42" s="1670">
        <f t="shared" ref="D42:L42" si="3">SUM(D36:D41)</f>
        <v>245829</v>
      </c>
      <c r="E42" s="1670">
        <f t="shared" si="3"/>
        <v>56208</v>
      </c>
      <c r="F42" s="1670">
        <f t="shared" si="3"/>
        <v>4419</v>
      </c>
      <c r="G42" s="1670">
        <f t="shared" si="3"/>
        <v>1771</v>
      </c>
      <c r="H42" s="1670">
        <f t="shared" si="3"/>
        <v>0</v>
      </c>
      <c r="I42" s="1670">
        <f t="shared" si="3"/>
        <v>0</v>
      </c>
      <c r="J42" s="1670">
        <f t="shared" si="3"/>
        <v>0</v>
      </c>
      <c r="K42" s="1670">
        <f t="shared" si="3"/>
        <v>1336079</v>
      </c>
      <c r="L42" s="1670">
        <f t="shared" si="3"/>
        <v>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210854</v>
      </c>
      <c r="D44" s="481">
        <v>349216</v>
      </c>
      <c r="E44" s="481">
        <v>226005</v>
      </c>
      <c r="F44" s="481">
        <v>141107</v>
      </c>
      <c r="G44" s="481">
        <v>280668</v>
      </c>
      <c r="H44" s="481">
        <v>698</v>
      </c>
      <c r="I44" s="467"/>
      <c r="J44" s="467"/>
      <c r="K44" s="1672">
        <f>SUM(C44:J44)</f>
        <v>1208548</v>
      </c>
      <c r="L44" s="481"/>
    </row>
    <row r="45" spans="1:14" x14ac:dyDescent="0.2">
      <c r="A45" s="1504" t="s">
        <v>815</v>
      </c>
      <c r="B45" s="614">
        <v>2220</v>
      </c>
      <c r="C45" s="466"/>
      <c r="D45" s="466"/>
      <c r="E45" s="466"/>
      <c r="F45" s="466">
        <v>2007</v>
      </c>
      <c r="G45" s="466"/>
      <c r="H45" s="466"/>
      <c r="I45" s="467"/>
      <c r="J45" s="467"/>
      <c r="K45" s="1672">
        <f>SUM(C45:J45)</f>
        <v>2007</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210854</v>
      </c>
      <c r="D47" s="1670">
        <f t="shared" ref="D47:K47" si="4">SUM(D44:D46)</f>
        <v>349216</v>
      </c>
      <c r="E47" s="1670">
        <f t="shared" si="4"/>
        <v>226005</v>
      </c>
      <c r="F47" s="1670">
        <f t="shared" si="4"/>
        <v>143114</v>
      </c>
      <c r="G47" s="1670">
        <f t="shared" si="4"/>
        <v>280668</v>
      </c>
      <c r="H47" s="1670">
        <f t="shared" si="4"/>
        <v>698</v>
      </c>
      <c r="I47" s="1670">
        <f t="shared" si="4"/>
        <v>0</v>
      </c>
      <c r="J47" s="1670">
        <f t="shared" si="4"/>
        <v>0</v>
      </c>
      <c r="K47" s="1670">
        <f t="shared" si="4"/>
        <v>1210555</v>
      </c>
      <c r="L47" s="1670">
        <f>SUM(L44:L46)</f>
        <v>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333129</v>
      </c>
      <c r="F49" s="481">
        <v>2833</v>
      </c>
      <c r="G49" s="481"/>
      <c r="H49" s="481">
        <v>29465</v>
      </c>
      <c r="I49" s="467"/>
      <c r="J49" s="467"/>
      <c r="K49" s="1672">
        <f>SUM(C49:J49)</f>
        <v>365427</v>
      </c>
      <c r="L49" s="481"/>
    </row>
    <row r="50" spans="1:14" x14ac:dyDescent="0.2">
      <c r="A50" s="1504" t="s">
        <v>818</v>
      </c>
      <c r="B50" s="614">
        <v>2320</v>
      </c>
      <c r="C50" s="466">
        <v>463479</v>
      </c>
      <c r="D50" s="466">
        <v>77960</v>
      </c>
      <c r="E50" s="466">
        <v>1976</v>
      </c>
      <c r="F50" s="466">
        <v>10540</v>
      </c>
      <c r="G50" s="466"/>
      <c r="H50" s="466">
        <v>3777</v>
      </c>
      <c r="I50" s="467"/>
      <c r="J50" s="467"/>
      <c r="K50" s="1672">
        <f>SUM(C50:J50)</f>
        <v>557732</v>
      </c>
      <c r="L50" s="466"/>
    </row>
    <row r="51" spans="1:14" x14ac:dyDescent="0.2">
      <c r="A51" s="1504" t="s">
        <v>42</v>
      </c>
      <c r="B51" s="614">
        <v>2330</v>
      </c>
      <c r="C51" s="466">
        <v>34500</v>
      </c>
      <c r="D51" s="466">
        <v>7945</v>
      </c>
      <c r="E51" s="466"/>
      <c r="F51" s="466"/>
      <c r="G51" s="466"/>
      <c r="H51" s="466"/>
      <c r="I51" s="467"/>
      <c r="J51" s="467"/>
      <c r="K51" s="1672">
        <f>SUM(C51:J51)</f>
        <v>42445</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497979</v>
      </c>
      <c r="D53" s="1670">
        <f t="shared" ref="D53:L53" si="5">SUM(D49:D52)</f>
        <v>85905</v>
      </c>
      <c r="E53" s="1670">
        <f t="shared" si="5"/>
        <v>335105</v>
      </c>
      <c r="F53" s="1670">
        <f t="shared" si="5"/>
        <v>13373</v>
      </c>
      <c r="G53" s="1670">
        <f t="shared" si="5"/>
        <v>0</v>
      </c>
      <c r="H53" s="1670">
        <f t="shared" si="5"/>
        <v>33242</v>
      </c>
      <c r="I53" s="1670">
        <f t="shared" si="5"/>
        <v>0</v>
      </c>
      <c r="J53" s="1670">
        <f t="shared" si="5"/>
        <v>0</v>
      </c>
      <c r="K53" s="1670">
        <f t="shared" si="5"/>
        <v>965604</v>
      </c>
      <c r="L53" s="1670">
        <f t="shared" si="5"/>
        <v>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1032377</v>
      </c>
      <c r="D55" s="481">
        <v>227638</v>
      </c>
      <c r="E55" s="481">
        <v>152437</v>
      </c>
      <c r="F55" s="481">
        <v>68538</v>
      </c>
      <c r="G55" s="481"/>
      <c r="H55" s="481">
        <v>1919</v>
      </c>
      <c r="I55" s="467"/>
      <c r="J55" s="467"/>
      <c r="K55" s="1672">
        <f>SUM(C55:J55)</f>
        <v>1482909</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1032377</v>
      </c>
      <c r="D57" s="1674">
        <f t="shared" ref="D57:K57" si="6">SUM(D55:D56)</f>
        <v>227638</v>
      </c>
      <c r="E57" s="1674">
        <f t="shared" si="6"/>
        <v>152437</v>
      </c>
      <c r="F57" s="1674">
        <f t="shared" si="6"/>
        <v>68538</v>
      </c>
      <c r="G57" s="1674">
        <f t="shared" si="6"/>
        <v>0</v>
      </c>
      <c r="H57" s="1674">
        <f t="shared" si="6"/>
        <v>1919</v>
      </c>
      <c r="I57" s="1674">
        <f t="shared" si="6"/>
        <v>0</v>
      </c>
      <c r="J57" s="1674">
        <f t="shared" si="6"/>
        <v>0</v>
      </c>
      <c r="K57" s="1674">
        <f t="shared" si="6"/>
        <v>1482909</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89909</v>
      </c>
      <c r="D60" s="466">
        <v>14519</v>
      </c>
      <c r="E60" s="466">
        <v>21735</v>
      </c>
      <c r="F60" s="466">
        <v>2106</v>
      </c>
      <c r="G60" s="466"/>
      <c r="H60" s="466">
        <v>750</v>
      </c>
      <c r="I60" s="467"/>
      <c r="J60" s="467"/>
      <c r="K60" s="1672">
        <f t="shared" si="7"/>
        <v>129019</v>
      </c>
      <c r="L60" s="466"/>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v>831870</v>
      </c>
      <c r="F63" s="466">
        <v>41043</v>
      </c>
      <c r="G63" s="466">
        <v>2733</v>
      </c>
      <c r="H63" s="466"/>
      <c r="I63" s="467"/>
      <c r="J63" s="467"/>
      <c r="K63" s="1672">
        <f t="shared" si="7"/>
        <v>875646</v>
      </c>
      <c r="L63" s="466"/>
    </row>
    <row r="64" spans="1:14" s="609" customFormat="1" x14ac:dyDescent="0.2">
      <c r="A64" s="1509" t="s">
        <v>101</v>
      </c>
      <c r="B64" s="630">
        <v>2570</v>
      </c>
      <c r="C64" s="481"/>
      <c r="D64" s="481"/>
      <c r="E64" s="481">
        <v>190</v>
      </c>
      <c r="F64" s="481">
        <v>870</v>
      </c>
      <c r="G64" s="481"/>
      <c r="H64" s="481"/>
      <c r="I64" s="467"/>
      <c r="J64" s="467"/>
      <c r="K64" s="1672">
        <f t="shared" si="7"/>
        <v>1060</v>
      </c>
      <c r="L64" s="481"/>
    </row>
    <row r="65" spans="1:14" s="343" customFormat="1" ht="12.75" customHeight="1" thickBot="1" x14ac:dyDescent="0.25">
      <c r="A65" s="1668" t="s">
        <v>719</v>
      </c>
      <c r="B65" s="1669" t="s">
        <v>35</v>
      </c>
      <c r="C65" s="1670">
        <f>SUM(C59:C64)</f>
        <v>89909</v>
      </c>
      <c r="D65" s="1670">
        <f t="shared" ref="D65:L65" si="8">SUM(D59:D64)</f>
        <v>14519</v>
      </c>
      <c r="E65" s="1670">
        <f t="shared" si="8"/>
        <v>853795</v>
      </c>
      <c r="F65" s="1670">
        <f t="shared" si="8"/>
        <v>44019</v>
      </c>
      <c r="G65" s="1670">
        <f t="shared" si="8"/>
        <v>2733</v>
      </c>
      <c r="H65" s="1670">
        <f t="shared" si="8"/>
        <v>750</v>
      </c>
      <c r="I65" s="1670">
        <f t="shared" si="8"/>
        <v>0</v>
      </c>
      <c r="J65" s="1670">
        <f t="shared" si="8"/>
        <v>0</v>
      </c>
      <c r="K65" s="1670">
        <f t="shared" si="8"/>
        <v>1005725</v>
      </c>
      <c r="L65" s="1670">
        <f t="shared" si="8"/>
        <v>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v>98444</v>
      </c>
      <c r="D67" s="466">
        <v>17370</v>
      </c>
      <c r="E67" s="466"/>
      <c r="F67" s="466"/>
      <c r="G67" s="466"/>
      <c r="H67" s="466"/>
      <c r="I67" s="467"/>
      <c r="J67" s="467"/>
      <c r="K67" s="1672">
        <f>SUM(C67:J67)</f>
        <v>115814</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v>3044</v>
      </c>
      <c r="F69" s="466"/>
      <c r="G69" s="466"/>
      <c r="H69" s="466">
        <v>651</v>
      </c>
      <c r="I69" s="467"/>
      <c r="J69" s="467"/>
      <c r="K69" s="1672">
        <f>SUM(C69:J69)</f>
        <v>3695</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98444</v>
      </c>
      <c r="D72" s="1670">
        <f t="shared" ref="D72:K72" si="9">SUM(D67:D71)</f>
        <v>17370</v>
      </c>
      <c r="E72" s="1670">
        <f t="shared" si="9"/>
        <v>3044</v>
      </c>
      <c r="F72" s="1670">
        <f t="shared" si="9"/>
        <v>0</v>
      </c>
      <c r="G72" s="1670">
        <f t="shared" si="9"/>
        <v>0</v>
      </c>
      <c r="H72" s="1670">
        <f t="shared" si="9"/>
        <v>651</v>
      </c>
      <c r="I72" s="1670">
        <f t="shared" si="9"/>
        <v>0</v>
      </c>
      <c r="J72" s="1670">
        <f t="shared" si="9"/>
        <v>0</v>
      </c>
      <c r="K72" s="1670">
        <f t="shared" si="9"/>
        <v>119509</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2957415</v>
      </c>
      <c r="D74" s="1677">
        <f t="shared" ref="D74:K74" si="10">SUM(D42,D47,D53,D57,D65,D72,D73)</f>
        <v>940477</v>
      </c>
      <c r="E74" s="1677">
        <f t="shared" si="10"/>
        <v>1626594</v>
      </c>
      <c r="F74" s="1677">
        <f t="shared" si="10"/>
        <v>273463</v>
      </c>
      <c r="G74" s="1677">
        <f t="shared" si="10"/>
        <v>285172</v>
      </c>
      <c r="H74" s="1677">
        <f t="shared" si="10"/>
        <v>37260</v>
      </c>
      <c r="I74" s="1677">
        <f t="shared" si="10"/>
        <v>0</v>
      </c>
      <c r="J74" s="1677">
        <f t="shared" si="10"/>
        <v>0</v>
      </c>
      <c r="K74" s="1677">
        <f t="shared" si="10"/>
        <v>6120381</v>
      </c>
      <c r="L74" s="1677">
        <f>SUM(L42,L47,L53,L57,L65,L72,L73)</f>
        <v>0</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1117977</v>
      </c>
      <c r="F79" s="616"/>
      <c r="G79" s="616"/>
      <c r="H79" s="466"/>
      <c r="I79" s="477"/>
      <c r="J79" s="477"/>
      <c r="K79" s="1671">
        <f t="shared" si="11"/>
        <v>1117977</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v>12278</v>
      </c>
      <c r="I83" s="477"/>
      <c r="J83" s="477"/>
      <c r="K83" s="1671">
        <f t="shared" si="11"/>
        <v>12278</v>
      </c>
      <c r="L83" s="466"/>
    </row>
    <row r="84" spans="1:12" ht="13.5" thickBot="1" x14ac:dyDescent="0.25">
      <c r="A84" s="1668" t="s">
        <v>1485</v>
      </c>
      <c r="B84" s="1678">
        <v>4100</v>
      </c>
      <c r="C84" s="616"/>
      <c r="D84" s="616"/>
      <c r="E84" s="1670">
        <f>SUM(E78:E83)</f>
        <v>1117977</v>
      </c>
      <c r="F84" s="616"/>
      <c r="G84" s="616"/>
      <c r="H84" s="1670">
        <f>SUM(H78:H83)</f>
        <v>12278</v>
      </c>
      <c r="I84" s="477"/>
      <c r="J84" s="477"/>
      <c r="K84" s="1670">
        <f>SUM(K78:K83)</f>
        <v>1130255</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337606</v>
      </c>
      <c r="I86" s="477"/>
      <c r="J86" s="477"/>
      <c r="K86" s="1677">
        <f t="shared" ref="K86:K98" si="12">H86</f>
        <v>337606</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337606</v>
      </c>
      <c r="I92" s="477"/>
      <c r="J92" s="477"/>
      <c r="K92" s="1677">
        <f t="shared" si="12"/>
        <v>337606</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1117977</v>
      </c>
      <c r="F102" s="616"/>
      <c r="G102" s="616"/>
      <c r="H102" s="1677">
        <f>SUM(H84,H92,H100,H101)</f>
        <v>349884</v>
      </c>
      <c r="I102" s="477"/>
      <c r="J102" s="477"/>
      <c r="K102" s="1677">
        <f>SUM(K84,K92,K100,K101)</f>
        <v>1467861</v>
      </c>
      <c r="L102" s="1677">
        <f>SUM(L84,L92,L100,L101)</f>
        <v>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v>32178</v>
      </c>
      <c r="I105" s="468"/>
      <c r="J105" s="468"/>
      <c r="K105" s="1671">
        <f>H105</f>
        <v>32178</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32178</v>
      </c>
      <c r="I110" s="468"/>
      <c r="J110" s="468"/>
      <c r="K110" s="1670">
        <f>SUM(K105:K109)</f>
        <v>32178</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32178</v>
      </c>
      <c r="I112" s="468"/>
      <c r="J112" s="468"/>
      <c r="K112" s="1670">
        <f>SUM(K110:K111)</f>
        <v>32178</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11575163</v>
      </c>
      <c r="D114" s="1670">
        <f t="shared" ref="D114:K114" si="13">SUM(D33,D74,D75,D102,D112,D113)</f>
        <v>3289470</v>
      </c>
      <c r="E114" s="1670">
        <f t="shared" si="13"/>
        <v>3423509</v>
      </c>
      <c r="F114" s="1670">
        <f t="shared" si="13"/>
        <v>527136</v>
      </c>
      <c r="G114" s="1670">
        <f t="shared" si="13"/>
        <v>334062</v>
      </c>
      <c r="H114" s="1670">
        <f>SUM(H33,H74,H75,H102,H112,H113)</f>
        <v>420822</v>
      </c>
      <c r="I114" s="1670">
        <f t="shared" si="13"/>
        <v>0</v>
      </c>
      <c r="J114" s="1670">
        <f t="shared" si="13"/>
        <v>0</v>
      </c>
      <c r="K114" s="1670">
        <f t="shared" si="13"/>
        <v>19570162</v>
      </c>
      <c r="L114" s="1670">
        <f>SUM(L33,L74,L75,L102,L112,L113)</f>
        <v>0</v>
      </c>
    </row>
    <row r="115" spans="1:14" ht="13.5" thickTop="1" x14ac:dyDescent="0.2">
      <c r="A115" s="2168" t="s">
        <v>996</v>
      </c>
      <c r="B115" s="2169"/>
      <c r="C115" s="618"/>
      <c r="D115" s="618"/>
      <c r="E115" s="618"/>
      <c r="F115" s="618"/>
      <c r="G115" s="618"/>
      <c r="H115" s="618"/>
      <c r="I115" s="618"/>
      <c r="J115" s="618"/>
      <c r="K115" s="1684">
        <f>'Revenues 9-14'!C268-'Expenditures 15-22'!K114</f>
        <v>1394292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3" t="s">
        <v>296</v>
      </c>
      <c r="B117" s="2174"/>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762521</v>
      </c>
      <c r="D124" s="466">
        <f>158375+10458</f>
        <v>168833</v>
      </c>
      <c r="E124" s="466">
        <v>252761</v>
      </c>
      <c r="F124" s="466">
        <v>749685</v>
      </c>
      <c r="G124" s="466">
        <v>21760</v>
      </c>
      <c r="H124" s="466">
        <v>6218</v>
      </c>
      <c r="I124" s="467"/>
      <c r="J124" s="467"/>
      <c r="K124" s="1670">
        <f>SUM(C124:J124)</f>
        <v>1961778</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762521</v>
      </c>
      <c r="D127" s="1670">
        <f t="shared" ref="D127:L127" si="14">SUM(D122:D126)</f>
        <v>168833</v>
      </c>
      <c r="E127" s="1670">
        <f t="shared" si="14"/>
        <v>252761</v>
      </c>
      <c r="F127" s="1670">
        <f t="shared" si="14"/>
        <v>749685</v>
      </c>
      <c r="G127" s="1670">
        <f t="shared" si="14"/>
        <v>21760</v>
      </c>
      <c r="H127" s="1670">
        <f t="shared" si="14"/>
        <v>6218</v>
      </c>
      <c r="I127" s="1670">
        <f t="shared" si="14"/>
        <v>0</v>
      </c>
      <c r="J127" s="1670">
        <f t="shared" si="14"/>
        <v>0</v>
      </c>
      <c r="K127" s="1670">
        <f t="shared" si="14"/>
        <v>1961778</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762521</v>
      </c>
      <c r="D129" s="1677">
        <f t="shared" ref="D129:L129" si="15">SUM(D120,D127,D128)</f>
        <v>168833</v>
      </c>
      <c r="E129" s="1677">
        <f t="shared" si="15"/>
        <v>252761</v>
      </c>
      <c r="F129" s="1677">
        <f t="shared" si="15"/>
        <v>749685</v>
      </c>
      <c r="G129" s="1677">
        <f t="shared" si="15"/>
        <v>21760</v>
      </c>
      <c r="H129" s="1677">
        <f t="shared" si="15"/>
        <v>6218</v>
      </c>
      <c r="I129" s="1677">
        <f t="shared" si="15"/>
        <v>0</v>
      </c>
      <c r="J129" s="1677">
        <f t="shared" si="15"/>
        <v>0</v>
      </c>
      <c r="K129" s="1677">
        <f t="shared" si="15"/>
        <v>1961778</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85" t="s">
        <v>620</v>
      </c>
      <c r="B151" s="2165"/>
      <c r="C151" s="1670">
        <f>SUM(C129,C130,C139,C149,C150)</f>
        <v>762521</v>
      </c>
      <c r="D151" s="1670">
        <f t="shared" ref="D151:K151" si="16">SUM(D129,D130,D139,D149,D150)</f>
        <v>168833</v>
      </c>
      <c r="E151" s="1670">
        <f t="shared" si="16"/>
        <v>252761</v>
      </c>
      <c r="F151" s="1670">
        <f t="shared" si="16"/>
        <v>749685</v>
      </c>
      <c r="G151" s="1670">
        <f t="shared" si="16"/>
        <v>21760</v>
      </c>
      <c r="H151" s="1670">
        <f t="shared" si="16"/>
        <v>6218</v>
      </c>
      <c r="I151" s="1670">
        <f t="shared" si="16"/>
        <v>0</v>
      </c>
      <c r="J151" s="1670">
        <f t="shared" si="16"/>
        <v>0</v>
      </c>
      <c r="K151" s="1670">
        <f t="shared" si="16"/>
        <v>1961778</v>
      </c>
      <c r="L151" s="1670">
        <f>SUM(L129,L130,L139,L149,L150)</f>
        <v>0</v>
      </c>
    </row>
    <row r="152" spans="1:14" ht="12.75" customHeight="1" thickTop="1" x14ac:dyDescent="0.2">
      <c r="A152" s="2188" t="s">
        <v>1178</v>
      </c>
      <c r="B152" s="2189"/>
      <c r="C152" s="618"/>
      <c r="D152" s="618"/>
      <c r="E152" s="618"/>
      <c r="F152" s="618"/>
      <c r="G152" s="618"/>
      <c r="H152" s="618"/>
      <c r="I152" s="618"/>
      <c r="J152" s="616"/>
      <c r="K152" s="1684">
        <f>'Revenues 9-14'!D268-'Expenditures 15-22'!K151</f>
        <v>239438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3" t="s">
        <v>621</v>
      </c>
      <c r="B154" s="2175"/>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68" t="s">
        <v>996</v>
      </c>
      <c r="B175" s="2169"/>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v>2188156</v>
      </c>
      <c r="F182" s="466">
        <v>178216</v>
      </c>
      <c r="G182" s="466">
        <v>3850</v>
      </c>
      <c r="H182" s="466"/>
      <c r="I182" s="467"/>
      <c r="J182" s="467"/>
      <c r="K182" s="1671">
        <f>SUM(C182:J182)</f>
        <v>2370222</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2188156</v>
      </c>
      <c r="F184" s="1677">
        <f t="shared" si="17"/>
        <v>178216</v>
      </c>
      <c r="G184" s="1677">
        <f t="shared" si="17"/>
        <v>3850</v>
      </c>
      <c r="H184" s="1677">
        <f t="shared" si="17"/>
        <v>0</v>
      </c>
      <c r="I184" s="1677">
        <f t="shared" si="17"/>
        <v>0</v>
      </c>
      <c r="J184" s="1677">
        <f t="shared" si="17"/>
        <v>0</v>
      </c>
      <c r="K184" s="1677">
        <f>SUM(K180,K182,K183)</f>
        <v>2370222</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2188156</v>
      </c>
      <c r="F210" s="1670">
        <f>SUM(F184,F185)</f>
        <v>178216</v>
      </c>
      <c r="G210" s="1670">
        <f>SUM(G184,G185)</f>
        <v>3850</v>
      </c>
      <c r="H210" s="1670">
        <f>SUM(H184,H185,H196,H208,H209)</f>
        <v>0</v>
      </c>
      <c r="I210" s="1670">
        <f>SUM(I184,I185)</f>
        <v>0</v>
      </c>
      <c r="J210" s="1670">
        <f>SUM(J184,J185)</f>
        <v>0</v>
      </c>
      <c r="K210" s="1671">
        <f>SUM(K184,K185,K196,K208,K209)</f>
        <v>2370222</v>
      </c>
      <c r="L210" s="1670">
        <f>SUM(L184,L185,L196,L208,L209)</f>
        <v>0</v>
      </c>
    </row>
    <row r="211" spans="1:14" ht="13.5" thickTop="1" x14ac:dyDescent="0.2">
      <c r="A211" s="2168" t="s">
        <v>996</v>
      </c>
      <c r="B211" s="2169"/>
      <c r="C211" s="618"/>
      <c r="D211" s="618"/>
      <c r="E211" s="618"/>
      <c r="F211" s="618"/>
      <c r="G211" s="618"/>
      <c r="H211" s="618"/>
      <c r="I211" s="616"/>
      <c r="J211" s="616"/>
      <c r="K211" s="1684">
        <f>'Revenues 9-14'!F268-'Expenditures 15-22'!K210</f>
        <v>973096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0" t="s">
        <v>965</v>
      </c>
      <c r="B213" s="2191"/>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75166</v>
      </c>
      <c r="E215" s="616"/>
      <c r="F215" s="616"/>
      <c r="G215" s="616"/>
      <c r="H215" s="616"/>
      <c r="I215" s="616"/>
      <c r="J215" s="616"/>
      <c r="K215" s="1671">
        <f>D215</f>
        <v>75166</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129464</v>
      </c>
      <c r="E217" s="616"/>
      <c r="F217" s="616"/>
      <c r="G217" s="616"/>
      <c r="H217" s="616"/>
      <c r="I217" s="616"/>
      <c r="J217" s="616"/>
      <c r="K217" s="1671">
        <f t="shared" si="19"/>
        <v>129464</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14983</v>
      </c>
      <c r="E219" s="616"/>
      <c r="F219" s="616"/>
      <c r="G219" s="616"/>
      <c r="H219" s="616"/>
      <c r="I219" s="616"/>
      <c r="J219" s="616"/>
      <c r="K219" s="1671">
        <f t="shared" si="19"/>
        <v>14983</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2696</v>
      </c>
      <c r="E222" s="616"/>
      <c r="F222" s="616"/>
      <c r="G222" s="616"/>
      <c r="H222" s="616"/>
      <c r="I222" s="616"/>
      <c r="J222" s="616"/>
      <c r="K222" s="1671">
        <f t="shared" si="19"/>
        <v>2696</v>
      </c>
      <c r="L222" s="466"/>
    </row>
    <row r="223" spans="1:14" x14ac:dyDescent="0.2">
      <c r="A223" s="1504" t="s">
        <v>963</v>
      </c>
      <c r="B223" s="614">
        <v>1500</v>
      </c>
      <c r="C223" s="616"/>
      <c r="D223" s="466">
        <v>9947</v>
      </c>
      <c r="E223" s="616"/>
      <c r="F223" s="616"/>
      <c r="G223" s="616"/>
      <c r="H223" s="616"/>
      <c r="I223" s="616"/>
      <c r="J223" s="616"/>
      <c r="K223" s="1671">
        <f t="shared" si="19"/>
        <v>9947</v>
      </c>
      <c r="L223" s="466"/>
    </row>
    <row r="224" spans="1:14" x14ac:dyDescent="0.2">
      <c r="A224" s="1504" t="s">
        <v>964</v>
      </c>
      <c r="B224" s="614">
        <v>1600</v>
      </c>
      <c r="C224" s="616"/>
      <c r="D224" s="466">
        <v>267</v>
      </c>
      <c r="E224" s="616"/>
      <c r="F224" s="616"/>
      <c r="G224" s="616"/>
      <c r="H224" s="616"/>
      <c r="I224" s="616"/>
      <c r="J224" s="616"/>
      <c r="K224" s="1671">
        <f t="shared" si="19"/>
        <v>267</v>
      </c>
      <c r="L224" s="466"/>
    </row>
    <row r="225" spans="1:12" x14ac:dyDescent="0.2">
      <c r="A225" s="1504" t="s">
        <v>987</v>
      </c>
      <c r="B225" s="614">
        <v>1650</v>
      </c>
      <c r="C225" s="616"/>
      <c r="D225" s="466">
        <v>514</v>
      </c>
      <c r="E225" s="616"/>
      <c r="F225" s="616"/>
      <c r="G225" s="616"/>
      <c r="H225" s="616"/>
      <c r="I225" s="616"/>
      <c r="J225" s="616"/>
      <c r="K225" s="1671">
        <f t="shared" si="19"/>
        <v>514</v>
      </c>
      <c r="L225" s="466"/>
    </row>
    <row r="226" spans="1:12" x14ac:dyDescent="0.2">
      <c r="A226" s="1504" t="s">
        <v>724</v>
      </c>
      <c r="B226" s="614" t="s">
        <v>162</v>
      </c>
      <c r="C226" s="616"/>
      <c r="D226" s="467">
        <v>1002</v>
      </c>
      <c r="E226" s="616"/>
      <c r="F226" s="616"/>
      <c r="G226" s="616"/>
      <c r="H226" s="616"/>
      <c r="I226" s="616"/>
      <c r="J226" s="616"/>
      <c r="K226" s="1671">
        <f t="shared" si="19"/>
        <v>1002</v>
      </c>
      <c r="L226" s="466"/>
    </row>
    <row r="227" spans="1:12" x14ac:dyDescent="0.2">
      <c r="A227" s="1504" t="s">
        <v>1087</v>
      </c>
      <c r="B227" s="614">
        <v>1800</v>
      </c>
      <c r="C227" s="616"/>
      <c r="D227" s="466">
        <v>1093</v>
      </c>
      <c r="E227" s="616"/>
      <c r="F227" s="616"/>
      <c r="G227" s="616"/>
      <c r="H227" s="616"/>
      <c r="I227" s="616"/>
      <c r="J227" s="616"/>
      <c r="K227" s="1671">
        <f t="shared" si="19"/>
        <v>1093</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235132</v>
      </c>
      <c r="E229" s="616"/>
      <c r="F229" s="616"/>
      <c r="G229" s="616"/>
      <c r="H229" s="616"/>
      <c r="I229" s="616"/>
      <c r="J229" s="616"/>
      <c r="K229" s="1670">
        <f>SUM(K215:K228)</f>
        <v>235132</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2847</v>
      </c>
      <c r="E232" s="616"/>
      <c r="F232" s="616"/>
      <c r="G232" s="616"/>
      <c r="H232" s="616"/>
      <c r="I232" s="616"/>
      <c r="J232" s="616"/>
      <c r="K232" s="1671">
        <f t="shared" ref="K232:K237" si="20">D232</f>
        <v>2847</v>
      </c>
      <c r="L232" s="466"/>
    </row>
    <row r="233" spans="1:12" x14ac:dyDescent="0.2">
      <c r="A233" s="1504" t="s">
        <v>1090</v>
      </c>
      <c r="B233" s="614">
        <v>2120</v>
      </c>
      <c r="C233" s="616"/>
      <c r="D233" s="466">
        <v>5051</v>
      </c>
      <c r="E233" s="616"/>
      <c r="F233" s="616"/>
      <c r="G233" s="616"/>
      <c r="H233" s="616"/>
      <c r="I233" s="616"/>
      <c r="J233" s="616"/>
      <c r="K233" s="1671">
        <f t="shared" si="20"/>
        <v>5051</v>
      </c>
      <c r="L233" s="466"/>
    </row>
    <row r="234" spans="1:12" x14ac:dyDescent="0.2">
      <c r="A234" s="1504" t="s">
        <v>198</v>
      </c>
      <c r="B234" s="614">
        <v>2130</v>
      </c>
      <c r="C234" s="616"/>
      <c r="D234" s="466">
        <v>19352</v>
      </c>
      <c r="E234" s="616"/>
      <c r="F234" s="616"/>
      <c r="G234" s="616"/>
      <c r="H234" s="616"/>
      <c r="I234" s="616"/>
      <c r="J234" s="616"/>
      <c r="K234" s="1671">
        <f t="shared" si="20"/>
        <v>19352</v>
      </c>
      <c r="L234" s="466"/>
    </row>
    <row r="235" spans="1:12" x14ac:dyDescent="0.2">
      <c r="A235" s="1504" t="s">
        <v>199</v>
      </c>
      <c r="B235" s="614">
        <v>2140</v>
      </c>
      <c r="C235" s="616"/>
      <c r="D235" s="466">
        <v>1155</v>
      </c>
      <c r="E235" s="616"/>
      <c r="F235" s="616"/>
      <c r="G235" s="616"/>
      <c r="H235" s="616"/>
      <c r="I235" s="616"/>
      <c r="J235" s="616"/>
      <c r="K235" s="1671">
        <f t="shared" si="20"/>
        <v>1155</v>
      </c>
      <c r="L235" s="466"/>
    </row>
    <row r="236" spans="1:12" x14ac:dyDescent="0.2">
      <c r="A236" s="1504" t="s">
        <v>200</v>
      </c>
      <c r="B236" s="614">
        <v>2150</v>
      </c>
      <c r="C236" s="616"/>
      <c r="D236" s="466">
        <v>3372</v>
      </c>
      <c r="E236" s="616"/>
      <c r="F236" s="616"/>
      <c r="G236" s="616"/>
      <c r="H236" s="616"/>
      <c r="I236" s="616"/>
      <c r="J236" s="616"/>
      <c r="K236" s="1671">
        <f t="shared" si="20"/>
        <v>3372</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31777</v>
      </c>
      <c r="E238" s="616"/>
      <c r="F238" s="616"/>
      <c r="G238" s="616"/>
      <c r="H238" s="616"/>
      <c r="I238" s="616"/>
      <c r="J238" s="616"/>
      <c r="K238" s="1670">
        <f>SUM(K232:K237)</f>
        <v>31777</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19971</v>
      </c>
      <c r="E240" s="616"/>
      <c r="F240" s="616"/>
      <c r="G240" s="616"/>
      <c r="H240" s="616"/>
      <c r="I240" s="616"/>
      <c r="J240" s="616"/>
      <c r="K240" s="1672">
        <f>D240</f>
        <v>19971</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19971</v>
      </c>
      <c r="E243" s="616"/>
      <c r="F243" s="616"/>
      <c r="G243" s="616"/>
      <c r="H243" s="616"/>
      <c r="I243" s="616"/>
      <c r="J243" s="616"/>
      <c r="K243" s="1670">
        <f>SUM(K240:K242)</f>
        <v>19971</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26768</v>
      </c>
      <c r="E246" s="616"/>
      <c r="F246" s="616"/>
      <c r="G246" s="616"/>
      <c r="H246" s="616"/>
      <c r="I246" s="616"/>
      <c r="J246" s="616"/>
      <c r="K246" s="1672">
        <f t="shared" ref="K246:K256" si="21">D246</f>
        <v>26768</v>
      </c>
      <c r="L246" s="466"/>
    </row>
    <row r="247" spans="1:12" x14ac:dyDescent="0.2">
      <c r="A247" s="1504" t="s">
        <v>819</v>
      </c>
      <c r="B247" s="614">
        <v>2330</v>
      </c>
      <c r="C247" s="616"/>
      <c r="D247" s="466">
        <v>465</v>
      </c>
      <c r="E247" s="616"/>
      <c r="F247" s="616"/>
      <c r="G247" s="616"/>
      <c r="H247" s="616"/>
      <c r="I247" s="616"/>
      <c r="J247" s="616"/>
      <c r="K247" s="1672">
        <f t="shared" si="21"/>
        <v>465</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27233</v>
      </c>
      <c r="E257" s="616"/>
      <c r="F257" s="616"/>
      <c r="G257" s="616"/>
      <c r="H257" s="616"/>
      <c r="I257" s="616"/>
      <c r="J257" s="616"/>
      <c r="K257" s="1670">
        <f>SUM(K245:K256)</f>
        <v>27233</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66351</v>
      </c>
      <c r="E259" s="616"/>
      <c r="F259" s="616"/>
      <c r="G259" s="616"/>
      <c r="H259" s="616"/>
      <c r="I259" s="616"/>
      <c r="J259" s="616"/>
      <c r="K259" s="1672">
        <f>D259</f>
        <v>66351</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66351</v>
      </c>
      <c r="E261" s="616"/>
      <c r="F261" s="616"/>
      <c r="G261" s="616"/>
      <c r="H261" s="616"/>
      <c r="I261" s="616"/>
      <c r="J261" s="616"/>
      <c r="K261" s="1670">
        <f>SUM(K259:K260)</f>
        <v>66351</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13066</v>
      </c>
      <c r="E264" s="616"/>
      <c r="F264" s="616"/>
      <c r="G264" s="616"/>
      <c r="H264" s="616"/>
      <c r="I264" s="616"/>
      <c r="J264" s="616"/>
      <c r="K264" s="1672">
        <f t="shared" ref="K264:K269" si="22">D264</f>
        <v>13066</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113743</v>
      </c>
      <c r="E266" s="616"/>
      <c r="F266" s="616"/>
      <c r="G266" s="616"/>
      <c r="H266" s="616"/>
      <c r="I266" s="616"/>
      <c r="J266" s="616"/>
      <c r="K266" s="1672">
        <f t="shared" si="22"/>
        <v>113743</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126809</v>
      </c>
      <c r="E270" s="616"/>
      <c r="F270" s="616"/>
      <c r="G270" s="616"/>
      <c r="H270" s="616"/>
      <c r="I270" s="616"/>
      <c r="J270" s="616"/>
      <c r="K270" s="1670">
        <f>SUM(K263:K269)</f>
        <v>126809</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v>1263</v>
      </c>
      <c r="E272" s="616"/>
      <c r="F272" s="616"/>
      <c r="G272" s="616"/>
      <c r="H272" s="616"/>
      <c r="I272" s="616"/>
      <c r="J272" s="616"/>
      <c r="K272" s="1672">
        <f>D272</f>
        <v>1263</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v>137</v>
      </c>
      <c r="E275" s="616"/>
      <c r="F275" s="616"/>
      <c r="G275" s="616"/>
      <c r="H275" s="616"/>
      <c r="I275" s="616"/>
      <c r="J275" s="616"/>
      <c r="K275" s="1672">
        <f>D275</f>
        <v>137</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1400</v>
      </c>
      <c r="E277" s="616"/>
      <c r="F277" s="616"/>
      <c r="G277" s="616"/>
      <c r="H277" s="616"/>
      <c r="I277" s="616"/>
      <c r="J277" s="616"/>
      <c r="K277" s="1670">
        <f>SUM(K272:K276)</f>
        <v>1400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273541</v>
      </c>
      <c r="E279" s="616"/>
      <c r="F279" s="616"/>
      <c r="G279" s="616"/>
      <c r="H279" s="616"/>
      <c r="I279" s="616"/>
      <c r="J279" s="616"/>
      <c r="K279" s="1677">
        <f>SUM(K238,K243,K257,K261,K270,K277,K278)</f>
        <v>273541</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86" t="s">
        <v>505</v>
      </c>
      <c r="B295" s="2187"/>
      <c r="C295" s="616"/>
      <c r="D295" s="1670">
        <f>SUM(D229,D279,D280,D285)</f>
        <v>508673</v>
      </c>
      <c r="E295" s="616"/>
      <c r="F295" s="616"/>
      <c r="G295" s="616"/>
      <c r="H295" s="1670">
        <f>H293</f>
        <v>0</v>
      </c>
      <c r="I295" s="616"/>
      <c r="J295" s="616"/>
      <c r="K295" s="1670">
        <f>SUM(K229,K279,K280,K285,K293,K294)</f>
        <v>508673</v>
      </c>
      <c r="L295" s="1670">
        <f>SUM(L229,L279,L280,L285,L293,L294)</f>
        <v>0</v>
      </c>
    </row>
    <row r="296" spans="1:14" ht="13.5" thickTop="1" x14ac:dyDescent="0.2">
      <c r="A296" s="2168" t="s">
        <v>996</v>
      </c>
      <c r="B296" s="2169"/>
      <c r="C296" s="616"/>
      <c r="D296" s="618"/>
      <c r="E296" s="616"/>
      <c r="F296" s="616"/>
      <c r="G296" s="616"/>
      <c r="H296" s="687"/>
      <c r="I296" s="616"/>
      <c r="J296" s="616"/>
      <c r="K296" s="1684">
        <f>'Revenues 9-14'!G268-'Expenditures 15-22'!K295</f>
        <v>268156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8" t="s">
        <v>143</v>
      </c>
      <c r="B298" s="2172"/>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v>1299780</v>
      </c>
      <c r="F302" s="466">
        <v>204333</v>
      </c>
      <c r="G302" s="466">
        <v>361065</v>
      </c>
      <c r="H302" s="466"/>
      <c r="I302" s="467"/>
      <c r="J302" s="467"/>
      <c r="K302" s="1671">
        <f>SUM(C302:J302)</f>
        <v>1865178</v>
      </c>
      <c r="L302" s="466"/>
    </row>
    <row r="303" spans="1:14" ht="12.75" customHeight="1" thickBot="1" x14ac:dyDescent="0.25">
      <c r="A303" s="1668" t="s">
        <v>811</v>
      </c>
      <c r="B303" s="1669" t="s">
        <v>569</v>
      </c>
      <c r="C303" s="1677">
        <f>SUM(C301:C302)</f>
        <v>0</v>
      </c>
      <c r="D303" s="1677">
        <f t="shared" ref="D303:L303" si="23">SUM(D301:D302)</f>
        <v>0</v>
      </c>
      <c r="E303" s="1677">
        <f t="shared" si="23"/>
        <v>1299780</v>
      </c>
      <c r="F303" s="1677">
        <f t="shared" si="23"/>
        <v>204333</v>
      </c>
      <c r="G303" s="1677">
        <f t="shared" si="23"/>
        <v>361065</v>
      </c>
      <c r="H303" s="1677">
        <f t="shared" si="23"/>
        <v>0</v>
      </c>
      <c r="I303" s="1677">
        <f t="shared" si="23"/>
        <v>0</v>
      </c>
      <c r="J303" s="1677">
        <f t="shared" si="23"/>
        <v>0</v>
      </c>
      <c r="K303" s="1677">
        <f t="shared" si="23"/>
        <v>1865178</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83" t="s">
        <v>277</v>
      </c>
      <c r="B312" s="2184"/>
      <c r="C312" s="1670">
        <f>SUM(C303)</f>
        <v>0</v>
      </c>
      <c r="D312" s="1670">
        <f>SUM(D303)</f>
        <v>0</v>
      </c>
      <c r="E312" s="1670">
        <f>SUM(E303,E310)</f>
        <v>1299780</v>
      </c>
      <c r="F312" s="1670">
        <f>SUM(F303)</f>
        <v>204333</v>
      </c>
      <c r="G312" s="1670">
        <f>SUM(G303)</f>
        <v>361065</v>
      </c>
      <c r="H312" s="1670">
        <f>SUM(H303,H310)</f>
        <v>0</v>
      </c>
      <c r="I312" s="1670">
        <f>SUM(I303)</f>
        <v>0</v>
      </c>
      <c r="J312" s="1670">
        <f>SUM(J303)</f>
        <v>0</v>
      </c>
      <c r="K312" s="1670">
        <f>SUM(K303,K310,K311)</f>
        <v>1865178</v>
      </c>
      <c r="L312" s="1670">
        <f>SUM(L303,L310,L311)</f>
        <v>0</v>
      </c>
      <c r="M312" s="665"/>
      <c r="N312" s="665"/>
    </row>
    <row r="313" spans="1:14" ht="13.5" thickTop="1" x14ac:dyDescent="0.2">
      <c r="A313" s="2179" t="s">
        <v>996</v>
      </c>
      <c r="B313" s="2180"/>
      <c r="C313" s="626"/>
      <c r="D313" s="626"/>
      <c r="E313" s="626"/>
      <c r="F313" s="626"/>
      <c r="G313" s="626"/>
      <c r="H313" s="626"/>
      <c r="I313" s="626"/>
      <c r="J313" s="626"/>
      <c r="K313" s="1685">
        <f>'Revenues 9-14'!H268-'Expenditures 15-22'!K312</f>
        <v>343250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2" t="s">
        <v>149</v>
      </c>
      <c r="B315" s="2193"/>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4" t="s">
        <v>898</v>
      </c>
      <c r="B317" s="2193"/>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SUM(L330,L334,L340,L341)</f>
        <v>0</v>
      </c>
    </row>
    <row r="343" spans="1:14" ht="12.75" customHeight="1" thickTop="1" x14ac:dyDescent="0.2">
      <c r="A343" s="2181" t="s">
        <v>996</v>
      </c>
      <c r="B343" s="2182"/>
      <c r="C343" s="616"/>
      <c r="D343" s="616"/>
      <c r="E343" s="616"/>
      <c r="F343" s="616"/>
      <c r="G343" s="616"/>
      <c r="H343" s="616"/>
      <c r="I343" s="616"/>
      <c r="J343" s="616"/>
      <c r="K343" s="1684">
        <f>'Revenues 9-14'!J268-'Expenditures 15-22'!K342</f>
        <v>10133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1" t="s">
        <v>966</v>
      </c>
      <c r="B345" s="2172"/>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47500</v>
      </c>
      <c r="F348" s="466"/>
      <c r="G348" s="466"/>
      <c r="H348" s="466"/>
      <c r="I348" s="467"/>
      <c r="J348" s="467"/>
      <c r="K348" s="1671">
        <f>SUM(C348:J348)</f>
        <v>47500</v>
      </c>
      <c r="L348" s="466"/>
    </row>
    <row r="349" spans="1:14" x14ac:dyDescent="0.2">
      <c r="A349" s="1504" t="s">
        <v>197</v>
      </c>
      <c r="B349" s="614">
        <v>2540</v>
      </c>
      <c r="C349" s="466"/>
      <c r="D349" s="466"/>
      <c r="E349" s="466">
        <v>15733</v>
      </c>
      <c r="F349" s="466">
        <v>1885</v>
      </c>
      <c r="G349" s="466">
        <v>54347</v>
      </c>
      <c r="H349" s="466"/>
      <c r="I349" s="467"/>
      <c r="J349" s="467"/>
      <c r="K349" s="1671">
        <f>SUM(C349:J349)</f>
        <v>71965</v>
      </c>
      <c r="L349" s="466"/>
    </row>
    <row r="350" spans="1:14" ht="12.75" customHeight="1" thickBot="1" x14ac:dyDescent="0.25">
      <c r="A350" s="1668" t="s">
        <v>719</v>
      </c>
      <c r="B350" s="1669" t="s">
        <v>35</v>
      </c>
      <c r="C350" s="1670">
        <f>SUM(C348:C349)</f>
        <v>0</v>
      </c>
      <c r="D350" s="1670">
        <f t="shared" ref="D350:L350" si="26">SUM(D348:D349)</f>
        <v>0</v>
      </c>
      <c r="E350" s="1670">
        <f t="shared" si="26"/>
        <v>63233</v>
      </c>
      <c r="F350" s="1670">
        <f t="shared" si="26"/>
        <v>1885</v>
      </c>
      <c r="G350" s="1670">
        <f t="shared" si="26"/>
        <v>54347</v>
      </c>
      <c r="H350" s="1670">
        <f t="shared" si="26"/>
        <v>0</v>
      </c>
      <c r="I350" s="1670">
        <f t="shared" si="26"/>
        <v>0</v>
      </c>
      <c r="J350" s="1670">
        <f t="shared" si="26"/>
        <v>0</v>
      </c>
      <c r="K350" s="1670">
        <f t="shared" si="26"/>
        <v>119465</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63233</v>
      </c>
      <c r="F352" s="1670">
        <f t="shared" si="27"/>
        <v>1885</v>
      </c>
      <c r="G352" s="1670">
        <f t="shared" si="27"/>
        <v>54347</v>
      </c>
      <c r="H352" s="1670">
        <f t="shared" si="27"/>
        <v>0</v>
      </c>
      <c r="I352" s="1670">
        <f t="shared" si="27"/>
        <v>0</v>
      </c>
      <c r="J352" s="1670">
        <f t="shared" si="27"/>
        <v>0</v>
      </c>
      <c r="K352" s="1670">
        <f t="shared" si="27"/>
        <v>119465</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63233</v>
      </c>
      <c r="F367" s="1670">
        <f t="shared" si="28"/>
        <v>1885</v>
      </c>
      <c r="G367" s="1670">
        <f t="shared" si="28"/>
        <v>54347</v>
      </c>
      <c r="H367" s="1670">
        <f t="shared" si="28"/>
        <v>0</v>
      </c>
      <c r="I367" s="1670">
        <f t="shared" si="28"/>
        <v>0</v>
      </c>
      <c r="J367" s="1670">
        <f t="shared" si="28"/>
        <v>0</v>
      </c>
      <c r="K367" s="1670">
        <f t="shared" si="28"/>
        <v>119465</v>
      </c>
      <c r="L367" s="1670">
        <f t="shared" si="28"/>
        <v>0</v>
      </c>
    </row>
    <row r="368" spans="1:14" ht="13.5" thickTop="1" x14ac:dyDescent="0.2">
      <c r="A368" s="2168" t="s">
        <v>996</v>
      </c>
      <c r="B368" s="2169"/>
      <c r="C368" s="654"/>
      <c r="D368" s="654"/>
      <c r="E368" s="626"/>
      <c r="F368" s="626"/>
      <c r="G368" s="626"/>
      <c r="H368" s="626"/>
      <c r="I368" s="626"/>
      <c r="J368" s="623"/>
      <c r="K368" s="1671">
        <f>'Revenues 9-14'!K268-'Expenditures 15-22'!K367</f>
        <v>37650</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56"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&amp;C&amp;"Times New Roman,Regular"&amp;12The notes to the financial statements are an integral part of these statements&amp;"Arial,Regular"&amp;10.</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www.w3.org/XML/1998/namespace"/>
    <ds:schemaRef ds:uri="http://schemas.microsoft.com/office/2006/documentManagement/types"/>
    <ds:schemaRef ds:uri="http://schemas.microsoft.com/office/infopath/2007/PartnerControls"/>
    <ds:schemaRef ds:uri="http://purl.org/dc/terms/"/>
    <ds:schemaRef ds:uri="4d435f69-8686-490b-bd6d-b153bf22ab50"/>
    <ds:schemaRef ds:uri="http://schemas.microsoft.com/office/2006/metadata/properties"/>
    <ds:schemaRef ds:uri="http://schemas.openxmlformats.org/package/2006/metadata/core-properties"/>
    <ds:schemaRef ds:uri="http://purl.org/dc/dcmitype/"/>
    <ds:schemaRef ds:uri="d21dc803-237d-4c68-8692-8d731fd29118"/>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16</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CAP 1</vt:lpstr>
      <vt:lpstr>CAP 2</vt:lpstr>
      <vt:lpstr>CAP 3</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2019-12-09T21:35:40Z</cp:lastPrinted>
  <dcterms:created xsi:type="dcterms:W3CDTF">2003-10-29T19:06:34Z</dcterms:created>
  <dcterms:modified xsi:type="dcterms:W3CDTF">2020-01-07T19:43:39Z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