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4000" windowHeight="96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1" i="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6103" i="106" l="1"/>
  <c r="J22" i="37"/>
  <c r="F36" i="108"/>
  <c r="B1126" i="106"/>
  <c r="D1126" i="106" s="1"/>
  <c r="E35" i="108"/>
  <c r="L22" i="37"/>
  <c r="F70" i="34"/>
  <c r="L5" i="11"/>
  <c r="B2056" i="106" s="1"/>
  <c r="D2056" i="106" s="1"/>
  <c r="L13" i="11"/>
  <c r="B2060" i="106" s="1"/>
  <c r="D2060" i="106" s="1"/>
  <c r="G35" i="108"/>
  <c r="H28" i="118"/>
  <c r="D22" i="37"/>
  <c r="D69" i="36"/>
  <c r="D24" i="37"/>
  <c r="B4270" i="106" s="1"/>
  <c r="D4270" i="106" s="1"/>
  <c r="F19" i="7"/>
  <c r="B1807" i="106" s="1"/>
  <c r="D1807" i="106" s="1"/>
  <c r="H33" i="118"/>
  <c r="F69" i="34"/>
  <c r="F56" i="34"/>
  <c r="F50" i="34"/>
  <c r="F46" i="34"/>
  <c r="B2724" i="106"/>
  <c r="D2724" i="106" s="1"/>
  <c r="F64" i="34"/>
  <c r="I129" i="29"/>
  <c r="B7037" i="106" s="1"/>
  <c r="D7037" i="106" s="1"/>
  <c r="F36" i="34"/>
  <c r="H112" i="29"/>
  <c r="B7018" i="106" s="1"/>
  <c r="D7018" i="106" s="1"/>
  <c r="B2805" i="106"/>
  <c r="D2805" i="106" s="1"/>
  <c r="B1124" i="106"/>
  <c r="D1124" i="106" s="1"/>
  <c r="F37" i="34"/>
  <c r="F28" i="108"/>
  <c r="E34" i="108"/>
  <c r="F71" i="34"/>
  <c r="F68" i="34"/>
  <c r="F42" i="34"/>
  <c r="B2836" i="106"/>
  <c r="D2836" i="106" s="1"/>
  <c r="F34" i="34"/>
  <c r="F52" i="34"/>
  <c r="G39" i="108"/>
  <c r="J129" i="29"/>
  <c r="B7038" i="106" s="1"/>
  <c r="D7038" i="106" s="1"/>
  <c r="H342" i="29"/>
  <c r="B7221" i="106" s="1"/>
  <c r="D7221" i="106" s="1"/>
  <c r="E29" i="108"/>
  <c r="J210" i="29"/>
  <c r="B7072" i="106" s="1"/>
  <c r="D7072" i="106" s="1"/>
  <c r="C129" i="29"/>
  <c r="C151" i="29" s="1"/>
  <c r="B1226" i="106" s="1"/>
  <c r="D1226" i="106" s="1"/>
  <c r="G26" i="108"/>
  <c r="E26" i="108"/>
  <c r="B7074" i="106"/>
  <c r="D7074" i="106" s="1"/>
  <c r="F38" i="34"/>
  <c r="G15" i="145"/>
  <c r="B6289" i="106"/>
  <c r="D6289" i="106" s="1"/>
  <c r="D54" i="36"/>
  <c r="E38" i="108"/>
  <c r="E33" i="108"/>
  <c r="C342" i="29"/>
  <c r="B7216" i="106" s="1"/>
  <c r="D7216" i="106" s="1"/>
  <c r="B3488" i="106"/>
  <c r="D3488" i="106" s="1"/>
  <c r="K184" i="29"/>
  <c r="F13" i="4" s="1"/>
  <c r="B2596" i="106" s="1"/>
  <c r="D2596" i="106" s="1"/>
  <c r="G210" i="29"/>
  <c r="B7047" i="106"/>
  <c r="D7047" i="106" s="1"/>
  <c r="L367" i="29"/>
  <c r="D36" i="108"/>
  <c r="B3647" i="106"/>
  <c r="D3647" i="106" s="1"/>
  <c r="G14" i="4"/>
  <c r="B2609" i="106" s="1"/>
  <c r="D2609" i="106" s="1"/>
  <c r="F72" i="34"/>
  <c r="G29" i="108"/>
  <c r="B1274" i="106"/>
  <c r="D1274" i="106" s="1"/>
  <c r="H76" i="4"/>
  <c r="B3298" i="106" s="1"/>
  <c r="D3298" i="106" s="1"/>
  <c r="B6995" i="106"/>
  <c r="D6995" i="106" s="1"/>
  <c r="G30" i="108"/>
  <c r="F27" i="108"/>
  <c r="I210" i="29"/>
  <c r="B7071" i="106" s="1"/>
  <c r="D7071" i="106" s="1"/>
  <c r="C352" i="29"/>
  <c r="C367" i="29" s="1"/>
  <c r="B3622" i="106" s="1"/>
  <c r="D3622" i="106" s="1"/>
  <c r="H365" i="29"/>
  <c r="B7242" i="106" s="1"/>
  <c r="D7242" i="106" s="1"/>
  <c r="J352" i="29"/>
  <c r="J367" i="29" s="1"/>
  <c r="B7245" i="106" s="1"/>
  <c r="D7245" i="106" s="1"/>
  <c r="K76" i="4"/>
  <c r="B3586" i="106" s="1"/>
  <c r="D3586" i="106" s="1"/>
  <c r="J77" i="4"/>
  <c r="B6262" i="106" s="1"/>
  <c r="D6262" i="106" s="1"/>
  <c r="F77" i="4"/>
  <c r="B3255" i="106" s="1"/>
  <c r="D3255" i="106" s="1"/>
  <c r="J41" i="3"/>
  <c r="B6216" i="106" s="1"/>
  <c r="D6216" i="106" s="1"/>
  <c r="B281" i="106"/>
  <c r="D281"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4" i="106"/>
  <c r="D7256" i="106"/>
  <c r="D7250" i="106"/>
  <c r="K28" i="118"/>
  <c r="O27" i="118" s="1"/>
  <c r="O29" i="118" s="1"/>
  <c r="L16" i="11"/>
  <c r="B2061" i="106" s="1"/>
  <c r="D2061" i="106" s="1"/>
  <c r="B2031" i="106"/>
  <c r="D2031" i="106" s="1"/>
  <c r="I151" i="29"/>
  <c r="F59" i="34" s="1"/>
  <c r="B1381" i="106"/>
  <c r="D1381" i="106" s="1"/>
  <c r="I7" i="4"/>
  <c r="B4444" i="106" s="1"/>
  <c r="D4444" i="106" s="1"/>
  <c r="B3621" i="106"/>
  <c r="D3621" i="106" s="1"/>
  <c r="B1328" i="106"/>
  <c r="D1328" i="106" s="1"/>
  <c r="K77" i="4"/>
  <c r="B3587" i="106" s="1"/>
  <c r="D3587" i="106" s="1"/>
  <c r="D51" i="36"/>
  <c r="B1225" i="106"/>
  <c r="D1225" i="106" s="1"/>
  <c r="J151" i="29"/>
  <c r="B7052" i="106" s="1"/>
  <c r="D7052" i="106" s="1"/>
  <c r="J16" i="4"/>
  <c r="B6226" i="106" s="1"/>
  <c r="D6226" i="106" s="1"/>
  <c r="D41" i="108"/>
  <c r="E43" i="108" s="1"/>
  <c r="K342" i="29"/>
  <c r="F13" i="34" s="1"/>
  <c r="F41" i="108"/>
  <c r="G43" i="108" s="1"/>
  <c r="H77" i="4"/>
  <c r="B3299" i="106" s="1"/>
  <c r="D3299" i="106" s="1"/>
  <c r="N23" i="3"/>
  <c r="B284" i="106" s="1"/>
  <c r="D284" i="106" s="1"/>
  <c r="B5770" i="106"/>
  <c r="D5770" i="106" s="1"/>
  <c r="B5527" i="106"/>
  <c r="D5527" i="106" s="1"/>
  <c r="B7235" i="106"/>
  <c r="D7235" i="106" s="1"/>
  <c r="B1365" i="106"/>
  <c r="D1365" i="106" s="1"/>
  <c r="F65" i="34"/>
  <c r="B1266" i="106"/>
  <c r="D1266" i="106" s="1"/>
  <c r="F66" i="34"/>
  <c r="L114" i="29"/>
  <c r="K365" i="29"/>
  <c r="K16" i="4" s="1"/>
  <c r="C114" i="29"/>
  <c r="B757" i="106" s="1"/>
  <c r="D757" i="106" s="1"/>
  <c r="B5778" i="106"/>
  <c r="D5778" i="106" s="1"/>
  <c r="G6" i="4"/>
  <c r="B2604" i="106" s="1"/>
  <c r="D2604"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7224" i="106"/>
  <c r="D7224" i="106" s="1"/>
  <c r="B7243" i="106"/>
  <c r="D7243"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J20" i="4"/>
  <c r="B6230" i="106" s="1"/>
  <c r="D6230" i="106" s="1"/>
  <c r="B6223" i="106"/>
  <c r="D6223" i="106" s="1"/>
  <c r="F8" i="4"/>
  <c r="B2595" i="106" s="1"/>
  <c r="D2595" i="106"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3575" i="106"/>
  <c r="D3575" i="106"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F175" i="34" l="1"/>
  <c r="F79" i="34"/>
  <c r="F8" i="146"/>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<sst xmlns="http://schemas.openxmlformats.org/spreadsheetml/2006/main" count="5125" uniqueCount="2146">
  <si>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</si>
  <si>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</si>
  <si>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</si>
  <si>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</si>
  <si>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</si>
  <si>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</si>
  <si>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</si>
  <si>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</si>
  <si>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</si>
  <si>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</si>
  <si>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</si>
  <si>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</si>
  <si>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</si>
  <si>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</si>
  <si>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</si>
  <si>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</si>
  <si>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</si>
  <si>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</si>
  <si>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</si>
  <si>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</si>
  <si>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</si>
  <si>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</si>
  <si>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</si>
  <si>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</si>
  <si>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</si>
  <si>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</si>
  <si>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</si>
  <si>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</si>
  <si>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</si>
  <si>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</si>
  <si>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</si>
  <si>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</si>
  <si>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</si>
  <si>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</si>
  <si>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</si>
  <si>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</si>
  <si>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</si>
  <si>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</si>
  <si>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</si>
  <si>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</si>
  <si>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</si>
  <si>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</si>
  <si>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</si>
  <si>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</si>
  <si>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</si>
  <si>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</si>
  <si>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</si>
  <si>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</si>
  <si>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</si>
  <si>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</si>
  <si>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</si>
  <si>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</si>
  <si>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</si>
  <si>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</si>
  <si>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</si>
  <si>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</si>
  <si>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</si>
  <si>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</si>
  <si>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</si>
  <si>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</si>
  <si>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</si>
  <si>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</si>
  <si>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</si>
  <si>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</si>
  <si>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</si>
  <si>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</si>
  <si>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</si>
  <si>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</si>
  <si>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</si>
  <si>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</si>
  <si>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</si>
  <si>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</si>
  <si>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</si>
  <si>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</si>
  <si>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</si>
  <si>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</si>
  <si>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</si>
  <si>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</si>
  <si>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</si>
  <si>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</si>
  <si>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</si>
  <si>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</si>
  <si>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</si>
  <si>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</si>
  <si>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</si>
  <si>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</si>
  <si>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</si>
  <si>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</si>
  <si>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</si>
  <si>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</si>
  <si>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</si>
  <si>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</si>
  <si>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</si>
  <si>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</si>
  <si>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</si>
  <si>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</si>
  <si>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</si>
  <si>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</si>
  <si>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</si>
  <si>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</si>
  <si>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</si>
  <si>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</si>
  <si>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</si>
  <si>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</si>
  <si>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</si>
  <si>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</si>
  <si>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</si>
  <si>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</si>
  <si>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</si>
  <si>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</si>
  <si>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</si>
  <si>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</si>
  <si>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</si>
  <si>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</si>
  <si>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</si>
  <si>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</si>
  <si>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</si>
  <si>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</si>
  <si>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</si>
  <si>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</si>
  <si>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</si>
  <si>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</si>
  <si>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</si>
  <si>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</si>
  <si>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</si>
  <si>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</si>
  <si>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</si>
  <si>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</si>
  <si>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</si>
  <si>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</si>
  <si>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</si>
  <si>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</si>
  <si>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</si>
  <si>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</si>
  <si>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</si>
  <si>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</si>
  <si>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</si>
  <si>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</si>
  <si>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</si>
  <si>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</si>
  <si>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</si>
  <si>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</si>
  <si>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</si>
  <si>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</si>
  <si>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</si>
  <si>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</si>
  <si>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</si>
  <si>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</si>
  <si>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</si>
  <si>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</si>
  <si>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</si>
  <si>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</si>
  <si>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</si>
  <si>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</si>
  <si>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</si>
  <si>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</si>
  <si>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</si>
  <si>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</si>
  <si>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</si>
  <si>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</si>
  <si>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</si>
  <si>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</si>
  <si>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</si>
  <si>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</si>
  <si>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</si>
  <si>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</si>
  <si>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</si>
  <si>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</si>
  <si>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</si>
  <si>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</si>
  <si>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</si>
  <si>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</si>
  <si>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</si>
  <si>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</si>
  <si>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</si>
  <si>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</si>
  <si>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</si>
  <si>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</si>
  <si>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</si>
  <si>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</si>
  <si>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</si>
  <si>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</si>
  <si>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</si>
  <si>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</si>
  <si>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</si>
  <si>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</si>
  <si>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</si>
  <si>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</si>
  <si>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</si>
  <si>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</si>
  <si>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</si>
  <si>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</si>
  <si>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</si>
  <si>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</si>
  <si>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</si>
  <si>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</si>
  <si>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</si>
  <si>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</si>
  <si>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</si>
  <si>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</si>
  <si>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</si>
  <si>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</si>
  <si>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</si>
  <si>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</si>
  <si>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</si>
  <si>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</si>
  <si>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</si>
  <si>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</si>
  <si>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</si>
  <si>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</si>
  <si>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</si>
  <si>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</si>
  <si>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</si>
  <si>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</si>
  <si>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</si>
  <si>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</si>
  <si>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</si>
  <si>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</si>
  <si>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</si>
  <si>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</si>
  <si>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</si>
  <si>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</si>
  <si>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</si>
  <si>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</si>
  <si>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</si>
  <si>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</si>
  <si>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</si>
  <si>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</si>
  <si>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</si>
  <si>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</si>
  <si>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</si>
  <si>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</si>
  <si>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</si>
  <si>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</si>
  <si>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</si>
  <si>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</si>
  <si>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</si>
  <si>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</si>
  <si>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</si>
  <si>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</si>
  <si>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</si>
  <si>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</si>
  <si>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</si>
  <si>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</si>
  <si>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</si>
  <si>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</si>
  <si>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</si>
  <si>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</si>
  <si>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</si>
  <si>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</si>
  <si>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</si>
  <si>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</si>
  <si>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</si>
  <si>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</si>
  <si>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</si>
  <si>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</si>
  <si>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</si>
  <si>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</si>
  <si>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</si>
  <si>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</si>
  <si>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</si>
  <si>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</si>
  <si>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</si>
  <si>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</si>
  <si>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</si>
  <si>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</si>
  <si>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</si>
  <si>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</si>
  <si>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</si>
  <si>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</si>
  <si>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</si>
  <si>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</si>
  <si>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</si>
  <si>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</si>
  <si>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</si>
  <si>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</si>
  <si>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</si>
  <si>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</si>
  <si>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</si>
  <si>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</si>
  <si>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</si>
  <si>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</si>
  <si>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</si>
  <si>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</si>
  <si>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</si>
  <si>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</si>
  <si>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</si>
  <si>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</si>
  <si>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</si>
  <si>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</si>
  <si>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</si>
  <si>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</si>
  <si>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</si>
  <si>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</si>
  <si>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</si>
  <si>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</si>
  <si>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</si>
  <si>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</si>
  <si>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</si>
  <si>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</si>
  <si>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</si>
  <si>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</si>
  <si>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</si>
  <si>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</si>
  <si>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</si>
  <si>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</si>
  <si>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</si>
  <si>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</si>
  <si>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</si>
  <si>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</si>
  <si>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</si>
  <si>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</si>
  <si>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</si>
  <si>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</si>
  <si>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</si>
  <si>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</si>
  <si>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</si>
  <si>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</si>
  <si>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</si>
  <si>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</si>
  <si>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</si>
  <si>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</si>
  <si>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</si>
  <si>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</si>
  <si>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</si>
  <si>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</si>
  <si>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</si>
  <si>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</si>
  <si>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</si>
  <si>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</si>
  <si>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</si>
  <si>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</si>
  <si>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</si>
  <si>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</si>
  <si>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</si>
  <si>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</si>
  <si>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</si>
  <si>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</si>
  <si>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</si>
  <si>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</si>
  <si>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</si>
  <si>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</si>
  <si>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</si>
  <si>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</si>
  <si>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</si>
  <si>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</si>
  <si>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</si>
  <si>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</si>
  <si>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</si>
  <si>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</si>
  <si>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</si>
  <si>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</si>
  <si>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</si>
  <si>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</si>
  <si>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</si>
  <si>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</si>
  <si>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</si>
  <si>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</si>
  <si>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</si>
  <si>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</si>
  <si>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</si>
  <si>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</si>
  <si>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</si>
  <si>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</si>
  <si>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</si>
  <si>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</si>
  <si>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</si>
  <si>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</si>
  <si>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</si>
  <si>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</si>
  <si>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</si>
  <si>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</si>
  <si>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</si>
  <si>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</si>
  <si>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</si>
  <si>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</si>
  <si>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</si>
  <si>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</si>
  <si>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</si>
  <si>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</si>
  <si>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</si>
  <si>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</si>
  <si>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</si>
  <si>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</si>
  <si>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</si>
  <si>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</si>
  <si>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</si>
  <si>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</si>
  <si>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</si>
  <si>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</si>
  <si>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</si>
  <si>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</si>
  <si>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</si>
  <si>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</si>
  <si>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</si>
  <si>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</si>
  <si>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</si>
  <si>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</si>
  <si>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</si>
  <si>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</si>
  <si>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</si>
  <si>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</si>
  <si>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</si>
  <si>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</si>
  <si>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</si>
  <si>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</si>
  <si>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</si>
  <si>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</si>
  <si>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</si>
  <si>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</si>
  <si>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</si>
  <si>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</si>
  <si>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</si>
  <si>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</si>
  <si>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</si>
  <si>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</si>
  <si>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</si>
  <si>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</si>
  <si>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</si>
  <si>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</si>
  <si>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</si>
  <si>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</si>
  <si>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</si>
  <si>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</si>
  <si>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</si>
  <si>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</si>
  <si>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</si>
  <si>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</si>
  <si>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</si>
  <si>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</si>
  <si>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</si>
  <si>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</si>
  <si>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</si>
  <si>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</si>
  <si>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</si>
  <si>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</si>
  <si>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</si>
  <si>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</si>
  <si>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</si>
  <si>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</si>
  <si>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</si>
  <si>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</si>
  <si>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</si>
  <si>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</si>
  <si>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</si>
  <si>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</si>
  <si>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</si>
  <si>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</si>
  <si>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</si>
  <si>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</si>
  <si>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</si>
  <si>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</si>
  <si>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</si>
  <si>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</si>
  <si>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</si>
  <si>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</si>
  <si>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</si>
  <si>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</si>
  <si>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</si>
  <si>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</si>
  <si>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</si>
  <si>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</si>
  <si>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</si>
  <si>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</si>
  <si>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</si>
  <si>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</si>
  <si>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</si>
  <si>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</si>
  <si>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</si>
  <si>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</si>
  <si>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</si>
  <si>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</si>
  <si>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</si>
  <si>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</si>
  <si>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</si>
  <si>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</si>
  <si>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</si>
  <si>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</si>
  <si>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</si>
  <si>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</si>
  <si>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</si>
  <si>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</si>
  <si>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</si>
  <si>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</si>
  <si>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</si>
  <si>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</si>
  <si>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</si>
  <si>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</si>
  <si>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</si>
  <si>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</si>
  <si>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</si>
  <si>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</si>
  <si>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</si>
  <si>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</si>
  <si>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</si>
  <si>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</si>
  <si>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</si>
  <si>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</si>
  <si>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</si>
  <si>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</si>
  <si>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</si>
  <si>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</si>
  <si>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</si>
  <si>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</si>
  <si>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</si>
  <si>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</si>
  <si>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</si>
  <si>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</si>
  <si>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</si>
  <si>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</si>
  <si>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</si>
  <si>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</si>
  <si>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</si>
  <si>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</si>
  <si>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</si>
  <si>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</si>
  <si>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</si>
  <si>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</si>
  <si>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</si>
  <si>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</si>
  <si>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</si>
  <si>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</si>
  <si>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</si>
  <si>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</si>
  <si>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</si>
  <si>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</si>
  <si>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</si>
  <si>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</si>
  <si>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</si>
  <si>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</si>
  <si>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</si>
  <si>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</si>
  <si>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</si>
  <si>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</si>
  <si>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</si>
  <si>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</si>
  <si>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</si>
  <si>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</si>
  <si>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</si>
  <si>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</si>
  <si>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</si>
  <si>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</si>
  <si>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</si>
  <si>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</si>
  <si>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</si>
  <si>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</si>
  <si>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</si>
  <si>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</si>
  <si>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</si>
  <si>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</si>
  <si>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</si>
  <si>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</si>
  <si>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</si>
  <si>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</si>
  <si>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</si>
  <si>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</si>
  <si>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</si>
  <si>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</si>
  <si>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</si>
  <si>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</si>
  <si>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</si>
  <si>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</si>
  <si>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</si>
  <si>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</si>
  <si>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</si>
  <si>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</si>
  <si>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</si>
  <si>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</si>
  <si>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</si>
  <si>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</si>
  <si>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</si>
  <si>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</si>
  <si>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</si>
  <si>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</si>
  <si>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</si>
  <si>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</si>
  <si>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</si>
  <si>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</si>
  <si>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</si>
  <si>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</si>
  <si>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</si>
  <si>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</si>
  <si>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</si>
  <si>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</si>
  <si>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</si>
  <si>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</si>
  <si>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</si>
  <si>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</si>
  <si>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</si>
  <si>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</si>
  <si>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</si>
  <si>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</si>
  <si>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</si>
  <si>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</si>
  <si>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</si>
  <si>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</si>
  <si>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</si>
  <si>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</si>
  <si>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</si>
  <si>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</si>
  <si>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</si>
  <si>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</si>
  <si>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</si>
  <si>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</si>
  <si>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</si>
  <si>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</si>
  <si>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</si>
  <si>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</si>
  <si>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</si>
  <si>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</si>
  <si>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</si>
  <si>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</si>
  <si>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</si>
  <si>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</si>
  <si>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</si>
  <si>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</si>
  <si>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</si>
  <si>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</si>
  <si>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</si>
  <si>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</si>
  <si>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</si>
  <si>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</si>
  <si>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</si>
  <si>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</si>
  <si>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</si>
  <si>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</si>
  <si>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</si>
  <si>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</si>
  <si>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</si>
  <si>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</si>
  <si>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</si>
  <si>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</si>
  <si>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</si>
  <si>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</si>
  <si>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</si>
  <si>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</si>
  <si>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</si>
  <si>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</si>
  <si>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</si>
  <si>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</si>
  <si>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</si>
  <si>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</si>
  <si>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</si>
  <si>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</si>
  <si>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</si>
  <si>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</si>
  <si>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</si>
  <si>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</si>
  <si>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</si>
  <si>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</si>
  <si>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</si>
  <si>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</si>
  <si>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</si>
  <si>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</si>
  <si>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</si>
  <si>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</si>
  <si>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</si>
  <si>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</si>
  <si>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</si>
  <si>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</si>
  <si>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</si>
  <si>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</si>
  <si>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</si>
  <si>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</si>
  <si>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</si>
  <si>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</si>
  <si>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</si>
  <si>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</si>
  <si>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</si>
  <si>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</si>
  <si>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</si>
  <si>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</si>
  <si>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</si>
  <si>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</si>
  <si>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</si>
  <si>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</si>
  <si>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</si>
  <si>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</si>
  <si>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</si>
  <si>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</si>
  <si>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</si>
  <si>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</si>
  <si>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</si>
  <si>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</si>
  <si>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</si>
  <si>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</si>
  <si>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</si>
  <si>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</si>
  <si>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</si>
  <si>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</si>
  <si>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</si>
  <si>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</si>
  <si>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</si>
  <si>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</si>
  <si>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</si>
  <si>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</si>
  <si>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</si>
  <si>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</si>
  <si>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</si>
  <si>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</si>
  <si>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</si>
  <si>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</si>
  <si>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</si>
  <si>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</si>
  <si>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</si>
  <si>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</si>
  <si>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</si>
  <si>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</si>
  <si>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</si>
  <si>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</si>
  <si>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</si>
  <si>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</si>
  <si>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</si>
  <si>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</si>
  <si>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</si>
  <si>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</si>
  <si>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</si>
  <si>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</si>
  <si>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</si>
  <si>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</si>
  <si>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</si>
  <si>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</si>
  <si>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</si>
  <si>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</si>
  <si>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</si>
  <si>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</si>
  <si>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</si>
  <si>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</si>
  <si>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</si>
  <si>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</si>
  <si>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</si>
  <si>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</si>
  <si>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</si>
  <si>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</si>
  <si>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</si>
  <si>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</si>
  <si>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</si>
  <si>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</si>
  <si>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</si>
  <si>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</si>
  <si>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</si>
  <si>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</si>
  <si>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</si>
  <si>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</si>
  <si>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</si>
  <si>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</si>
  <si>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</si>
  <si>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</si>
  <si>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</si>
  <si>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</si>
  <si>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</si>
  <si>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</si>
  <si>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</si>
  <si>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</si>
  <si>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</si>
  <si>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</si>
  <si>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</si>
  <si>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</si>
  <si>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</si>
  <si>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</si>
  <si>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</si>
  <si>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</si>
  <si>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</si>
  <si>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</si>
  <si>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</si>
  <si>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</si>
  <si>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</si>
  <si>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</si>
  <si>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</si>
  <si>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</si>
  <si>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</si>
  <si>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</si>
  <si>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</si>
  <si>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</si>
  <si>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</si>
  <si>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</si>
  <si>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</si>
  <si>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</si>
  <si>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</si>
  <si>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</si>
  <si>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</si>
  <si>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</si>
  <si>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</si>
  <si>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</si>
  <si>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</si>
  <si>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</si>
  <si>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</si>
  <si>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</si>
  <si>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</si>
  <si>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</si>
  <si>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</si>
  <si>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</si>
  <si>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</si>
  <si>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</si>
  <si>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</si>
  <si>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</si>
  <si>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</si>
  <si>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</si>
  <si>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</si>
  <si>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</si>
  <si>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</si>
  <si>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</si>
  <si>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</si>
  <si>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</si>
  <si>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</si>
  <si>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</si>
  <si>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</si>
  <si>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</si>
  <si>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</si>
  <si>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</si>
  <si>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</si>
  <si>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</si>
  <si>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</si>
  <si>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</si>
  <si>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</si>
  <si>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</si>
  <si>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</si>
  <si>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</si>
  <si>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</si>
  <si>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</si>
  <si>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</si>
  <si>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</si>
  <si>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</si>
  <si>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</si>
  <si>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</si>
  <si>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</si>
  <si>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</si>
  <si>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</si>
  <si>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</si>
  <si>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</si>
  <si>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</si>
  <si>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</si>
  <si>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</si>
  <si>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</si>
  <si>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</si>
  <si>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</si>
  <si>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</si>
  <si>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</si>
  <si>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</si>
  <si>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</si>
  <si>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</si>
  <si>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</si>
  <si>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</si>
  <si>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</si>
  <si>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</si>
  <si>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</si>
  <si>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</si>
  <si>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</si>
  <si>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</si>
  <si>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</si>
  <si>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</si>
  <si>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</si>
  <si>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</si>
  <si>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</si>
  <si>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</si>
  <si>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</si>
  <si>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</si>
  <si>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</si>
  <si>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</si>
  <si>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</si>
  <si>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</si>
  <si>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</si>
  <si>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</si>
  <si>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</si>
  <si>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</si>
  <si>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</si>
  <si>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</si>
  <si>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</si>
  <si>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</si>
  <si>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</si>
  <si>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</si>
  <si>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</si>
  <si>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</si>
  <si>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</si>
  <si>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</si>
  <si>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</si>
  <si>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</si>
  <si>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</si>
  <si>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</si>
  <si>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</si>
  <si>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</si>
  <si>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</si>
  <si>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</si>
  <si>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</si>
  <si>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</si>
  <si>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</si>
  <si>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</si>
  <si>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</si>
  <si>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</si>
  <si>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</si>
  <si>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</si>
  <si>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</si>
  <si>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</si>
  <si>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</si>
  <si>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</si>
  <si>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</si>
  <si>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</si>
  <si>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</si>
  <si>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</si>
  <si>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</si>
  <si>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</si>
  <si>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</si>
  <si>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</si>
  <si>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</si>
  <si>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</si>
  <si>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</si>
  <si>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</si>
  <si>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</si>
  <si>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</si>
  <si>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</si>
  <si>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</si>
  <si>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</si>
  <si>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</si>
  <si>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</si>
  <si>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</si>
  <si>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</si>
  <si>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</si>
  <si>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</si>
  <si>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</si>
  <si>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</si>
  <si>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</si>
  <si>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</si>
  <si>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</si>
  <si>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</si>
  <si>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</si>
  <si>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</si>
  <si>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</si>
  <si>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</si>
  <si>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</si>
  <si>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</si>
  <si>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</si>
  <si>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</si>
  <si>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</si>
  <si>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</si>
  <si>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</si>
  <si>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</si>
  <si>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</si>
  <si>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</si>
  <si>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</si>
  <si>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</si>
  <si>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</si>
  <si>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</si>
  <si>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</si>
  <si>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</si>
  <si>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</si>
  <si>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</si>
  <si>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</si>
  <si>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</si>
  <si>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</si>
  <si>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</si>
  <si>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</si>
  <si>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</si>
  <si>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</si>
  <si>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</si>
  <si>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</si>
  <si>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</si>
  <si>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</si>
  <si>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</si>
  <si>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</si>
  <si>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</si>
  <si>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</si>
  <si>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</si>
  <si>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</si>
  <si>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</si>
  <si>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</si>
  <si>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</si>
  <si>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</si>
  <si>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</si>
  <si>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</si>
  <si>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</si>
  <si>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</si>
  <si>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</si>
  <si>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</si>
  <si>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</si>
  <si>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</si>
  <si>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</si>
  <si>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</si>
  <si>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</si>
  <si>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</si>
  <si>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</si>
  <si>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</si>
  <si>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</si>
  <si>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</si>
  <si>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</si>
  <si>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</si>
  <si>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</si>
  <si>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</si>
  <si>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</si>
  <si>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</si>
  <si>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</si>
  <si>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</si>
  <si>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</si>
  <si>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</si>
  <si>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</si>
  <si>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</si>
  <si>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</si>
  <si>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</si>
  <si>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</si>
  <si>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</si>
  <si>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</si>
  <si>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</si>
  <si>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</si>
  <si>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</si>
  <si>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</si>
  <si>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</si>
  <si>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</si>
  <si>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</si>
  <si>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</si>
  <si>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</si>
  <si>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</si>
  <si>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</si>
  <si>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</si>
  <si>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</si>
  <si>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</si>
  <si>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</si>
  <si>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</si>
  <si>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</si>
  <si>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</si>
  <si>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</si>
  <si>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</si>
  <si>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</si>
  <si>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</si>
  <si>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</si>
  <si>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</si>
  <si>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</si>
  <si>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</si>
  <si>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</si>
  <si>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</si>
  <si>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</si>
  <si>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</si>
  <si>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</si>
  <si>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</si>
  <si>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</si>
  <si>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</si>
  <si>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</si>
  <si>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</si>
  <si>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</si>
  <si>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</si>
  <si>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</si>
  <si>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</si>
  <si>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</si>
  <si>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</si>
  <si>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</si>
  <si>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</si>
  <si>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</si>
  <si>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</si>
  <si>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</si>
  <si>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</si>
  <si>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</si>
  <si>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</si>
  <si>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</si>
  <si>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</si>
  <si>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</si>
  <si>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</si>
  <si>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</si>
  <si>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</si>
  <si>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</si>
  <si>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</si>
  <si>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</si>
  <si>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</si>
  <si>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</si>
  <si>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</si>
  <si>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</si>
  <si>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</si>
  <si>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</si>
  <si>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</si>
  <si>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</si>
  <si>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</si>
  <si>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</si>
  <si>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</si>
  <si>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</si>
  <si>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</si>
  <si>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</si>
  <si>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</si>
  <si>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</si>
  <si>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</si>
  <si>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</si>
  <si>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</si>
  <si>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</si>
  <si>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</si>
  <si>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</si>
  <si>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</si>
  <si>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</si>
  <si>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</si>
  <si>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</si>
  <si>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</si>
  <si>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</si>
  <si>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</si>
  <si>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</si>
  <si>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</si>
  <si>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</si>
  <si>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</si>
  <si>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</si>
  <si>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</si>
  <si>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</si>
  <si>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</si>
  <si>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</si>
  <si>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</si>
  <si>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</si>
  <si>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</si>
  <si>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</si>
  <si>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</si>
  <si>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</si>
  <si>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</si>
  <si>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</si>
  <si>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</si>
  <si>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</si>
  <si>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</si>
  <si>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</si>
  <si>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</si>
  <si>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</si>
  <si>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</si>
  <si>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</si>
  <si>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</si>
  <si>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</si>
  <si>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</si>
  <si>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</si>
  <si>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</si>
  <si>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</si>
  <si>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</si>
  <si>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</si>
  <si>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</si>
  <si>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</si>
  <si>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</si>
  <si>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</si>
  <si>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</si>
  <si>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</si>
  <si>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</si>
  <si>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</si>
  <si>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</si>
  <si>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</si>
  <si>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</si>
  <si>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</si>
  <si>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</si>
  <si>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</si>
  <si>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</si>
  <si>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</si>
  <si>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</si>
  <si>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</si>
  <si>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</si>
  <si>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</si>
  <si>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</si>
  <si>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</si>
  <si>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</si>
  <si>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</si>
  <si>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</si>
  <si>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</si>
  <si>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</si>
  <si>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</si>
  <si>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</si>
  <si>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</si>
  <si>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</si>
  <si>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</si>
  <si>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</si>
  <si>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</si>
  <si>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</si>
  <si>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</si>
  <si>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</si>
  <si>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</si>
  <si>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</si>
  <si>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</si>
  <si>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</si>
  <si>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</si>
  <si>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</si>
  <si>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</si>
  <si>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</si>
  <si>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</si>
  <si>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</si>
  <si>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</si>
  <si>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</si>
  <si>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</si>
  <si>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</si>
  <si>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</si>
  <si>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</si>
  <si>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</si>
  <si>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</si>
  <si>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</si>
  <si>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</si>
  <si>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</si>
  <si>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</si>
  <si>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</si>
  <si>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</si>
  <si>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</si>
  <si>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</si>
  <si>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</si>
  <si>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</si>
  <si>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</si>
  <si>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</si>
  <si>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</si>
  <si>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</si>
  <si>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</si>
  <si>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</si>
  <si>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</si>
  <si>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</si>
  <si>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</si>
  <si>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</si>
  <si>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</si>
  <si>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</si>
  <si>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</si>
  <si>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</si>
  <si>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</si>
  <si>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</si>
  <si>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</si>
  <si>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</si>
  <si>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</si>
  <si>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</si>
  <si>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</si>
  <si>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</si>
  <si>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</si>
  <si>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</si>
  <si>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</si>
  <si>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</si>
  <si>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</si>
  <si>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</si>
  <si>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</si>
  <si>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</si>
  <si>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</si>
  <si>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</si>
  <si>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</si>
  <si>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</si>
  <si>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</si>
  <si>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</si>
  <si>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</si>
  <si>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</si>
  <si>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</si>
  <si>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</si>
  <si>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</si>
  <si>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</si>
  <si>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</si>
  <si>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</si>
  <si>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</si>
  <si>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</si>
  <si>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</si>
  <si>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</si>
  <si>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</si>
  <si>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</si>
  <si>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</si>
  <si>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</si>
  <si>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</si>
  <si>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</si>
  <si>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</si>
  <si>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</si>
  <si>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</si>
  <si>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</si>
  <si>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</si>
  <si>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</si>
  <si>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</si>
  <si>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</si>
  <si>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</si>
  <si>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</si>
  <si>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</si>
  <si>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</si>
  <si>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</si>
  <si>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</si>
  <si>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</si>
  <si>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</si>
  <si>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</si>
  <si>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</si>
  <si>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</si>
  <si>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</si>
  <si>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</si>
  <si>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</si>
  <si>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</si>
  <si>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</si>
  <si>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</si>
  <si>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</si>
  <si>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</si>
  <si>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</si>
  <si>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</si>
  <si>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</si>
  <si>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</si>
  <si>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</si>
  <si>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</si>
  <si>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</si>
  <si>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</si>
  <si>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</si>
  <si>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</si>
  <si>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</si>
  <si>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</si>
  <si>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</si>
  <si>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</si>
  <si>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</si>
  <si>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</si>
  <si>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</si>
  <si>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</si>
  <si>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</si>
  <si>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</si>
  <si>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</si>
  <si>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</si>
  <si>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</si>
  <si>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</si>
  <si>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</si>
  <si>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</si>
  <si>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</si>
  <si>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</si>
  <si>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</si>
  <si>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</si>
  <si>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</si>
  <si>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</si>
  <si>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</si>
  <si>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</si>
  <si>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</si>
  <si>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</si>
  <si>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</si>
  <si>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</si>
  <si>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</si>
  <si>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</si>
  <si>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</si>
  <si>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</si>
  <si>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</si>
  <si>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</si>
  <si>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</si>
  <si>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</si>
  <si>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</si>
  <si>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</si>
  <si>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</si>
  <si>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</si>
  <si>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</si>
  <si>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</si>
  <si>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</si>
  <si>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</si>
  <si>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</si>
  <si>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</si>
  <si>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</si>
  <si>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</si>
  <si>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</si>
  <si>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</si>
  <si>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</si>
  <si>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</si>
  <si>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</si>
  <si>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</si>
  <si>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</si>
  <si>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</si>
  <si>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</si>
  <si>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</si>
  <si>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</si>
  <si>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</si>
  <si>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</si>
  <si>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</si>
  <si>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</si>
  <si>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</si>
  <si>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</si>
  <si>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</si>
  <si>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</si>
  <si>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</si>
  <si>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</si>
  <si>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</si>
  <si>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</si>
  <si>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</si>
  <si>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</si>
  <si>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</si>
  <si>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</si>
  <si>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</si>
  <si>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</si>
  <si>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</si>
  <si>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</si>
  <si>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</si>
  <si>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</si>
  <si>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</si>
  <si>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</si>
  <si>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</si>
  <si>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</si>
  <si>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</si>
  <si>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</si>
  <si>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</si>
  <si>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</si>
  <si>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</si>
  <si>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</si>
  <si>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</si>
  <si>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</si>
  <si>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</si>
  <si>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</si>
  <si>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</si>
  <si>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</si>
  <si>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</si>
  <si>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</si>
  <si>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</si>
  <si>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</si>
  <si>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</si>
  <si>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</si>
  <si>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</si>
  <si>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</si>
  <si>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</si>
  <si>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</si>
  <si>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</si>
  <si>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</si>
  <si>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</si>
  <si>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</si>
  <si>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</si>
  <si>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</si>
  <si>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</si>
  <si>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</si>
  <si>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</si>
  <si>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</si>
  <si>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</si>
  <si>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</si>
  <si>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</si>
  <si>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</si>
  <si>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</si>
  <si>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</si>
  <si>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</si>
  <si>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</si>
  <si>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</si>
  <si>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</si>
  <si>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</si>
  <si>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</si>
  <si>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</si>
  <si>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</si>
  <si>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</si>
  <si>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</si>
  <si>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</si>
  <si>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</si>
  <si>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</si>
  <si>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</si>
  <si>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</si>
  <si>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</si>
  <si>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</si>
  <si>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</si>
  <si>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</si>
  <si>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</si>
  <si>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</si>
  <si>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</si>
  <si>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</si>
  <si>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</si>
  <si>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</si>
  <si>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</si>
  <si>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</si>
  <si>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</si>
  <si>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</si>
  <si>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</si>
  <si>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</si>
  <si>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</si>
  <si>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</si>
  <si>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</si>
  <si>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</si>
  <si>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</si>
  <si>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</si>
  <si>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</si>
  <si>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</si>
  <si>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</si>
  <si>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</si>
  <si>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</si>
  <si>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</si>
  <si>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</si>
  <si>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</si>
  <si>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</si>
  <si>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</si>
  <si>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</si>
  <si>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</si>
  <si>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</si>
  <si>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</si>
  <si>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</si>
  <si>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</si>
  <si>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</si>
  <si>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</si>
  <si>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</si>
  <si>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</si>
  <si>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</si>
  <si>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</si>
  <si>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</si>
  <si>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</si>
  <si>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</si>
  <si>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</si>
  <si>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</si>
  <si>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</si>
  <si>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</si>
  <si>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</si>
  <si>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</si>
  <si>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</si>
  <si>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</si>
  <si>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</si>
  <si>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</si>
  <si>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</si>
  <si>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</si>
  <si>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</si>
  <si>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</si>
  <si>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</si>
  <si>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</si>
  <si>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</si>
  <si>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</si>
  <si>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</si>
  <si>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</si>
  <si>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</si>
  <si>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</si>
  <si>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</si>
  <si>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</si>
  <si>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</si>
  <si>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</si>
  <si>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</si>
  <si>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</si>
  <si>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</si>
  <si>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</si>
  <si>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</si>
  <si>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</si>
  <si>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</si>
  <si>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</si>
  <si>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</si>
  <si>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</si>
  <si>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</si>
  <si>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</si>
  <si>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</si>
  <si>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</si>
  <si>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</si>
  <si>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</si>
  <si>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</si>
  <si>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</si>
  <si>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</si>
  <si>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</si>
  <si>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</si>
  <si>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</si>
  <si>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</si>
  <si>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</si>
  <si>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</si>
  <si>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</si>
  <si>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</si>
  <si>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</si>
  <si>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</si>
  <si>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</si>
  <si>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</si>
  <si>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</si>
  <si>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</si>
  <si>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</si>
  <si>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</si>
  <si>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</si>
  <si>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</si>
  <si>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</si>
  <si>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</si>
  <si>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</si>
  <si>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</si>
  <si>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</si>
  <si>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</si>
  <si>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</si>
  <si>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</si>
  <si>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</si>
  <si>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</si>
  <si>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</si>
  <si>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</si>
  <si>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</si>
  <si>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</si>
  <si>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</si>
  <si>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</si>
  <si>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</si>
  <si>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</si>
  <si>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</si>
  <si>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</si>
  <si>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</si>
  <si>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</si>
  <si>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</si>
  <si>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</si>
  <si>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</si>
  <si>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</si>
  <si>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</si>
  <si>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</si>
  <si>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</si>
  <si>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</si>
  <si>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</si>
  <si>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</si>
  <si>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</si>
  <si>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</si>
  <si>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</si>
  <si>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</si>
  <si>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</si>
  <si>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</si>
  <si>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</si>
  <si>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</si>
  <si>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</si>
  <si>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</si>
  <si>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</si>
  <si>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</si>
  <si>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</si>
  <si>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</si>
  <si>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</si>
  <si>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</si>
  <si>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</si>
  <si>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</si>
  <si>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</si>
  <si>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</si>
  <si>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</si>
  <si>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</si>
  <si>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</si>
  <si>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</si>
  <si>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</si>
  <si>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</si>
  <si>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</si>
  <si>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</si>
  <si>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</si>
  <si>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</si>
  <si>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</si>
  <si>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</si>
  <si>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</si>
  <si>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</si>
  <si>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</si>
  <si>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</si>
  <si>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</si>
  <si>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</si>
  <si>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</si>
  <si>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</si>
  <si>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</si>
  <si>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</si>
  <si>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</si>
  <si>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</si>
  <si>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</si>
  <si>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</si>
  <si>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</si>
  <si>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</si>
  <si>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</si>
  <si>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</si>
  <si>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</si>
  <si>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</si>
  <si>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</si>
  <si>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</si>
  <si>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</si>
  <si>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</si>
  <si>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</si>
  <si>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</si>
  <si>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</si>
  <si>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</si>
  <si>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</si>
  <si>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</si>
  <si>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</si>
  <si>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</si>
  <si>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</si>
  <si>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</si>
  <si>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</si>
  <si>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</si>
  <si>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</si>
  <si>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</si>
  <si>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</si>
  <si>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</si>
  <si>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</si>
  <si>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</si>
  <si>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</si>
  <si>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</si>
  <si>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</si>
  <si>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</si>
  <si>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</si>
  <si>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</si>
  <si>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</si>
  <si>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</si>
  <si>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</si>
  <si>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</si>
  <si>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</si>
  <si>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</si>
  <si>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</si>
  <si>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</si>
  <si>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</si>
  <si>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</si>
  <si>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</si>
  <si>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</si>
  <si>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</si>
  <si>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</si>
  <si>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</si>
  <si>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</si>
  <si>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</si>
  <si>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</si>
  <si>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</si>
  <si>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</si>
  <si>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</si>
  <si>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</si>
  <si>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</si>
  <si>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</si>
  <si>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</si>
  <si>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</si>
  <si>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</si>
  <si>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</si>
  <si>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</si>
  <si>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</si>
  <si>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</si>
  <si>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</si>
  <si>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</si>
  <si>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</si>
  <si>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</si>
  <si>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</si>
  <si>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</si>
  <si>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</si>
  <si>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</si>
  <si>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</si>
  <si>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</si>
  <si>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</si>
  <si>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</si>
  <si>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</si>
  <si>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</si>
  <si>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</si>
  <si>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</si>
  <si>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</si>
  <si>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</si>
  <si>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</si>
  <si>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</si>
  <si>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</si>
  <si>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</si>
  <si>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</si>
  <si>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</si>
  <si>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</si>
  <si>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</si>
  <si>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</si>
  <si>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</si>
  <si>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</si>
  <si>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</si>
  <si>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</si>
  <si>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</si>
  <si>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</si>
  <si>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</si>
  <si>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</si>
  <si>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</si>
  <si>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</si>
  <si>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</si>
  <si>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</si>
  <si>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</si>
  <si>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</si>
  <si>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</si>
  <si>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</si>
  <si>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</si>
  <si>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</si>
  <si>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</si>
  <si>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</si>
  <si>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</si>
  <si>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</si>
  <si>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</si>
  <si>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</si>
  <si>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</si>
  <si>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</si>
  <si>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</si>
  <si>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</si>
  <si>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</si>
  <si>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</si>
  <si>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</si>
  <si>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</si>
  <si>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</si>
  <si>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</si>
  <si>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</si>
  <si>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</si>
  <si>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</si>
  <si>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</si>
  <si>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</si>
  <si>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</si>
  <si>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</si>
  <si>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</si>
  <si>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</si>
  <si>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</si>
  <si>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</si>
  <si>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</si>
  <si>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</si>
  <si>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</si>
  <si>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</si>
  <si>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</si>
  <si>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</si>
  <si>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</si>
  <si>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</si>
  <si>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</si>
  <si>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</si>
  <si>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</si>
  <si>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</si>
  <si>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</si>
  <si>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</si>
  <si>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</si>
  <si>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</si>
  <si>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</si>
  <si>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</si>
  <si>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</si>
  <si>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</si>
  <si>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</si>
  <si>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</si>
  <si>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</si>
  <si>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</si>
  <si>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</si>
  <si>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</si>
  <si>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</si>
  <si>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</si>
  <si>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</si>
  <si>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</si>
  <si>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</si>
  <si>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</si>
  <si>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</si>
  <si>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</si>
  <si>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</si>
  <si>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</si>
  <si>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</si>
  <si>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</si>
  <si>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</si>
  <si>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</si>
  <si>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</si>
  <si>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</si>
  <si>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</si>
  <si>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</si>
  <si>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</si>
  <si>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</si>
  <si>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</si>
  <si>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</si>
  <si>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</si>
  <si>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</si>
  <si>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</si>
  <si>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</si>
  <si>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</si>
  <si>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</si>
  <si>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</si>
  <si>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</si>
  <si>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</si>
  <si>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</si>
  <si>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</si>
  <si>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</si>
  <si>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</si>
  <si>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</si>
  <si>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</si>
  <si>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</si>
  <si>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</si>
  <si>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</si>
  <si>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</si>
  <si>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</si>
  <si>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</si>
  <si>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</si>
  <si>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</si>
  <si>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</si>
  <si>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</si>
  <si>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</si>
  <si>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</si>
  <si>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</si>
  <si>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</si>
  <si>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</si>
  <si>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</si>
  <si>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</si>
  <si>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</si>
  <si>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</si>
  <si>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</si>
  <si>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</si>
  <si>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</si>
  <si>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</si>
  <si>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</si>
  <si>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</si>
  <si>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</si>
  <si>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</si>
  <si>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</si>
  <si>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</si>
  <si>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</si>
  <si>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</si>
  <si>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</si>
  <si>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</si>
  <si>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</si>
  <si>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</si>
  <si>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</si>
  <si>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</si>
  <si>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</si>
  <si>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</si>
  <si>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</si>
  <si>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</si>
  <si>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</si>
  <si>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</si>
  <si>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</si>
  <si>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</si>
  <si>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</si>
  <si>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</si>
  <si>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</si>
  <si>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</si>
  <si>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</si>
  <si>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</si>
  <si>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</si>
  <si>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</si>
  <si>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</si>
  <si>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</si>
  <si>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</si>
  <si>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</si>
  <si>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</si>
  <si>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</si>
  <si>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</si>
  <si>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</si>
  <si>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</si>
  <si>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</si>
  <si>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</si>
  <si>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</si>
  <si>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</si>
  <si>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</si>
  <si>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</si>
  <si>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</si>
  <si>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</si>
  <si>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</si>
  <si>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</si>
  <si>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</si>
  <si>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</si>
  <si>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</si>
  <si>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</si>
  <si>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</si>
  <si>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</si>
  <si>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</si>
  <si>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</si>
  <si>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</si>
  <si>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</si>
  <si>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</si>
  <si>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</si>
  <si>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</si>
  <si>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</si>
  <si>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</si>
  <si>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</si>
  <si>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</si>
  <si>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</si>
  <si>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</si>
  <si>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</si>
  <si>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</si>
  <si>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</si>
  <si>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</si>
  <si>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</si>
  <si>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</si>
  <si>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</si>
  <si>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</si>
  <si>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</si>
  <si>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</si>
  <si>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</si>
  <si>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</si>
  <si>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</si>
  <si>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</si>
  <si>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</si>
  <si>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</si>
  <si>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</si>
  <si>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</si>
  <si>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</si>
  <si>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</si>
  <si>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</si>
  <si>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</si>
  <si>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</si>
  <si>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</si>
  <si>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</si>
  <si>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</si>
  <si>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</si>
  <si>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</si>
  <si>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</si>
  <si>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</si>
  <si>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</si>
  <si>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</si>
  <si>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</si>
  <si>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</si>
  <si>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</si>
  <si>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</si>
  <si>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</si>
  <si>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</si>
  <si>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</si>
  <si>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</si>
  <si>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</si>
  <si>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</si>
  <si>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</si>
  <si>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</si>
  <si>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</si>
  <si>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</si>
  <si>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</si>
  <si>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</si>
  <si>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</si>
  <si>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</si>
  <si>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</si>
  <si>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</si>
  <si>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</si>
  <si>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</si>
  <si>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</si>
  <si>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</si>
  <si>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</si>
  <si>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</si>
  <si>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</si>
  <si>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</si>
  <si>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</si>
  <si>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</si>
  <si>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</si>
  <si>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</si>
  <si>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</si>
  <si>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</si>
  <si>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</si>
  <si>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</si>
  <si>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</si>
  <si>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</si>
  <si>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</si>
  <si>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</si>
  <si>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</si>
  <si>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</si>
  <si>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</si>
  <si>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</si>
  <si>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</si>
  <si>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</si>
  <si>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</si>
  <si>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</si>
  <si>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</si>
  <si>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</si>
  <si>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</si>
  <si>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</si>
  <si>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</si>
  <si>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</si>
  <si>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</si>
  <si>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</si>
  <si>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</si>
  <si>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</si>
  <si>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</si>
  <si>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</si>
  <si>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</si>
  <si>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</si>
  <si>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</si>
  <si>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</si>
  <si>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</si>
  <si>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</si>
  <si>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</si>
  <si>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</si>
  <si>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</si>
  <si>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</si>
  <si>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</si>
  <si>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</si>
  <si>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</si>
  <si>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</si>
  <si>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</si>
  <si>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</si>
  <si>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</si>
  <si>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</si>
  <si>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</si>
  <si>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</si>
  <si>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</si>
  <si>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</si>
  <si>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</si>
  <si>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</si>
  <si>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</si>
  <si>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</si>
  <si>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</si>
  <si>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</si>
  <si>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</si>
  <si>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</si>
  <si>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</si>
  <si>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</si>
  <si>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</si>
  <si>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</si>
  <si>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</si>
  <si>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</si>
  <si>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</si>
  <si>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</si>
  <si>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</si>
  <si>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</si>
  <si>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</si>
  <si>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</si>
  <si>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</si>
  <si>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</si>
  <si>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</si>
  <si>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</si>
  <si>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</si>
  <si>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</si>
  <si>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</si>
  <si>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</si>
  <si>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</si>
  <si>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</si>
  <si>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</si>
  <si>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</si>
  <si>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</si>
  <si>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</si>
  <si>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</si>
  <si>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</si>
  <si>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</si>
  <si>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</si>
  <si>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</si>
  <si>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</si>
  <si>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</si>
  <si>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</si>
  <si>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</si>
  <si>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</si>
  <si>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</si>
  <si>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</si>
  <si>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</si>
  <si>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</si>
  <si>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</si>
  <si>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</si>
  <si>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</si>
  <si>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</si>
  <si>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</si>
  <si>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</si>
  <si>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</si>
  <si>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</si>
  <si>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Clark</t>
  </si>
  <si>
    <t>502 E. Delaware</t>
  </si>
  <si>
    <t xml:space="preserve">Casey  </t>
  </si>
  <si>
    <t>dee.scott@caseywestfield.org</t>
  </si>
  <si>
    <t>Kemper CPA Group LLP</t>
  </si>
  <si>
    <t>Brian S. Bradbury</t>
  </si>
  <si>
    <t>P.O. Box 694</t>
  </si>
  <si>
    <t>Robinson</t>
  </si>
  <si>
    <t>IL</t>
  </si>
  <si>
    <t>618-546-1502</t>
  </si>
  <si>
    <t>066-003998</t>
  </si>
  <si>
    <t>bbradbury@kempercpa.com</t>
  </si>
  <si>
    <t>Dee Scott</t>
  </si>
  <si>
    <t>217-932-2184</t>
  </si>
  <si>
    <t>217-932-5553</t>
  </si>
  <si>
    <t>Part C, Number 23:  The Auditor's Report issued a qualified opinion because the financial statements do not include disclosures regarding postemployment health insurance benefits as required by GASB Statements 75 as required per the financial reporting provisions of the ISBE.</t>
  </si>
  <si>
    <t>General Obligation Bonds 2007</t>
  </si>
  <si>
    <t>General Obligation Bonds 2014</t>
  </si>
  <si>
    <t>General Obligation Bonds 2016</t>
  </si>
  <si>
    <t>ISBE Technological Loan FY19</t>
  </si>
  <si>
    <t>ISBE Technological Loan FY18</t>
  </si>
  <si>
    <t>ISBE Technological Loan FY17</t>
  </si>
  <si>
    <t>ISBE Technological Loan FY16</t>
  </si>
  <si>
    <t>Midwest Bus Lease VIN: 1GD373BG2F1110597</t>
  </si>
  <si>
    <t>Midwest Bus Lease VIN: 1GD373BG9F1110161</t>
  </si>
  <si>
    <t>Capital Lease Agreement</t>
  </si>
  <si>
    <t>Long Term Note</t>
  </si>
  <si>
    <t>Midwest Bus Lease 3 Activity Buses</t>
  </si>
  <si>
    <t>ROE: Cumberland Unit Dist. #77; EIEFES</t>
  </si>
  <si>
    <t>ROE Consortium</t>
  </si>
  <si>
    <t>Eastern Illinois Area Special Education</t>
  </si>
  <si>
    <t>Although internal controls are in place, there are some reporting functions that the District cannot perform that is a requirement by the ISBE.</t>
  </si>
  <si>
    <t>The District does not have an individual with the necessary knowledge and technical expertise to properly prepare the notes to the financial statements.</t>
  </si>
  <si>
    <t>In the absence of the necessary knowledge and technical expertise, the District must rely on the auditors to ensure the notes to the financial statements are properly presented.</t>
  </si>
  <si>
    <t>The District cannot prepare the notes to the financial statements.</t>
  </si>
  <si>
    <t>The District's personnel have not obtained the necessary knowledge or technical expertise.</t>
  </si>
  <si>
    <t>The District should provide the necessary training to personnel or contract with an independent contractor with the knowledge to prepare the notes to the financial statements.</t>
  </si>
  <si>
    <t>The District does not intend to correct the finding in the next fiscal year.</t>
  </si>
  <si>
    <t>2018-001</t>
  </si>
  <si>
    <t xml:space="preserve">The District does not have personnel capable of </t>
  </si>
  <si>
    <t>preparing the notes to the financial statements in</t>
  </si>
  <si>
    <t>accordance with ISBE requirements.</t>
  </si>
  <si>
    <t>Repeated as Financial Statement Finding 2019-001</t>
  </si>
  <si>
    <t>Page 12, Line 168, Column 10: Other Restricted Revenue from State Sources - State Library Grant - $750, Reimbursement of PSAT - $1,383</t>
  </si>
  <si>
    <t>Page 18, Line 171: Column 600: Debt Services - Other:  Other Objects - Bond Fees - $1,400</t>
  </si>
  <si>
    <t>Page 24, Line 35, Column G: ISBE Technology Loan proceeds - $67,150</t>
  </si>
  <si>
    <t>Page 24, Line 39, Column G: Midwest bus lease repayment - $11,286</t>
  </si>
  <si>
    <t>Page 24, Line 40, Column G: Midwest bus lease repayment - $9,342</t>
  </si>
  <si>
    <t>Page 11, Line 140, Column 10: CTE Other: Vocational EIEFES Grant - $6,478</t>
  </si>
  <si>
    <t>Page 10, Line 74: Column 10: Other Food Service: Other Food Service Revenue - Miscellaneous Receipts - $1,145</t>
  </si>
  <si>
    <t>Page 15, Line 41, Column 100: Other Support Services-Pupils: Salaries - Safety Patrol - $3,540</t>
  </si>
  <si>
    <t>Page 15, Line 41, Column 300: Other Support Services-Pupils: Purchased Services - Safety Patrol - $5,401</t>
  </si>
  <si>
    <t>Page 16, Line 83, Column 600:  Other Payments to In-State Govt. Units: Other Objects - Dual Credit Cert Tuition - $3,948</t>
  </si>
  <si>
    <t>Page 19, Line 237, Column 200: Other Support Services-Pupils: Employee benefits - Safety Patrol $620</t>
  </si>
  <si>
    <t>Page 24, Line 41, Column G: Midwest bus lease proceeds - $152,376, Midwest bus lease repayment - $32,670</t>
  </si>
  <si>
    <t>Page 16, Line 83, Column 300:  Other Payments to In-State Govt. Units: Purchased Services - EIU Athletic Trainer - $20,721</t>
  </si>
  <si>
    <t>10-4190-300</t>
  </si>
  <si>
    <t>EIU</t>
  </si>
  <si>
    <t>Bushue Human Resources</t>
  </si>
  <si>
    <t>Ed - SS - S&amp;M</t>
  </si>
  <si>
    <t>OCLC-IHLS</t>
  </si>
  <si>
    <t>Easter Seals</t>
  </si>
  <si>
    <t>Ed - Inst - Other</t>
  </si>
  <si>
    <t>10-1912-600</t>
  </si>
  <si>
    <t>Kemmerer Village</t>
  </si>
  <si>
    <t>Ed - Pmts - Other</t>
  </si>
  <si>
    <t>EIASE</t>
  </si>
  <si>
    <t>O&amp;M - SS - PS</t>
  </si>
  <si>
    <t>Scotty's Lawn Care</t>
  </si>
  <si>
    <t>Tort - SS - PS</t>
  </si>
  <si>
    <t>Ed -Pmts to Gov Units - PS</t>
  </si>
  <si>
    <t>80-2369-300</t>
  </si>
  <si>
    <t>10-2220-400</t>
  </si>
  <si>
    <t>10-4220-600</t>
  </si>
  <si>
    <t>20-2540-300</t>
  </si>
  <si>
    <t>Page 10, Line 106, Column 10:  Other Local Fees: After School Childcare Fees - $4,470</t>
  </si>
  <si>
    <t>Page 10, Line 107, Column 10:  Other Local Revenue:  Other Revenue - Miscellaneous Receipts - $11,216</t>
  </si>
  <si>
    <t>Page 10, Line 107, Column 20:  Other Local Revenue:  Other Revenue - Miscellaneous Receipts - $5,148</t>
  </si>
  <si>
    <t>Page 10, Line 107, Column 40:  Other Local Revenue:  Other Revenue - Trade in Compensation of Bus - $3,500,  Miscellaneous Receipts - $320</t>
  </si>
  <si>
    <t>618-544-2140</t>
  </si>
  <si>
    <t>11012004C26</t>
  </si>
  <si>
    <t>Casey-Westfield CUDS 4C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</si>
</sst>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1</xdr:row>
          <xdr:rowOff>142875</xdr:rowOff>
        </xdr:from>
        <xdr:to>
          <xdr:col>1</xdr:col>
          <xdr:colOff>2057400</xdr:colOff>
          <xdr:row>6</xdr:row>
          <xdr:rowOff>19050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1</xdr:row>
          <xdr:rowOff>142875</xdr:rowOff>
        </xdr:from>
        <xdr:to>
          <xdr:col>1</xdr:col>
          <xdr:colOff>3343275</xdr:colOff>
          <xdr:row>6</xdr:row>
          <xdr:rowOff>19050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5" t="s">
        <v>404</v>
      </c>
      <c r="J1" s="2016"/>
      <c r="K1" s="2016"/>
      <c r="L1" s="2016"/>
      <c r="M1" s="2016"/>
      <c r="N1" s="2016"/>
      <c r="O1" s="2016"/>
      <c r="P1" s="2016"/>
      <c r="Q1" s="2016"/>
      <c r="R1" s="2016"/>
      <c r="S1" s="2016"/>
    </row>
    <row r="2" spans="1:28" ht="12" customHeight="1" x14ac:dyDescent="0.2">
      <c r="A2" s="47" t="s">
        <v>1990</v>
      </c>
      <c r="D2" s="48"/>
      <c r="I2" s="2017" t="s">
        <v>978</v>
      </c>
      <c r="J2" s="2016"/>
      <c r="K2" s="2016"/>
      <c r="L2" s="2016"/>
      <c r="M2" s="2016"/>
      <c r="N2" s="2016"/>
      <c r="O2" s="2016"/>
      <c r="P2" s="2016"/>
      <c r="Q2" s="2016"/>
      <c r="R2" s="2016"/>
      <c r="S2" s="2016"/>
    </row>
    <row r="3" spans="1:28" ht="12" customHeight="1" x14ac:dyDescent="0.2">
      <c r="A3" s="155" t="s">
        <v>1942</v>
      </c>
      <c r="B3" s="156"/>
      <c r="C3" s="156"/>
      <c r="D3" s="157"/>
      <c r="I3" s="2017" t="s">
        <v>52</v>
      </c>
      <c r="J3" s="2016"/>
      <c r="K3" s="2016"/>
      <c r="L3" s="2016"/>
      <c r="M3" s="2016"/>
      <c r="N3" s="2016"/>
      <c r="O3" s="2016"/>
      <c r="P3" s="2016"/>
      <c r="Q3" s="2016"/>
      <c r="R3" s="2016"/>
      <c r="S3" s="2016"/>
    </row>
    <row r="4" spans="1:28" ht="12" customHeight="1" x14ac:dyDescent="0.2">
      <c r="A4" s="37"/>
      <c r="I4" s="2017" t="s">
        <v>523</v>
      </c>
      <c r="J4" s="2016"/>
      <c r="K4" s="2016"/>
      <c r="L4" s="2016"/>
      <c r="M4" s="2016"/>
      <c r="N4" s="2016"/>
      <c r="O4" s="2016"/>
      <c r="P4" s="2016"/>
      <c r="Q4" s="2016"/>
      <c r="R4" s="2016"/>
      <c r="S4" s="2016"/>
    </row>
    <row r="5" spans="1:28" ht="14.1" customHeight="1" x14ac:dyDescent="0.2">
      <c r="B5" s="104" t="s">
        <v>2063</v>
      </c>
      <c r="C5" s="26" t="s">
        <v>909</v>
      </c>
      <c r="D5" s="84"/>
      <c r="E5" s="84"/>
      <c r="H5" s="38"/>
      <c r="I5" s="2024" t="s">
        <v>679</v>
      </c>
      <c r="J5" s="1969"/>
      <c r="K5" s="1969"/>
      <c r="L5" s="1969"/>
      <c r="M5" s="1969"/>
      <c r="N5" s="1969"/>
      <c r="O5" s="1969"/>
      <c r="P5" s="1969"/>
      <c r="Q5" s="1969"/>
      <c r="R5" s="1969"/>
      <c r="S5" s="1969"/>
    </row>
    <row r="6" spans="1:28" ht="14.1" customHeight="1" x14ac:dyDescent="0.2">
      <c r="B6" s="104"/>
      <c r="C6" s="26" t="s">
        <v>910</v>
      </c>
      <c r="D6" s="84"/>
      <c r="E6" s="84"/>
      <c r="I6" s="2023" t="s">
        <v>882</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673</v>
      </c>
      <c r="J9" s="2021"/>
      <c r="K9" s="2021"/>
      <c r="L9" s="2021"/>
      <c r="M9" s="2021"/>
      <c r="N9" s="2021"/>
      <c r="O9" s="2021"/>
      <c r="P9" s="2021"/>
      <c r="Q9" s="2021"/>
      <c r="R9" s="2021"/>
      <c r="S9" s="2022"/>
      <c r="T9" s="1965" t="s">
        <v>532</v>
      </c>
      <c r="U9" s="1966"/>
      <c r="V9" s="1966"/>
      <c r="W9" s="1966"/>
      <c r="X9" s="1966"/>
      <c r="Y9" s="1966"/>
      <c r="Z9" s="1966"/>
      <c r="AA9" s="1967"/>
    </row>
    <row r="10" spans="1:28" ht="13.5" customHeight="1" x14ac:dyDescent="0.2">
      <c r="A10" s="1974" t="s">
        <v>674</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954</v>
      </c>
      <c r="B11" s="1978"/>
      <c r="C11" s="1978"/>
      <c r="D11" s="1978"/>
      <c r="E11" s="1978"/>
      <c r="F11" s="1978"/>
      <c r="G11" s="1978"/>
      <c r="H11" s="1979"/>
      <c r="I11" s="27"/>
      <c r="J11" s="74"/>
      <c r="K11" s="27"/>
      <c r="O11" s="148" t="s">
        <v>2063</v>
      </c>
      <c r="P11" s="100" t="s">
        <v>201</v>
      </c>
      <c r="Q11" s="30"/>
      <c r="R11" s="28"/>
      <c r="S11" s="27"/>
      <c r="T11" s="1971"/>
      <c r="U11" s="1972"/>
      <c r="V11" s="1972"/>
      <c r="W11" s="1972"/>
      <c r="X11" s="1972"/>
      <c r="Y11" s="1972"/>
      <c r="Z11" s="1972"/>
      <c r="AA11" s="197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5" t="s">
        <v>2144</v>
      </c>
      <c r="B13" s="1986"/>
      <c r="C13" s="1986"/>
      <c r="D13" s="1986"/>
      <c r="E13" s="1986"/>
      <c r="F13" s="1986"/>
      <c r="G13" s="1986"/>
      <c r="H13" s="1987"/>
      <c r="I13" s="31"/>
      <c r="J13" s="30"/>
      <c r="K13" s="28"/>
      <c r="L13" s="30"/>
      <c r="M13" s="30"/>
      <c r="N13" s="30"/>
      <c r="O13" s="30"/>
      <c r="P13" s="30"/>
      <c r="Q13" s="30"/>
      <c r="R13" s="30"/>
      <c r="S13" s="30"/>
      <c r="T13" s="1990" t="s">
        <v>2068</v>
      </c>
      <c r="U13" s="1991"/>
      <c r="V13" s="1991"/>
      <c r="W13" s="1991"/>
      <c r="X13" s="1991"/>
      <c r="Y13" s="1992"/>
      <c r="Z13" s="1992"/>
      <c r="AA13" s="199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3" t="s">
        <v>2064</v>
      </c>
      <c r="B15" s="1988"/>
      <c r="C15" s="1988"/>
      <c r="D15" s="1988"/>
      <c r="E15" s="1988"/>
      <c r="F15" s="1988"/>
      <c r="G15" s="1988"/>
      <c r="H15" s="1989"/>
      <c r="T15" s="1951" t="s">
        <v>2069</v>
      </c>
      <c r="U15" s="1952"/>
      <c r="V15" s="1952"/>
      <c r="W15" s="1952"/>
      <c r="X15" s="1952"/>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3" t="s">
        <v>2145</v>
      </c>
      <c r="B17" s="2013"/>
      <c r="C17" s="2013"/>
      <c r="D17" s="2013"/>
      <c r="E17" s="2013"/>
      <c r="F17" s="2013"/>
      <c r="G17" s="2013"/>
      <c r="H17" s="2014"/>
      <c r="T17" s="2000" t="s">
        <v>2070</v>
      </c>
      <c r="U17" s="2001"/>
      <c r="V17" s="2001"/>
      <c r="W17" s="2001"/>
      <c r="X17" s="2001"/>
      <c r="Y17" s="2001"/>
      <c r="Z17" s="2001"/>
      <c r="AA17" s="2002"/>
    </row>
    <row r="18" spans="1:27" ht="13.5" customHeight="1" x14ac:dyDescent="0.2">
      <c r="A18" s="85" t="s">
        <v>529</v>
      </c>
      <c r="B18" s="76"/>
      <c r="C18" s="72"/>
      <c r="D18" s="76"/>
      <c r="E18" s="76"/>
      <c r="F18" s="76"/>
      <c r="G18" s="76"/>
      <c r="H18" s="56"/>
      <c r="I18" s="2010" t="s">
        <v>675</v>
      </c>
      <c r="J18" s="2011"/>
      <c r="K18" s="2011"/>
      <c r="L18" s="2011"/>
      <c r="M18" s="2011"/>
      <c r="N18" s="2011"/>
      <c r="O18" s="2011"/>
      <c r="P18" s="2011"/>
      <c r="Q18" s="2011"/>
      <c r="R18" s="2011"/>
      <c r="S18" s="2012"/>
      <c r="T18" s="85" t="s">
        <v>710</v>
      </c>
      <c r="U18" s="51"/>
      <c r="V18" s="72"/>
      <c r="W18" s="50"/>
      <c r="X18" s="85" t="s">
        <v>265</v>
      </c>
      <c r="Y18" s="81"/>
      <c r="Z18" s="159" t="s">
        <v>676</v>
      </c>
      <c r="AA18" s="46"/>
    </row>
    <row r="19" spans="1:27" ht="13.5" customHeight="1" x14ac:dyDescent="0.2">
      <c r="A19" s="1983" t="s">
        <v>2065</v>
      </c>
      <c r="B19" s="1984"/>
      <c r="C19" s="1984"/>
      <c r="D19" s="1984"/>
      <c r="E19" s="1984"/>
      <c r="F19" s="1984"/>
      <c r="G19" s="1984"/>
      <c r="H19" s="1982"/>
      <c r="I19" s="30"/>
      <c r="J19" s="99"/>
      <c r="K19" s="40"/>
      <c r="L19" s="38"/>
      <c r="M19" s="112" t="s">
        <v>314</v>
      </c>
      <c r="P19" s="27"/>
      <c r="Q19" s="27"/>
      <c r="R19" s="27"/>
      <c r="S19" s="31"/>
      <c r="T19" s="1983" t="s">
        <v>2071</v>
      </c>
      <c r="U19" s="1981"/>
      <c r="V19" s="1981"/>
      <c r="W19" s="1982"/>
      <c r="X19" s="1998" t="s">
        <v>2072</v>
      </c>
      <c r="Y19" s="1999"/>
      <c r="Z19" s="1996">
        <v>62454</v>
      </c>
      <c r="AA19" s="199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0" t="s">
        <v>2066</v>
      </c>
      <c r="B21" s="1981"/>
      <c r="C21" s="1981"/>
      <c r="D21" s="1981"/>
      <c r="E21" s="1981"/>
      <c r="F21" s="1981"/>
      <c r="G21" s="1981"/>
      <c r="H21" s="1982"/>
      <c r="I21" s="2006" t="s">
        <v>677</v>
      </c>
      <c r="J21" s="1969"/>
      <c r="K21" s="1969"/>
      <c r="L21" s="1969"/>
      <c r="M21" s="1969"/>
      <c r="N21" s="1969"/>
      <c r="O21" s="1969"/>
      <c r="P21" s="1969"/>
      <c r="Q21" s="1969"/>
      <c r="R21" s="1969"/>
      <c r="S21" s="1970"/>
      <c r="T21" s="1948" t="s">
        <v>2073</v>
      </c>
      <c r="U21" s="1949"/>
      <c r="V21" s="1949"/>
      <c r="W21" s="1949"/>
      <c r="X21" s="1962" t="s">
        <v>2143</v>
      </c>
      <c r="Y21" s="1963"/>
      <c r="Z21" s="1963"/>
      <c r="AA21" s="1964"/>
    </row>
    <row r="22" spans="1:27" ht="13.5" customHeight="1" x14ac:dyDescent="0.2">
      <c r="A22" s="87" t="s">
        <v>530</v>
      </c>
      <c r="B22" s="59"/>
      <c r="C22" s="59"/>
      <c r="D22" s="59"/>
      <c r="E22" s="59"/>
      <c r="F22" s="59"/>
      <c r="G22" s="59"/>
      <c r="H22" s="60"/>
      <c r="I22" s="2007" t="s">
        <v>1428</v>
      </c>
      <c r="J22" s="2008"/>
      <c r="K22" s="2008"/>
      <c r="L22" s="2008"/>
      <c r="M22" s="2008"/>
      <c r="N22" s="2008"/>
      <c r="O22" s="2008"/>
      <c r="P22" s="2008"/>
      <c r="Q22" s="2008"/>
      <c r="R22" s="2008"/>
      <c r="S22" s="2009"/>
      <c r="T22" s="85" t="s">
        <v>1515</v>
      </c>
      <c r="U22" s="51"/>
      <c r="V22" s="72"/>
      <c r="W22" s="51"/>
      <c r="X22" s="160" t="s">
        <v>1317</v>
      </c>
      <c r="Z22" s="45"/>
      <c r="AA22" s="46"/>
    </row>
    <row r="23" spans="1:27" ht="13.5" customHeight="1" x14ac:dyDescent="0.2">
      <c r="A23" s="2003" t="s">
        <v>2067</v>
      </c>
      <c r="B23" s="2004"/>
      <c r="C23" s="2004"/>
      <c r="D23" s="2004"/>
      <c r="E23" s="2004"/>
      <c r="F23" s="2004"/>
      <c r="G23" s="2004"/>
      <c r="H23" s="2005"/>
      <c r="T23" s="1943" t="s">
        <v>2074</v>
      </c>
      <c r="U23" s="1944"/>
      <c r="V23" s="1944"/>
      <c r="W23" s="1944"/>
      <c r="X23" s="1959">
        <v>44469</v>
      </c>
      <c r="Y23" s="1960"/>
      <c r="Z23" s="1960"/>
      <c r="AA23" s="1961"/>
    </row>
    <row r="24" spans="1:27" ht="14.1" customHeight="1" x14ac:dyDescent="0.2">
      <c r="A24" s="88" t="s">
        <v>676</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530</v>
      </c>
      <c r="U24" s="106"/>
      <c r="V24" s="106"/>
      <c r="W24" s="106"/>
      <c r="X24" s="107"/>
      <c r="Y24" s="107"/>
      <c r="Z24" s="107"/>
      <c r="AA24" s="108"/>
    </row>
    <row r="25" spans="1:27" ht="14.1" customHeight="1" x14ac:dyDescent="0.2">
      <c r="A25" s="1980">
        <v>62420</v>
      </c>
      <c r="B25" s="1981"/>
      <c r="C25" s="1981"/>
      <c r="D25" s="1981"/>
      <c r="E25" s="1981"/>
      <c r="F25" s="1981"/>
      <c r="G25" s="1981"/>
      <c r="H25" s="1982"/>
      <c r="I25" s="113"/>
      <c r="J25" s="2047"/>
      <c r="K25" s="2047"/>
      <c r="L25" s="2047"/>
      <c r="M25" s="2047"/>
      <c r="N25" s="2047"/>
      <c r="O25" s="2047"/>
      <c r="P25" s="2047"/>
      <c r="Q25" s="2047"/>
      <c r="R25" s="2047"/>
      <c r="S25" s="2048"/>
      <c r="T25" s="1940" t="s">
        <v>2075</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8" t="s">
        <v>1510</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48"/>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3" t="s">
        <v>2076</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530</v>
      </c>
      <c r="B39" s="2037"/>
      <c r="C39" s="72"/>
      <c r="D39" s="69"/>
      <c r="E39" s="69"/>
      <c r="F39" s="79"/>
      <c r="G39" s="69"/>
      <c r="H39" s="56"/>
      <c r="I39" s="2036" t="s">
        <v>530</v>
      </c>
      <c r="J39" s="2037"/>
      <c r="K39" s="2037"/>
      <c r="L39" s="2037"/>
      <c r="M39" s="2037"/>
      <c r="N39" s="67"/>
      <c r="O39" s="72"/>
      <c r="P39" s="72"/>
      <c r="Q39" s="78"/>
      <c r="R39" s="72"/>
      <c r="S39" s="56"/>
      <c r="T39" s="72" t="s">
        <v>530</v>
      </c>
      <c r="U39" s="51"/>
      <c r="V39" s="72"/>
      <c r="W39" s="50"/>
      <c r="X39" s="78"/>
      <c r="Y39" s="45"/>
      <c r="Z39" s="45"/>
      <c r="AA39" s="46"/>
    </row>
    <row r="40" spans="1:27" ht="13.5" customHeight="1" x14ac:dyDescent="0.2">
      <c r="A40" s="2039" t="s">
        <v>2067</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9" t="s">
        <v>2077</v>
      </c>
      <c r="B42" s="2030"/>
      <c r="C42" s="2031"/>
      <c r="D42" s="2044" t="s">
        <v>2078</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1801</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1154</v>
      </c>
      <c r="B4" s="1749">
        <f>'Revenues 9-14'!C5</f>
        <v>1484998</v>
      </c>
      <c r="C4" s="1524"/>
      <c r="D4" s="1752">
        <f>B4-C4</f>
        <v>1484998</v>
      </c>
      <c r="E4" s="1524">
        <v>1564955</v>
      </c>
      <c r="F4" s="1752">
        <f>E4-C4</f>
        <v>1564955</v>
      </c>
    </row>
    <row r="5" spans="1:6" ht="13.7" customHeight="1" x14ac:dyDescent="0.2">
      <c r="A5" s="715" t="s">
        <v>869</v>
      </c>
      <c r="B5" s="1750">
        <f>'Revenues 9-14'!D5</f>
        <v>406233</v>
      </c>
      <c r="C5" s="585"/>
      <c r="D5" s="1753">
        <f t="shared" ref="D5:D18" si="0">B5-C5</f>
        <v>406233</v>
      </c>
      <c r="E5" s="585">
        <v>425260</v>
      </c>
      <c r="F5" s="1753">
        <f>E5-C5</f>
        <v>425260</v>
      </c>
    </row>
    <row r="6" spans="1:6" ht="13.7" customHeight="1" x14ac:dyDescent="0.2">
      <c r="A6" s="715" t="s">
        <v>410</v>
      </c>
      <c r="B6" s="1750">
        <f>'Revenues 9-14'!E5</f>
        <v>669969</v>
      </c>
      <c r="C6" s="585"/>
      <c r="D6" s="1753">
        <f t="shared" si="0"/>
        <v>669969</v>
      </c>
      <c r="E6" s="585">
        <v>664681</v>
      </c>
      <c r="F6" s="1753">
        <f t="shared" ref="F6:F18" si="1">E6-C6</f>
        <v>664681</v>
      </c>
    </row>
    <row r="7" spans="1:6" ht="13.7" customHeight="1" x14ac:dyDescent="0.2">
      <c r="A7" s="715" t="s">
        <v>155</v>
      </c>
      <c r="B7" s="1750">
        <f>'Revenues 9-14'!F5</f>
        <v>162494</v>
      </c>
      <c r="C7" s="585"/>
      <c r="D7" s="1753">
        <f t="shared" si="0"/>
        <v>162494</v>
      </c>
      <c r="E7" s="585">
        <v>170104</v>
      </c>
      <c r="F7" s="1753">
        <f t="shared" si="1"/>
        <v>170104</v>
      </c>
    </row>
    <row r="8" spans="1:6" ht="13.7" customHeight="1" x14ac:dyDescent="0.2">
      <c r="A8" s="715" t="s">
        <v>1178</v>
      </c>
      <c r="B8" s="1750">
        <f>'Revenues 9-14'!G5</f>
        <v>176291</v>
      </c>
      <c r="C8" s="585"/>
      <c r="D8" s="1753">
        <f t="shared" si="0"/>
        <v>176291</v>
      </c>
      <c r="E8" s="585">
        <v>145014</v>
      </c>
      <c r="F8" s="1753">
        <f t="shared" si="1"/>
        <v>145014</v>
      </c>
    </row>
    <row r="9" spans="1:6" ht="13.7" customHeight="1" x14ac:dyDescent="0.2">
      <c r="A9" s="715" t="s">
        <v>407</v>
      </c>
      <c r="B9" s="1750">
        <f>'Revenues 9-14'!H5</f>
        <v>0</v>
      </c>
      <c r="C9" s="585"/>
      <c r="D9" s="1753">
        <f t="shared" si="0"/>
        <v>0</v>
      </c>
      <c r="E9" s="585">
        <v>0</v>
      </c>
      <c r="F9" s="1753">
        <f t="shared" si="1"/>
        <v>0</v>
      </c>
    </row>
    <row r="10" spans="1:6" ht="13.7" customHeight="1" x14ac:dyDescent="0.2">
      <c r="A10" s="715" t="s">
        <v>406</v>
      </c>
      <c r="B10" s="1750">
        <f>'Revenues 9-14'!I5</f>
        <v>40624</v>
      </c>
      <c r="C10" s="585"/>
      <c r="D10" s="1753">
        <f t="shared" si="0"/>
        <v>40624</v>
      </c>
      <c r="E10" s="585">
        <v>42526</v>
      </c>
      <c r="F10" s="1753">
        <f t="shared" si="1"/>
        <v>42526</v>
      </c>
    </row>
    <row r="11" spans="1:6" x14ac:dyDescent="0.2">
      <c r="A11" s="715" t="s">
        <v>408</v>
      </c>
      <c r="B11" s="1750">
        <f>'Revenues 9-14'!J5</f>
        <v>494292</v>
      </c>
      <c r="C11" s="585"/>
      <c r="D11" s="1753">
        <f t="shared" si="0"/>
        <v>494292</v>
      </c>
      <c r="E11" s="585">
        <v>530044</v>
      </c>
      <c r="F11" s="1753">
        <f t="shared" si="1"/>
        <v>530044</v>
      </c>
    </row>
    <row r="12" spans="1:6" ht="13.7" customHeight="1" x14ac:dyDescent="0.2">
      <c r="A12" s="715" t="s">
        <v>157</v>
      </c>
      <c r="B12" s="1750">
        <f>'Revenues 9-14'!K5</f>
        <v>40624</v>
      </c>
      <c r="C12" s="585"/>
      <c r="D12" s="1753">
        <f t="shared" si="0"/>
        <v>40624</v>
      </c>
      <c r="E12" s="585">
        <v>42526</v>
      </c>
      <c r="F12" s="1753">
        <f t="shared" si="1"/>
        <v>42526</v>
      </c>
    </row>
    <row r="13" spans="1:6" ht="13.7" customHeight="1" x14ac:dyDescent="0.2">
      <c r="A13" s="715" t="s">
        <v>935</v>
      </c>
      <c r="B13" s="1750">
        <f>SUM('Revenues 9-14'!C6:D6)</f>
        <v>40624</v>
      </c>
      <c r="C13" s="585"/>
      <c r="D13" s="1753">
        <f t="shared" si="0"/>
        <v>40624</v>
      </c>
      <c r="E13" s="585">
        <v>42526</v>
      </c>
      <c r="F13" s="1753">
        <f t="shared" si="1"/>
        <v>42526</v>
      </c>
    </row>
    <row r="14" spans="1:6" ht="13.7" customHeight="1" x14ac:dyDescent="0.2">
      <c r="A14" s="715" t="s">
        <v>409</v>
      </c>
      <c r="B14" s="1750">
        <f>SUM('Revenues 9-14'!C7:D7,'Revenues 9-14'!F7:H7)</f>
        <v>32499</v>
      </c>
      <c r="C14" s="585"/>
      <c r="D14" s="1753">
        <f t="shared" si="0"/>
        <v>32499</v>
      </c>
      <c r="E14" s="585">
        <v>34021</v>
      </c>
      <c r="F14" s="1753">
        <f t="shared" si="1"/>
        <v>34021</v>
      </c>
    </row>
    <row r="15" spans="1:6" ht="13.7" customHeight="1" x14ac:dyDescent="0.2">
      <c r="A15" s="715" t="s">
        <v>1157</v>
      </c>
      <c r="B15" s="1750">
        <f>SUM('Revenues 9-14'!D9:E9,'Revenues 9-14'!H9)</f>
        <v>0</v>
      </c>
      <c r="C15" s="585"/>
      <c r="D15" s="1753">
        <f t="shared" si="0"/>
        <v>0</v>
      </c>
      <c r="E15" s="585">
        <v>0</v>
      </c>
      <c r="F15" s="1753">
        <f t="shared" si="1"/>
        <v>0</v>
      </c>
    </row>
    <row r="16" spans="1:6" ht="13.7" customHeight="1" x14ac:dyDescent="0.2">
      <c r="A16" s="715" t="s">
        <v>1158</v>
      </c>
      <c r="B16" s="1750">
        <f>'Revenues 9-14'!G8</f>
        <v>176384</v>
      </c>
      <c r="C16" s="585"/>
      <c r="D16" s="1753">
        <f t="shared" si="0"/>
        <v>176384</v>
      </c>
      <c r="E16" s="585">
        <v>160068</v>
      </c>
      <c r="F16" s="1753">
        <f t="shared" si="1"/>
        <v>160068</v>
      </c>
    </row>
    <row r="17" spans="1:6" ht="13.7" customHeight="1" x14ac:dyDescent="0.2">
      <c r="A17" s="715" t="s">
        <v>1159</v>
      </c>
      <c r="B17" s="1750">
        <f>'Revenues 9-14'!C10</f>
        <v>0</v>
      </c>
      <c r="C17" s="585"/>
      <c r="D17" s="1753">
        <f t="shared" si="0"/>
        <v>0</v>
      </c>
      <c r="E17" s="585">
        <v>0</v>
      </c>
      <c r="F17" s="1753">
        <f t="shared" si="1"/>
        <v>0</v>
      </c>
    </row>
    <row r="18" spans="1:6" ht="13.7" customHeight="1" x14ac:dyDescent="0.2">
      <c r="A18" s="715" t="s">
        <v>761</v>
      </c>
      <c r="B18" s="1750">
        <f>SUM('Revenues 9-14'!C11:K11)</f>
        <v>0</v>
      </c>
      <c r="C18" s="585"/>
      <c r="D18" s="1753">
        <f t="shared" si="0"/>
        <v>0</v>
      </c>
      <c r="E18" s="585">
        <v>0</v>
      </c>
      <c r="F18" s="1753">
        <f t="shared" si="1"/>
        <v>0</v>
      </c>
    </row>
    <row r="19" spans="1:6" ht="13.7" customHeight="1" thickBot="1" x14ac:dyDescent="0.25">
      <c r="A19" s="1754" t="s">
        <v>1160</v>
      </c>
      <c r="B19" s="1751">
        <f>SUM(B4:B18)</f>
        <v>3725032</v>
      </c>
      <c r="C19" s="1751">
        <f>SUM(C4:C18)</f>
        <v>0</v>
      </c>
      <c r="D19" s="1751">
        <f>SUM(D4:D18)</f>
        <v>3725032</v>
      </c>
      <c r="E19" s="1751">
        <f>SUM(E4:E18)</f>
        <v>3821725</v>
      </c>
      <c r="F19" s="1751">
        <f>SUM(F4:F18)</f>
        <v>3821725</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66" sqref="J6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628</v>
      </c>
      <c r="B1" s="2189"/>
      <c r="C1" s="721"/>
    </row>
    <row r="2" spans="1:7" ht="33.75" x14ac:dyDescent="0.2">
      <c r="A2" s="2197" t="s">
        <v>1801</v>
      </c>
      <c r="B2" s="2198"/>
      <c r="C2" s="1884" t="s">
        <v>1953</v>
      </c>
      <c r="D2" s="723" t="s">
        <v>1954</v>
      </c>
      <c r="E2" s="723" t="s">
        <v>1955</v>
      </c>
      <c r="F2" s="1884" t="s">
        <v>1956</v>
      </c>
    </row>
    <row r="3" spans="1:7" ht="15.75" customHeight="1" x14ac:dyDescent="0.2">
      <c r="A3" s="2201" t="s">
        <v>1113</v>
      </c>
      <c r="B3" s="2202"/>
      <c r="C3" s="2190"/>
      <c r="D3" s="2191"/>
      <c r="E3" s="2191"/>
      <c r="F3" s="2192"/>
    </row>
    <row r="4" spans="1:7" ht="12.75" customHeight="1" thickBot="1" x14ac:dyDescent="0.25">
      <c r="A4" s="2199" t="s">
        <v>629</v>
      </c>
      <c r="B4" s="2200"/>
      <c r="C4" s="581"/>
      <c r="D4" s="581"/>
      <c r="E4" s="581"/>
      <c r="F4" s="1755">
        <f>SUM(C4+D4)-E4</f>
        <v>0</v>
      </c>
    </row>
    <row r="5" spans="1:7" ht="15.75" customHeight="1" thickTop="1" x14ac:dyDescent="0.2">
      <c r="A5" s="2184" t="s">
        <v>1109</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86" t="s">
        <v>630</v>
      </c>
      <c r="B15" s="2187"/>
      <c r="C15" s="1755">
        <f>SUM(C6:C14)</f>
        <v>0</v>
      </c>
      <c r="D15" s="1755">
        <f>SUM(D6:D14)</f>
        <v>0</v>
      </c>
      <c r="E15" s="1755">
        <f>SUM(E6:E14)</f>
        <v>0</v>
      </c>
      <c r="F15" s="1755">
        <f>SUM(F6:F14)</f>
        <v>0</v>
      </c>
      <c r="G15" s="552"/>
    </row>
    <row r="16" spans="1:7" s="202" customFormat="1" ht="15.75" customHeight="1" thickTop="1" x14ac:dyDescent="0.2">
      <c r="A16" s="2196" t="s">
        <v>1110</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387</v>
      </c>
      <c r="B19" s="2210"/>
      <c r="C19" s="726"/>
      <c r="D19" s="585"/>
      <c r="E19" s="726"/>
      <c r="F19" s="1755">
        <f>SUM(C19+D19)-E19</f>
        <v>0</v>
      </c>
    </row>
    <row r="20" spans="1:11" ht="12.75" customHeight="1" thickTop="1" thickBot="1" x14ac:dyDescent="0.25">
      <c r="A20" s="2209" t="s">
        <v>447</v>
      </c>
      <c r="B20" s="2210"/>
      <c r="C20" s="726"/>
      <c r="D20" s="585"/>
      <c r="E20" s="726"/>
      <c r="F20" s="1755">
        <f>SUM(C20+D20)-E20</f>
        <v>0</v>
      </c>
    </row>
    <row r="21" spans="1:11" ht="14.25" thickTop="1" thickBot="1" x14ac:dyDescent="0.25">
      <c r="A21" s="2186" t="s">
        <v>631</v>
      </c>
      <c r="B21" s="2187"/>
      <c r="C21" s="1755">
        <f>SUM(C17:C20)</f>
        <v>0</v>
      </c>
      <c r="D21" s="1755">
        <f>SUM(D17:D20)</f>
        <v>0</v>
      </c>
      <c r="E21" s="1755">
        <f>SUM(E17:E20)</f>
        <v>0</v>
      </c>
      <c r="F21" s="1755">
        <f>SUM(F17:F20)</f>
        <v>0</v>
      </c>
      <c r="G21" s="552"/>
    </row>
    <row r="22" spans="1:11" ht="15.75" customHeight="1" thickTop="1" x14ac:dyDescent="0.2">
      <c r="A22" s="2211" t="s">
        <v>1111</v>
      </c>
      <c r="B22" s="2185"/>
      <c r="C22" s="2193"/>
      <c r="D22" s="2194"/>
      <c r="E22" s="2194"/>
      <c r="F22" s="2195"/>
    </row>
    <row r="23" spans="1:11" ht="13.5" thickBot="1" x14ac:dyDescent="0.25">
      <c r="A23" s="2199" t="s">
        <v>632</v>
      </c>
      <c r="B23" s="2200"/>
      <c r="C23" s="581"/>
      <c r="D23" s="581"/>
      <c r="E23" s="581"/>
      <c r="F23" s="1755">
        <f>SUM(C23+D23)-E23</f>
        <v>0</v>
      </c>
      <c r="G23" s="552"/>
    </row>
    <row r="24" spans="1:11" ht="15.75" customHeight="1" thickTop="1" x14ac:dyDescent="0.2">
      <c r="A24" s="2211" t="s">
        <v>1112</v>
      </c>
      <c r="B24" s="2185"/>
      <c r="C24" s="2193"/>
      <c r="D24" s="2194"/>
      <c r="E24" s="2194"/>
      <c r="F24" s="2195"/>
    </row>
    <row r="25" spans="1:11" ht="13.5" thickBot="1" x14ac:dyDescent="0.25">
      <c r="A25" s="2199" t="s">
        <v>633</v>
      </c>
      <c r="B25" s="2200"/>
      <c r="C25" s="581"/>
      <c r="D25" s="581"/>
      <c r="E25" s="581"/>
      <c r="F25" s="1755">
        <f>SUM(C25+D25)-E25</f>
        <v>0</v>
      </c>
      <c r="G25" s="552"/>
    </row>
    <row r="26" spans="1:11" ht="15.75" customHeight="1" thickTop="1" x14ac:dyDescent="0.2">
      <c r="A26" s="2184" t="s">
        <v>656</v>
      </c>
      <c r="B26" s="2185"/>
      <c r="C26" s="727"/>
      <c r="D26" s="727"/>
      <c r="E26" s="727"/>
      <c r="F26" s="728"/>
    </row>
    <row r="27" spans="1:11" ht="13.5" thickBot="1" x14ac:dyDescent="0.25">
      <c r="A27" s="2186" t="s">
        <v>1069</v>
      </c>
      <c r="B27" s="2187"/>
      <c r="C27" s="585"/>
      <c r="D27" s="585"/>
      <c r="E27" s="585"/>
      <c r="F27" s="1755">
        <f>SUM(C27+D27)-E27</f>
        <v>0</v>
      </c>
      <c r="G27" s="552"/>
    </row>
    <row r="28" spans="1:11" ht="7.5" customHeight="1" thickTop="1" x14ac:dyDescent="0.2">
      <c r="A28" s="593"/>
    </row>
    <row r="29" spans="1:11" ht="23.25" customHeight="1" x14ac:dyDescent="0.2">
      <c r="A29" s="2212" t="s">
        <v>581</v>
      </c>
      <c r="B29" s="2189"/>
      <c r="C29" s="729"/>
      <c r="D29" s="729"/>
      <c r="E29" s="729"/>
      <c r="F29" s="729"/>
      <c r="G29" s="729"/>
      <c r="H29" s="729"/>
      <c r="I29" s="729"/>
      <c r="J29" s="729"/>
    </row>
    <row r="30" spans="1:11" ht="33.75" x14ac:dyDescent="0.2">
      <c r="A30" s="1529" t="s">
        <v>1070</v>
      </c>
      <c r="B30" s="730" t="s">
        <v>1123</v>
      </c>
      <c r="C30" s="1885" t="s">
        <v>582</v>
      </c>
      <c r="D30" s="1885" t="s">
        <v>1672</v>
      </c>
      <c r="E30" s="1885" t="s">
        <v>1957</v>
      </c>
      <c r="F30" s="1885" t="s">
        <v>1958</v>
      </c>
      <c r="G30" s="1885" t="s">
        <v>1909</v>
      </c>
      <c r="H30" s="1885" t="s">
        <v>1959</v>
      </c>
      <c r="I30" s="1885" t="s">
        <v>1960</v>
      </c>
      <c r="J30" s="1886" t="s">
        <v>2</v>
      </c>
      <c r="K30" s="731"/>
    </row>
    <row r="31" spans="1:11" ht="12" customHeight="1" x14ac:dyDescent="0.2">
      <c r="A31" s="732" t="s">
        <v>2080</v>
      </c>
      <c r="B31" s="733">
        <v>39264</v>
      </c>
      <c r="C31" s="734">
        <v>6630000</v>
      </c>
      <c r="D31" s="735">
        <v>4</v>
      </c>
      <c r="E31" s="734">
        <v>200000</v>
      </c>
      <c r="F31" s="734"/>
      <c r="G31" s="734"/>
      <c r="H31" s="734">
        <v>20000</v>
      </c>
      <c r="I31" s="1756">
        <f>((E31+F31)-H31)+G31</f>
        <v>180000</v>
      </c>
      <c r="J31" s="734">
        <v>180000</v>
      </c>
      <c r="K31" s="736"/>
    </row>
    <row r="32" spans="1:11" ht="12" customHeight="1" x14ac:dyDescent="0.2">
      <c r="A32" s="732" t="s">
        <v>2081</v>
      </c>
      <c r="B32" s="733">
        <v>41852</v>
      </c>
      <c r="C32" s="734">
        <v>395000</v>
      </c>
      <c r="D32" s="735">
        <v>4</v>
      </c>
      <c r="E32" s="734">
        <v>185000</v>
      </c>
      <c r="F32" s="734"/>
      <c r="G32" s="734"/>
      <c r="H32" s="734">
        <v>90000</v>
      </c>
      <c r="I32" s="1756">
        <f>((E32+F32)-H32)+G32</f>
        <v>95000</v>
      </c>
      <c r="J32" s="734">
        <v>95000</v>
      </c>
      <c r="K32" s="736"/>
    </row>
    <row r="33" spans="1:11" ht="12" customHeight="1" x14ac:dyDescent="0.2">
      <c r="A33" s="732" t="s">
        <v>2082</v>
      </c>
      <c r="B33" s="733">
        <v>42450</v>
      </c>
      <c r="C33" s="734">
        <v>4275000</v>
      </c>
      <c r="D33" s="735">
        <v>3</v>
      </c>
      <c r="E33" s="734">
        <v>4180000</v>
      </c>
      <c r="F33" s="734"/>
      <c r="G33" s="734"/>
      <c r="H33" s="734">
        <v>385000</v>
      </c>
      <c r="I33" s="1756">
        <f t="shared" ref="I33:I48" si="1">((E33+F33)-H33)+G33</f>
        <v>3795000</v>
      </c>
      <c r="J33" s="734">
        <v>3795000</v>
      </c>
      <c r="K33" s="736"/>
    </row>
    <row r="34" spans="1:11" ht="12" customHeight="1" x14ac:dyDescent="0.2">
      <c r="A34" s="732" t="s">
        <v>2082</v>
      </c>
      <c r="B34" s="733">
        <v>42450</v>
      </c>
      <c r="C34" s="734">
        <v>935000</v>
      </c>
      <c r="D34" s="735">
        <v>4</v>
      </c>
      <c r="E34" s="734">
        <v>935000</v>
      </c>
      <c r="F34" s="734"/>
      <c r="G34" s="734"/>
      <c r="H34" s="734"/>
      <c r="I34" s="1756">
        <f t="shared" si="1"/>
        <v>935000</v>
      </c>
      <c r="J34" s="734">
        <v>935000</v>
      </c>
      <c r="K34" s="737"/>
    </row>
    <row r="35" spans="1:11" ht="12" customHeight="1" x14ac:dyDescent="0.2">
      <c r="A35" s="732" t="s">
        <v>2083</v>
      </c>
      <c r="B35" s="733">
        <v>43493</v>
      </c>
      <c r="C35" s="738">
        <v>67150</v>
      </c>
      <c r="D35" s="735">
        <v>8</v>
      </c>
      <c r="E35" s="738"/>
      <c r="F35" s="738"/>
      <c r="G35" s="738">
        <v>67150</v>
      </c>
      <c r="H35" s="738">
        <v>11095</v>
      </c>
      <c r="I35" s="1756">
        <f t="shared" si="1"/>
        <v>56055</v>
      </c>
      <c r="J35" s="738">
        <v>56055</v>
      </c>
      <c r="K35" s="737"/>
    </row>
    <row r="36" spans="1:11" ht="12" customHeight="1" x14ac:dyDescent="0.2">
      <c r="A36" s="732" t="s">
        <v>2084</v>
      </c>
      <c r="B36" s="733">
        <v>43049</v>
      </c>
      <c r="C36" s="734">
        <v>110950</v>
      </c>
      <c r="D36" s="735">
        <v>8</v>
      </c>
      <c r="E36" s="734">
        <v>92554</v>
      </c>
      <c r="F36" s="734"/>
      <c r="G36" s="734"/>
      <c r="H36" s="734">
        <v>36470</v>
      </c>
      <c r="I36" s="1756">
        <f t="shared" si="1"/>
        <v>56084</v>
      </c>
      <c r="J36" s="734">
        <v>56084</v>
      </c>
      <c r="K36" s="739"/>
    </row>
    <row r="37" spans="1:11" ht="12" customHeight="1" x14ac:dyDescent="0.2">
      <c r="A37" s="732" t="s">
        <v>2085</v>
      </c>
      <c r="B37" s="733">
        <v>42732</v>
      </c>
      <c r="C37" s="467">
        <v>70600</v>
      </c>
      <c r="D37" s="740">
        <v>8</v>
      </c>
      <c r="E37" s="467">
        <v>35729</v>
      </c>
      <c r="F37" s="467"/>
      <c r="G37" s="467"/>
      <c r="H37" s="467">
        <v>23700</v>
      </c>
      <c r="I37" s="1756">
        <f t="shared" si="1"/>
        <v>12029</v>
      </c>
      <c r="J37" s="467">
        <v>12029</v>
      </c>
      <c r="K37" s="737"/>
    </row>
    <row r="38" spans="1:11" ht="12" customHeight="1" x14ac:dyDescent="0.2">
      <c r="A38" s="732" t="s">
        <v>2086</v>
      </c>
      <c r="B38" s="733">
        <v>42522</v>
      </c>
      <c r="C38" s="734">
        <v>115450</v>
      </c>
      <c r="D38" s="741">
        <v>8</v>
      </c>
      <c r="E38" s="742">
        <v>19639</v>
      </c>
      <c r="F38" s="742"/>
      <c r="G38" s="742"/>
      <c r="H38" s="742">
        <v>19639</v>
      </c>
      <c r="I38" s="1756">
        <f t="shared" si="1"/>
        <v>0</v>
      </c>
      <c r="J38" s="743">
        <v>0</v>
      </c>
      <c r="K38" s="744"/>
    </row>
    <row r="39" spans="1:11" ht="12" customHeight="1" x14ac:dyDescent="0.2">
      <c r="A39" s="732" t="s">
        <v>2087</v>
      </c>
      <c r="B39" s="733">
        <v>41984</v>
      </c>
      <c r="C39" s="734">
        <v>54365</v>
      </c>
      <c r="D39" s="741">
        <v>7</v>
      </c>
      <c r="E39" s="742">
        <v>11286</v>
      </c>
      <c r="F39" s="742"/>
      <c r="G39" s="742">
        <v>-11286</v>
      </c>
      <c r="H39" s="742"/>
      <c r="I39" s="1756">
        <f t="shared" si="1"/>
        <v>0</v>
      </c>
      <c r="J39" s="743">
        <v>0</v>
      </c>
      <c r="K39" s="744"/>
    </row>
    <row r="40" spans="1:11" ht="12" customHeight="1" x14ac:dyDescent="0.2">
      <c r="A40" s="732" t="s">
        <v>2088</v>
      </c>
      <c r="B40" s="733">
        <v>41984</v>
      </c>
      <c r="C40" s="734">
        <v>48851</v>
      </c>
      <c r="D40" s="741">
        <v>7</v>
      </c>
      <c r="E40" s="742">
        <v>9342</v>
      </c>
      <c r="F40" s="742"/>
      <c r="G40" s="742">
        <v>-9342</v>
      </c>
      <c r="H40" s="742"/>
      <c r="I40" s="1756">
        <f t="shared" si="1"/>
        <v>0</v>
      </c>
      <c r="J40" s="743">
        <v>0</v>
      </c>
      <c r="K40" s="744"/>
    </row>
    <row r="41" spans="1:11" ht="12" customHeight="1" x14ac:dyDescent="0.2">
      <c r="A41" s="732" t="s">
        <v>2091</v>
      </c>
      <c r="B41" s="733">
        <v>43298</v>
      </c>
      <c r="C41" s="734">
        <v>152376</v>
      </c>
      <c r="D41" s="741">
        <v>7</v>
      </c>
      <c r="E41" s="742"/>
      <c r="F41" s="742"/>
      <c r="G41" s="742">
        <f>152376-32670</f>
        <v>119706</v>
      </c>
      <c r="H41" s="742"/>
      <c r="I41" s="1756">
        <f t="shared" si="1"/>
        <v>119706</v>
      </c>
      <c r="J41" s="743">
        <v>113560</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12854742</v>
      </c>
      <c r="D49" s="745"/>
      <c r="E49" s="1756">
        <f t="shared" ref="E49:J49" si="2">SUM(E31:E48)</f>
        <v>5668550</v>
      </c>
      <c r="F49" s="1756">
        <f t="shared" si="2"/>
        <v>0</v>
      </c>
      <c r="G49" s="1756">
        <f t="shared" si="2"/>
        <v>166228</v>
      </c>
      <c r="H49" s="1756">
        <f t="shared" si="2"/>
        <v>585904</v>
      </c>
      <c r="I49" s="1756">
        <f t="shared" si="2"/>
        <v>5248874</v>
      </c>
      <c r="J49" s="1756">
        <f t="shared" si="2"/>
        <v>5242728</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3" t="s">
        <v>583</v>
      </c>
      <c r="C52" s="2204"/>
      <c r="D52" s="2204"/>
      <c r="E52" s="749" t="s">
        <v>844</v>
      </c>
      <c r="F52" s="2205" t="s">
        <v>2089</v>
      </c>
      <c r="G52" s="2206"/>
      <c r="H52" s="736"/>
      <c r="I52" s="736"/>
      <c r="J52" s="746"/>
    </row>
    <row r="53" spans="1:11" ht="11.25" customHeight="1" x14ac:dyDescent="0.2">
      <c r="A53" s="750" t="s">
        <v>912</v>
      </c>
      <c r="B53" s="751" t="s">
        <v>950</v>
      </c>
      <c r="C53" s="746"/>
      <c r="D53" s="737"/>
      <c r="E53" s="749" t="s">
        <v>496</v>
      </c>
      <c r="F53" s="2207" t="s">
        <v>2090</v>
      </c>
      <c r="G53" s="2208"/>
      <c r="H53" s="736"/>
      <c r="I53" s="736"/>
      <c r="J53" s="746"/>
    </row>
    <row r="54" spans="1:11" ht="11.25" customHeight="1" x14ac:dyDescent="0.2">
      <c r="A54" s="752" t="s">
        <v>913</v>
      </c>
      <c r="B54" s="747" t="s">
        <v>951</v>
      </c>
      <c r="C54" s="746"/>
      <c r="D54" s="737"/>
      <c r="E54" s="749" t="s">
        <v>497</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855</v>
      </c>
      <c r="B1" s="2238"/>
      <c r="C1" s="2238"/>
      <c r="D1" s="2238"/>
      <c r="E1" s="2238"/>
      <c r="F1" s="2238"/>
      <c r="G1" s="2239"/>
      <c r="H1" s="1530"/>
      <c r="I1" s="760"/>
      <c r="J1" s="433"/>
    </row>
    <row r="2" spans="1:11" ht="26.25" x14ac:dyDescent="0.2">
      <c r="A2" s="2216" t="s">
        <v>1676</v>
      </c>
      <c r="B2" s="2217"/>
      <c r="C2" s="2217"/>
      <c r="D2" s="2217"/>
      <c r="E2" s="2218"/>
      <c r="F2" s="761" t="s">
        <v>903</v>
      </c>
      <c r="G2" s="762" t="s">
        <v>1673</v>
      </c>
      <c r="H2" s="762" t="s">
        <v>409</v>
      </c>
      <c r="I2" s="762" t="s">
        <v>1157</v>
      </c>
      <c r="J2" s="762" t="s">
        <v>1811</v>
      </c>
      <c r="K2" s="762" t="s">
        <v>138</v>
      </c>
    </row>
    <row r="3" spans="1:11" x14ac:dyDescent="0.2">
      <c r="A3" s="2219" t="s">
        <v>1961</v>
      </c>
      <c r="B3" s="2220"/>
      <c r="C3" s="2220"/>
      <c r="D3" s="2220"/>
      <c r="E3" s="2221"/>
      <c r="F3" s="763"/>
      <c r="G3" s="764"/>
      <c r="H3" s="764"/>
      <c r="I3" s="764"/>
      <c r="J3" s="765"/>
      <c r="K3" s="765">
        <v>4852</v>
      </c>
    </row>
    <row r="4" spans="1:11" x14ac:dyDescent="0.2">
      <c r="A4" s="2222" t="s">
        <v>368</v>
      </c>
      <c r="B4" s="2223"/>
      <c r="C4" s="2223"/>
      <c r="D4" s="2223"/>
      <c r="E4" s="2204"/>
      <c r="F4" s="766"/>
      <c r="G4" s="767"/>
      <c r="H4" s="768"/>
      <c r="I4" s="767"/>
      <c r="J4" s="769"/>
      <c r="K4" s="769"/>
    </row>
    <row r="5" spans="1:11" x14ac:dyDescent="0.2">
      <c r="A5" s="2240" t="s">
        <v>1068</v>
      </c>
      <c r="B5" s="2213"/>
      <c r="C5" s="2213"/>
      <c r="D5" s="2213"/>
      <c r="E5" s="2241"/>
      <c r="F5" s="770" t="s">
        <v>847</v>
      </c>
      <c r="G5" s="771"/>
      <c r="H5" s="764">
        <v>32499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3840</v>
      </c>
    </row>
    <row r="8" spans="1:11" x14ac:dyDescent="0.2">
      <c r="A8" s="778" t="s">
        <v>344</v>
      </c>
      <c r="B8" s="779"/>
      <c r="C8" s="779"/>
      <c r="D8" s="779"/>
      <c r="E8" s="780"/>
      <c r="F8" s="770" t="s">
        <v>850</v>
      </c>
      <c r="G8" s="782"/>
      <c r="H8" s="782"/>
      <c r="I8" s="782"/>
      <c r="J8" s="765">
        <v>32312</v>
      </c>
      <c r="K8" s="769"/>
    </row>
    <row r="9" spans="1:11" x14ac:dyDescent="0.2">
      <c r="A9" s="778" t="s">
        <v>138</v>
      </c>
      <c r="B9" s="779"/>
      <c r="C9" s="779"/>
      <c r="D9" s="779"/>
      <c r="E9" s="780"/>
      <c r="F9" s="777" t="s">
        <v>852</v>
      </c>
      <c r="G9" s="782"/>
      <c r="H9" s="771"/>
      <c r="I9" s="771"/>
      <c r="J9" s="781"/>
      <c r="K9" s="765">
        <v>11024</v>
      </c>
    </row>
    <row r="10" spans="1:11" x14ac:dyDescent="0.2">
      <c r="A10" s="2240" t="s">
        <v>1812</v>
      </c>
      <c r="B10" s="2213"/>
      <c r="C10" s="2213"/>
      <c r="D10" s="2213"/>
      <c r="E10" s="2242"/>
      <c r="F10" s="783" t="s">
        <v>861</v>
      </c>
      <c r="G10" s="782"/>
      <c r="H10" s="784"/>
      <c r="I10" s="764"/>
      <c r="J10" s="765"/>
      <c r="K10" s="765"/>
    </row>
    <row r="11" spans="1:11" x14ac:dyDescent="0.2">
      <c r="A11" s="2240" t="s">
        <v>160</v>
      </c>
      <c r="B11" s="2213"/>
      <c r="C11" s="2213"/>
      <c r="D11" s="2213"/>
      <c r="E11" s="2241"/>
      <c r="F11" s="770" t="s">
        <v>851</v>
      </c>
      <c r="G11" s="771"/>
      <c r="H11" s="764"/>
      <c r="I11" s="764"/>
      <c r="J11" s="765"/>
      <c r="K11" s="773"/>
    </row>
    <row r="12" spans="1:11" ht="13.5" thickBot="1" x14ac:dyDescent="0.25">
      <c r="A12" s="2230" t="s">
        <v>904</v>
      </c>
      <c r="B12" s="2231"/>
      <c r="C12" s="2231"/>
      <c r="D12" s="2231"/>
      <c r="E12" s="2232"/>
      <c r="F12" s="1757"/>
      <c r="G12" s="1758">
        <f>SUM(G5:G11)</f>
        <v>0</v>
      </c>
      <c r="H12" s="1758">
        <f>SUM(H5:H11)</f>
        <v>32499</v>
      </c>
      <c r="I12" s="1758">
        <f>SUM(I5:I11)</f>
        <v>0</v>
      </c>
      <c r="J12" s="1758">
        <f>SUM(J5:J11)</f>
        <v>32312</v>
      </c>
      <c r="K12" s="1758">
        <f>SUM(K5:K11)</f>
        <v>14864</v>
      </c>
    </row>
    <row r="13" spans="1:11" ht="13.5" thickTop="1" x14ac:dyDescent="0.2">
      <c r="A13" s="2224" t="s">
        <v>369</v>
      </c>
      <c r="B13" s="2225"/>
      <c r="C13" s="2225"/>
      <c r="D13" s="2225"/>
      <c r="E13" s="2226"/>
      <c r="F13" s="785"/>
      <c r="G13" s="786"/>
      <c r="H13" s="787"/>
      <c r="I13" s="788"/>
      <c r="J13" s="788"/>
      <c r="K13" s="788"/>
    </row>
    <row r="14" spans="1:11" x14ac:dyDescent="0.2">
      <c r="A14" s="2246" t="s">
        <v>455</v>
      </c>
      <c r="B14" s="2246"/>
      <c r="C14" s="2246"/>
      <c r="D14" s="2246"/>
      <c r="E14" s="2247"/>
      <c r="F14" s="789" t="s">
        <v>853</v>
      </c>
      <c r="G14" s="782"/>
      <c r="H14" s="764">
        <v>32499</v>
      </c>
      <c r="I14" s="771"/>
      <c r="J14" s="773"/>
      <c r="K14" s="765">
        <v>11309</v>
      </c>
    </row>
    <row r="15" spans="1:11" x14ac:dyDescent="0.2">
      <c r="A15" s="2213" t="s">
        <v>4</v>
      </c>
      <c r="B15" s="2213"/>
      <c r="C15" s="2213"/>
      <c r="D15" s="2213"/>
      <c r="E15" s="2241"/>
      <c r="F15" s="789" t="s">
        <v>854</v>
      </c>
      <c r="G15" s="771"/>
      <c r="H15" s="764"/>
      <c r="I15" s="764"/>
      <c r="J15" s="765">
        <v>32312</v>
      </c>
      <c r="K15" s="765"/>
    </row>
    <row r="16" spans="1:11" x14ac:dyDescent="0.2">
      <c r="A16" s="2213" t="s">
        <v>297</v>
      </c>
      <c r="B16" s="2213"/>
      <c r="C16" s="2213"/>
      <c r="D16" s="2213"/>
      <c r="E16" s="2241"/>
      <c r="F16" s="789" t="s">
        <v>922</v>
      </c>
      <c r="G16" s="772"/>
      <c r="H16" s="767"/>
      <c r="I16" s="767"/>
      <c r="J16" s="769"/>
      <c r="K16" s="769"/>
    </row>
    <row r="17" spans="1:11" x14ac:dyDescent="0.2">
      <c r="A17" s="2235" t="s">
        <v>934</v>
      </c>
      <c r="B17" s="2235"/>
      <c r="C17" s="2235"/>
      <c r="D17" s="2235"/>
      <c r="E17" s="2236"/>
      <c r="F17" s="790"/>
      <c r="G17" s="791"/>
      <c r="H17" s="792"/>
      <c r="I17" s="792"/>
      <c r="J17" s="793"/>
      <c r="K17" s="794"/>
    </row>
    <row r="18" spans="1:11" x14ac:dyDescent="0.2">
      <c r="A18" s="2227" t="s">
        <v>367</v>
      </c>
      <c r="B18" s="2228"/>
      <c r="C18" s="2228"/>
      <c r="D18" s="2228"/>
      <c r="E18" s="2229"/>
      <c r="F18" s="789" t="s">
        <v>931</v>
      </c>
      <c r="G18" s="782"/>
      <c r="H18" s="782"/>
      <c r="I18" s="782"/>
      <c r="J18" s="765"/>
      <c r="K18" s="795"/>
    </row>
    <row r="19" spans="1:11" ht="21.75" customHeight="1" x14ac:dyDescent="0.2">
      <c r="A19" s="2248" t="s">
        <v>1808</v>
      </c>
      <c r="B19" s="2248"/>
      <c r="C19" s="2248"/>
      <c r="D19" s="2248"/>
      <c r="E19" s="2249"/>
      <c r="F19" s="789" t="s">
        <v>932</v>
      </c>
      <c r="G19" s="782"/>
      <c r="H19" s="782"/>
      <c r="I19" s="782"/>
      <c r="J19" s="765"/>
      <c r="K19" s="795"/>
    </row>
    <row r="20" spans="1:11" x14ac:dyDescent="0.2">
      <c r="A20" s="2227" t="s">
        <v>1813</v>
      </c>
      <c r="B20" s="2228"/>
      <c r="C20" s="2228"/>
      <c r="D20" s="2228"/>
      <c r="E20" s="2229"/>
      <c r="F20" s="789" t="s">
        <v>933</v>
      </c>
      <c r="G20" s="782"/>
      <c r="H20" s="782"/>
      <c r="I20" s="782"/>
      <c r="J20" s="765"/>
      <c r="K20" s="795"/>
    </row>
    <row r="21" spans="1:11" ht="13.5" thickBot="1" x14ac:dyDescent="0.25">
      <c r="A21" s="2233" t="s">
        <v>637</v>
      </c>
      <c r="B21" s="2233"/>
      <c r="C21" s="2233"/>
      <c r="D21" s="2233"/>
      <c r="E21" s="2233"/>
      <c r="F21" s="1759"/>
      <c r="G21" s="792"/>
      <c r="H21" s="796"/>
      <c r="I21" s="796"/>
      <c r="J21" s="1760">
        <f>SUM(J18:J20)</f>
        <v>0</v>
      </c>
      <c r="K21" s="793"/>
    </row>
    <row r="22" spans="1:11" ht="13.5" thickTop="1" x14ac:dyDescent="0.2">
      <c r="A22" s="2213" t="s">
        <v>1814</v>
      </c>
      <c r="B22" s="2213"/>
      <c r="C22" s="2213"/>
      <c r="D22" s="2213"/>
      <c r="E22" s="2241"/>
      <c r="F22" s="789" t="s">
        <v>861</v>
      </c>
      <c r="G22" s="782"/>
      <c r="H22" s="764"/>
      <c r="I22" s="764"/>
      <c r="J22" s="797"/>
      <c r="K22" s="765"/>
    </row>
    <row r="23" spans="1:11" ht="13.5" thickBot="1" x14ac:dyDescent="0.25">
      <c r="A23" s="2234" t="s">
        <v>905</v>
      </c>
      <c r="B23" s="2233"/>
      <c r="C23" s="2233"/>
      <c r="D23" s="2233"/>
      <c r="E23" s="2233"/>
      <c r="F23" s="1761"/>
      <c r="G23" s="1758">
        <f>SUM(G14:G16,G21,G22)</f>
        <v>0</v>
      </c>
      <c r="H23" s="1758">
        <f>SUM(H14:H16,H21,H22)</f>
        <v>32499</v>
      </c>
      <c r="I23" s="1758">
        <f>SUM(I14:I16,I21,I22)</f>
        <v>0</v>
      </c>
      <c r="J23" s="1758">
        <f>SUM(J14:J16,J21,J22)</f>
        <v>32312</v>
      </c>
      <c r="K23" s="1758">
        <f>SUM(K14:K16,K21,K22)</f>
        <v>11309</v>
      </c>
    </row>
    <row r="24" spans="1:11" ht="14.25" thickTop="1" thickBot="1" x14ac:dyDescent="0.25">
      <c r="A24" s="2234" t="s">
        <v>1962</v>
      </c>
      <c r="B24" s="2233"/>
      <c r="C24" s="2233"/>
      <c r="D24" s="2233"/>
      <c r="E24" s="2233"/>
      <c r="F24" s="1762"/>
      <c r="G24" s="1763">
        <f>SUM(G3,G12)-G23</f>
        <v>0</v>
      </c>
      <c r="H24" s="1763">
        <f>SUM(H3,H12)-H23</f>
        <v>0</v>
      </c>
      <c r="I24" s="1763">
        <f>SUM(I3,I12)-I23</f>
        <v>0</v>
      </c>
      <c r="J24" s="1763">
        <f>SUM(J3,J12)-J23</f>
        <v>0</v>
      </c>
      <c r="K24" s="1763">
        <f>SUM(K3,K12)-K23</f>
        <v>8407</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8407</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2063</v>
      </c>
      <c r="E30" s="808" t="s">
        <v>767</v>
      </c>
      <c r="F30" s="202"/>
      <c r="G30" s="805"/>
    </row>
    <row r="31" spans="1:11" x14ac:dyDescent="0.2">
      <c r="A31" s="809"/>
      <c r="D31" s="237"/>
      <c r="E31" s="810" t="s">
        <v>768</v>
      </c>
      <c r="F31" s="811" t="s">
        <v>538</v>
      </c>
      <c r="G31" s="764"/>
      <c r="H31" s="2243"/>
      <c r="I31" s="2244"/>
      <c r="J31" s="2244"/>
      <c r="K31" s="2244"/>
    </row>
    <row r="32" spans="1:11" x14ac:dyDescent="0.2">
      <c r="A32" s="809"/>
      <c r="B32" s="237"/>
      <c r="C32" s="237"/>
      <c r="D32" s="237"/>
      <c r="E32" s="805"/>
      <c r="F32" s="811" t="s">
        <v>539</v>
      </c>
      <c r="G32" s="764"/>
      <c r="H32" s="2245"/>
      <c r="I32" s="2244"/>
      <c r="J32" s="2244"/>
      <c r="K32" s="2244"/>
    </row>
    <row r="33" spans="1:11" ht="1.5" customHeight="1" x14ac:dyDescent="0.2">
      <c r="A33" s="812" t="s">
        <v>1168</v>
      </c>
      <c r="B33" s="364"/>
      <c r="C33" s="364"/>
      <c r="D33" s="364"/>
      <c r="E33" s="364"/>
      <c r="F33" s="364"/>
      <c r="G33" s="813"/>
      <c r="H33" s="2245"/>
      <c r="I33" s="2244"/>
      <c r="J33" s="2244"/>
      <c r="K33" s="2244"/>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3" t="s">
        <v>540</v>
      </c>
      <c r="B41" s="2214"/>
      <c r="C41" s="2214"/>
      <c r="D41" s="2214"/>
      <c r="E41" s="2214"/>
      <c r="F41" s="2215"/>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8" sqref="D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1907</v>
      </c>
      <c r="B1" s="2253"/>
      <c r="C1" s="2254"/>
      <c r="D1" s="826"/>
      <c r="E1" s="827"/>
      <c r="F1" s="827"/>
      <c r="G1" s="828"/>
      <c r="H1" s="829"/>
      <c r="I1" s="830"/>
      <c r="J1" s="2250"/>
      <c r="K1" s="2251"/>
      <c r="L1" s="2251"/>
    </row>
    <row r="2" spans="1:14" ht="69.75" customHeight="1" x14ac:dyDescent="0.2">
      <c r="A2" s="831" t="s">
        <v>1677</v>
      </c>
      <c r="B2" s="832" t="s">
        <v>377</v>
      </c>
      <c r="C2" s="833" t="s">
        <v>1963</v>
      </c>
      <c r="D2" s="833" t="s">
        <v>1964</v>
      </c>
      <c r="E2" s="833" t="s">
        <v>1965</v>
      </c>
      <c r="F2" s="833" t="s">
        <v>1966</v>
      </c>
      <c r="G2" s="833" t="s">
        <v>604</v>
      </c>
      <c r="H2" s="833" t="s">
        <v>1967</v>
      </c>
      <c r="I2" s="833" t="s">
        <v>1968</v>
      </c>
      <c r="J2" s="833" t="s">
        <v>1969</v>
      </c>
      <c r="K2" s="833" t="s">
        <v>1970</v>
      </c>
      <c r="L2" s="833" t="s">
        <v>1971</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212469</v>
      </c>
      <c r="D5" s="841"/>
      <c r="E5" s="841"/>
      <c r="F5" s="1760">
        <f>(C5+D5)-E5</f>
        <v>212469</v>
      </c>
      <c r="G5" s="837"/>
      <c r="H5" s="842"/>
      <c r="I5" s="842"/>
      <c r="J5" s="842"/>
      <c r="K5" s="793"/>
      <c r="L5" s="1769">
        <f>F5-K5</f>
        <v>212469</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20616544</v>
      </c>
      <c r="D8" s="844">
        <v>23391</v>
      </c>
      <c r="E8" s="844"/>
      <c r="F8" s="1760">
        <f>(C8+D8)-E8</f>
        <v>20639935</v>
      </c>
      <c r="G8" s="843">
        <v>50</v>
      </c>
      <c r="H8" s="765">
        <v>6969904</v>
      </c>
      <c r="I8" s="765">
        <v>389647</v>
      </c>
      <c r="J8" s="765"/>
      <c r="K8" s="1769">
        <f>(H8+I8)-J8</f>
        <v>7359551</v>
      </c>
      <c r="L8" s="1769">
        <f>F8-K8</f>
        <v>13280384</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1017757</v>
      </c>
      <c r="D10" s="846">
        <v>4511</v>
      </c>
      <c r="E10" s="846"/>
      <c r="F10" s="1764">
        <f>(C10+D10)-E10</f>
        <v>1022268</v>
      </c>
      <c r="G10" s="843">
        <v>20</v>
      </c>
      <c r="H10" s="847">
        <v>365927</v>
      </c>
      <c r="I10" s="847">
        <v>49980</v>
      </c>
      <c r="J10" s="847"/>
      <c r="K10" s="1769">
        <f>(H10+I10)-J10</f>
        <v>415907</v>
      </c>
      <c r="L10" s="1769">
        <f>F10-K10</f>
        <v>606361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938427</v>
      </c>
      <c r="D12" s="844">
        <v>255793</v>
      </c>
      <c r="E12" s="844"/>
      <c r="F12" s="1760">
        <f>(C12+D12)-E12</f>
        <v>1194220</v>
      </c>
      <c r="G12" s="843">
        <v>10</v>
      </c>
      <c r="H12" s="765">
        <v>426722</v>
      </c>
      <c r="I12" s="765">
        <v>106061</v>
      </c>
      <c r="J12" s="765"/>
      <c r="K12" s="1769">
        <f>(H12+I12)-J12</f>
        <v>532783</v>
      </c>
      <c r="L12" s="1769">
        <f>F12-K12</f>
        <v>661437</v>
      </c>
    </row>
    <row r="13" spans="1:14" ht="14.25" thickTop="1" thickBot="1" x14ac:dyDescent="0.25">
      <c r="A13" s="848" t="s">
        <v>1121</v>
      </c>
      <c r="B13" s="840">
        <v>252</v>
      </c>
      <c r="C13" s="844">
        <v>1002437</v>
      </c>
      <c r="D13" s="844">
        <v>152376</v>
      </c>
      <c r="E13" s="844">
        <v>55953</v>
      </c>
      <c r="F13" s="1760">
        <f>(C13+D13)-E13</f>
        <v>1098860</v>
      </c>
      <c r="G13" s="843">
        <v>5</v>
      </c>
      <c r="H13" s="765">
        <v>946405</v>
      </c>
      <c r="I13" s="765">
        <v>78156</v>
      </c>
      <c r="J13" s="765">
        <v>55953</v>
      </c>
      <c r="K13" s="1769">
        <f>(H13+I13)-J13</f>
        <v>968608</v>
      </c>
      <c r="L13" s="1769">
        <f>F13-K13</f>
        <v>130252</v>
      </c>
    </row>
    <row r="14" spans="1:14" ht="14.25" thickTop="1" thickBot="1" x14ac:dyDescent="0.25">
      <c r="A14" s="848" t="s">
        <v>1122</v>
      </c>
      <c r="B14" s="840">
        <v>253</v>
      </c>
      <c r="C14" s="765">
        <v>12482</v>
      </c>
      <c r="D14" s="765">
        <v>2936</v>
      </c>
      <c r="E14" s="765"/>
      <c r="F14" s="1760">
        <f>(C14+D14)-E14</f>
        <v>15418</v>
      </c>
      <c r="G14" s="843">
        <v>3</v>
      </c>
      <c r="H14" s="765">
        <v>8970</v>
      </c>
      <c r="I14" s="765">
        <v>3025</v>
      </c>
      <c r="J14" s="765"/>
      <c r="K14" s="1769">
        <f>(H14+I14)-J14</f>
        <v>11995</v>
      </c>
      <c r="L14" s="1769">
        <f>F14-K14</f>
        <v>3423</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23800116</v>
      </c>
      <c r="D16" s="1760">
        <f>SUM(D3,D5:D6,D8:D10,D12:D15)</f>
        <v>439007</v>
      </c>
      <c r="E16" s="1760">
        <f>SUM(E3,E5:E6,E8:E10,E12:E15)</f>
        <v>55953</v>
      </c>
      <c r="F16" s="1760">
        <f>SUM(F3,F5:F6,F8:F10,F12:F15)</f>
        <v>24183170</v>
      </c>
      <c r="G16" s="843"/>
      <c r="H16" s="1760">
        <f>SUM(H3,H6,H8:H10,H12:H14,)</f>
        <v>8717928</v>
      </c>
      <c r="I16" s="1760">
        <f>SUM(I3,I6,I8:I10,I12:I14,)</f>
        <v>626869</v>
      </c>
      <c r="J16" s="1760">
        <f>SUM(J3,J6,J8:J10,J12:J14,)</f>
        <v>55953</v>
      </c>
      <c r="K16" s="1760">
        <f>(H16+I16)-J16</f>
        <v>9288844</v>
      </c>
      <c r="L16" s="1760">
        <f>F16-K16</f>
        <v>14894326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626869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O170" sqref="O17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476</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4"/>
      <c r="B5" s="2265"/>
      <c r="C5" s="2265"/>
      <c r="D5" s="2265"/>
      <c r="E5" s="2265"/>
      <c r="F5" s="2265"/>
    </row>
    <row r="6" spans="1:7" ht="13.5" customHeight="1" thickBot="1" x14ac:dyDescent="0.25">
      <c r="A6" s="2255" t="s">
        <v>1103</v>
      </c>
      <c r="B6" s="2256"/>
      <c r="C6" s="2256"/>
      <c r="D6" s="2256"/>
      <c r="E6" s="2256"/>
      <c r="F6" s="225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6055791</v>
      </c>
      <c r="G8" s="865"/>
    </row>
    <row r="9" spans="1:7" x14ac:dyDescent="0.2">
      <c r="A9" s="869" t="s">
        <v>459</v>
      </c>
      <c r="B9" s="870" t="s">
        <v>1875</v>
      </c>
      <c r="C9" s="871"/>
      <c r="D9" s="869" t="s">
        <v>500</v>
      </c>
      <c r="E9" s="868"/>
      <c r="F9" s="1909">
        <f>'Expenditures 15-22'!K151</f>
        <v>1079449</v>
      </c>
      <c r="G9" s="872"/>
    </row>
    <row r="10" spans="1:7" x14ac:dyDescent="0.2">
      <c r="A10" s="869" t="s">
        <v>498</v>
      </c>
      <c r="B10" s="870" t="s">
        <v>1876</v>
      </c>
      <c r="C10" s="871"/>
      <c r="D10" s="869" t="s">
        <v>500</v>
      </c>
      <c r="E10" s="868"/>
      <c r="F10" s="1909">
        <f>'Expenditures 15-22'!K174</f>
        <v>753214</v>
      </c>
      <c r="G10" s="872"/>
    </row>
    <row r="11" spans="1:7" x14ac:dyDescent="0.2">
      <c r="A11" s="869" t="s">
        <v>460</v>
      </c>
      <c r="B11" s="870" t="s">
        <v>1877</v>
      </c>
      <c r="C11" s="871"/>
      <c r="D11" s="869" t="s">
        <v>500</v>
      </c>
      <c r="E11" s="868"/>
      <c r="F11" s="1909">
        <f>'Expenditures 15-22'!K210</f>
        <v>799895</v>
      </c>
      <c r="G11" s="872"/>
    </row>
    <row r="12" spans="1:7" x14ac:dyDescent="0.2">
      <c r="A12" s="869" t="s">
        <v>461</v>
      </c>
      <c r="B12" s="870" t="s">
        <v>1878</v>
      </c>
      <c r="C12" s="871"/>
      <c r="D12" s="869" t="s">
        <v>500</v>
      </c>
      <c r="E12" s="868"/>
      <c r="F12" s="1909">
        <f>'Expenditures 15-22'!K295</f>
        <v>339127</v>
      </c>
      <c r="G12" s="872"/>
    </row>
    <row r="13" spans="1:7" x14ac:dyDescent="0.2">
      <c r="A13" s="869" t="s">
        <v>106</v>
      </c>
      <c r="B13" s="870" t="s">
        <v>1879</v>
      </c>
      <c r="C13" s="871"/>
      <c r="D13" s="869" t="s">
        <v>500</v>
      </c>
      <c r="E13" s="868"/>
      <c r="F13" s="1909">
        <f>'Expenditures 15-22'!K342</f>
        <v>518439</v>
      </c>
      <c r="G13" s="873"/>
    </row>
    <row r="14" spans="1:7" ht="12" customHeight="1" thickBot="1" x14ac:dyDescent="0.25">
      <c r="A14" s="1770"/>
      <c r="B14" s="1771"/>
      <c r="C14" s="1772"/>
      <c r="D14" s="1773" t="s">
        <v>500</v>
      </c>
      <c r="E14" s="1774" t="s">
        <v>957</v>
      </c>
      <c r="F14" s="1775">
        <f>SUM(F8:F13)</f>
        <v>9545915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31059</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12970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1996</v>
      </c>
      <c r="C30" s="880">
        <f>'Revenues 9-14'!B150</f>
        <v>3499</v>
      </c>
      <c r="D30" s="881" t="str">
        <f>'Revenues 9-14'!A150</f>
        <v>Adult Ed - Other (Describe &amp; Itemize)</v>
      </c>
      <c r="E30" s="868"/>
      <c r="F30" s="1914">
        <f>('Revenues 9-14'!D150+'Revenues 9-14'!F150)</f>
        <v>0</v>
      </c>
      <c r="G30" s="865"/>
    </row>
    <row r="31" spans="1:7" x14ac:dyDescent="0.2">
      <c r="A31" s="869" t="s">
        <v>1096</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1999</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59290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26006</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9475</v>
      </c>
      <c r="G52" s="865"/>
    </row>
    <row r="53" spans="1:7" x14ac:dyDescent="0.2">
      <c r="A53" s="869" t="s">
        <v>458</v>
      </c>
      <c r="B53" s="869" t="s">
        <v>1474</v>
      </c>
      <c r="C53" s="889">
        <f>'Expenditures 15-22'!B102</f>
        <v>4000</v>
      </c>
      <c r="D53" s="888" t="str">
        <f>'Expenditures 15-22'!A102</f>
        <v>Total Payments to Other Govt Units</v>
      </c>
      <c r="E53" s="868"/>
      <c r="F53" s="1913">
        <f>'Expenditures 15-22'!K102</f>
        <v>250058</v>
      </c>
      <c r="G53" s="865"/>
    </row>
    <row r="54" spans="1:7" x14ac:dyDescent="0.2">
      <c r="A54" s="869" t="s">
        <v>458</v>
      </c>
      <c r="B54" s="869" t="s">
        <v>1475</v>
      </c>
      <c r="C54" s="889" t="s">
        <v>981</v>
      </c>
      <c r="D54" s="885" t="s">
        <v>1094</v>
      </c>
      <c r="E54" s="868"/>
      <c r="F54" s="1913">
        <f>'Expenditures 15-22'!G114</f>
        <v>99453</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913">
        <f>'Expenditures 15-22'!K139</f>
        <v>0</v>
      </c>
      <c r="G57" s="865"/>
    </row>
    <row r="58" spans="1:7" x14ac:dyDescent="0.2">
      <c r="A58" s="869" t="s">
        <v>459</v>
      </c>
      <c r="B58" s="869" t="s">
        <v>1881</v>
      </c>
      <c r="C58" s="886" t="s">
        <v>981</v>
      </c>
      <c r="D58" s="885" t="s">
        <v>1094</v>
      </c>
      <c r="E58" s="868"/>
      <c r="F58" s="1915">
        <f>'Expenditures 15-22'!G151</f>
        <v>161821</v>
      </c>
      <c r="G58" s="865"/>
    </row>
    <row r="59" spans="1:7" x14ac:dyDescent="0.2">
      <c r="A59" s="893" t="s">
        <v>459</v>
      </c>
      <c r="B59" s="856" t="s">
        <v>1882</v>
      </c>
      <c r="C59" s="894" t="s">
        <v>981</v>
      </c>
      <c r="D59" s="856" t="s">
        <v>290</v>
      </c>
      <c r="F59" s="1916">
        <f>'Expenditures 15-22'!I151</f>
        <v>0</v>
      </c>
      <c r="G59" s="865"/>
    </row>
    <row r="60" spans="1:7" x14ac:dyDescent="0.2">
      <c r="A60" s="893" t="s">
        <v>498</v>
      </c>
      <c r="B60" s="856" t="s">
        <v>1883</v>
      </c>
      <c r="C60" s="894">
        <v>4000</v>
      </c>
      <c r="D60" s="856" t="s">
        <v>311</v>
      </c>
      <c r="F60" s="1914">
        <f>'Expenditures 15-22'!K160</f>
        <v>0</v>
      </c>
      <c r="G60" s="865"/>
    </row>
    <row r="61" spans="1:7" x14ac:dyDescent="0.2">
      <c r="A61" s="895" t="s">
        <v>498</v>
      </c>
      <c r="B61" s="895" t="s">
        <v>1884</v>
      </c>
      <c r="C61" s="896" t="str">
        <f>'Expenditures 15-22'!B170</f>
        <v>5300</v>
      </c>
      <c r="D61" s="897" t="s">
        <v>310</v>
      </c>
      <c r="E61" s="879"/>
      <c r="F61" s="1913">
        <f>'Expenditures 15-22'!K170</f>
        <v>585904</v>
      </c>
      <c r="G61" s="865"/>
    </row>
    <row r="62" spans="1:7" x14ac:dyDescent="0.2">
      <c r="A62" s="869" t="s">
        <v>460</v>
      </c>
      <c r="B62" s="869" t="s">
        <v>1885</v>
      </c>
      <c r="C62" s="886">
        <f>'Expenditures 15-22'!B185</f>
        <v>3000</v>
      </c>
      <c r="D62" s="876" t="s">
        <v>448</v>
      </c>
      <c r="E62" s="868"/>
      <c r="F62" s="1913">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1887</v>
      </c>
      <c r="C64" s="896" t="str">
        <f>'Expenditures 15-22'!B206</f>
        <v>5300</v>
      </c>
      <c r="D64" s="892" t="s">
        <v>310</v>
      </c>
      <c r="E64" s="868"/>
      <c r="F64" s="1913">
        <f>'Expenditures 15-22'!K206</f>
        <v>53298</v>
      </c>
      <c r="G64" s="865"/>
    </row>
    <row r="65" spans="1:8" x14ac:dyDescent="0.2">
      <c r="A65" s="869" t="s">
        <v>460</v>
      </c>
      <c r="B65" s="869" t="s">
        <v>1888</v>
      </c>
      <c r="C65" s="886" t="s">
        <v>981</v>
      </c>
      <c r="D65" s="885" t="s">
        <v>1094</v>
      </c>
      <c r="E65" s="868"/>
      <c r="F65" s="1913">
        <f>'Expenditures 15-22'!G210</f>
        <v>155312</v>
      </c>
      <c r="G65" s="865"/>
    </row>
    <row r="66" spans="1:8" x14ac:dyDescent="0.2">
      <c r="A66" s="869" t="s">
        <v>460</v>
      </c>
      <c r="B66" s="869" t="s">
        <v>1889</v>
      </c>
      <c r="C66" s="886" t="s">
        <v>981</v>
      </c>
      <c r="D66" s="885" t="s">
        <v>290</v>
      </c>
      <c r="E66" s="868"/>
      <c r="F66" s="1913">
        <f>'Expenditures 15-22'!I210</f>
        <v>0</v>
      </c>
      <c r="G66" s="865"/>
    </row>
    <row r="67" spans="1:8" x14ac:dyDescent="0.2">
      <c r="A67" s="869" t="s">
        <v>461</v>
      </c>
      <c r="B67" s="869" t="s">
        <v>1890</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1857</v>
      </c>
      <c r="G68" s="865"/>
    </row>
    <row r="69" spans="1:8" x14ac:dyDescent="0.2">
      <c r="A69" s="869" t="s">
        <v>461</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1892</v>
      </c>
      <c r="C70" s="886">
        <f>'Expenditures 15-22'!B221</f>
        <v>1300</v>
      </c>
      <c r="D70" s="887" t="str">
        <f>'Expenditures 15-22'!A221</f>
        <v>Adult/Continuing Education Programs</v>
      </c>
      <c r="E70" s="868"/>
      <c r="F70" s="1913">
        <f>'Expenditures 15-22'!K221</f>
        <v>0</v>
      </c>
      <c r="G70" s="865"/>
    </row>
    <row r="71" spans="1:8" x14ac:dyDescent="0.2">
      <c r="A71" s="869" t="s">
        <v>461</v>
      </c>
      <c r="B71" s="869" t="s">
        <v>1893</v>
      </c>
      <c r="C71" s="886">
        <f>'Expenditures 15-22'!B224</f>
        <v>1600</v>
      </c>
      <c r="D71" s="887" t="str">
        <f>'Expenditures 15-22'!A224</f>
        <v>Summer School Programs</v>
      </c>
      <c r="E71" s="868"/>
      <c r="F71" s="1913">
        <f>'Expenditures 15-22'!K224</f>
        <v>0</v>
      </c>
      <c r="G71" s="865"/>
    </row>
    <row r="72" spans="1:8" x14ac:dyDescent="0.2">
      <c r="A72" s="869" t="s">
        <v>461</v>
      </c>
      <c r="B72" s="869" t="s">
        <v>1894</v>
      </c>
      <c r="C72" s="886">
        <f>'Expenditures 15-22'!B280</f>
        <v>3000</v>
      </c>
      <c r="D72" s="876" t="s">
        <v>448</v>
      </c>
      <c r="E72" s="868"/>
      <c r="F72" s="1913">
        <f>'Expenditures 15-22'!K280</f>
        <v>827</v>
      </c>
      <c r="G72" s="865"/>
    </row>
    <row r="73" spans="1:8" x14ac:dyDescent="0.2">
      <c r="A73" s="869" t="s">
        <v>461</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1896</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957</v>
      </c>
      <c r="F76" s="1778">
        <f>SUM(F18:F74)</f>
        <v>1447330</v>
      </c>
      <c r="G76" s="865"/>
    </row>
    <row r="77" spans="1:8" s="893" customFormat="1" ht="12" customHeight="1" thickTop="1" thickBot="1" x14ac:dyDescent="0.25">
      <c r="A77" s="1779"/>
      <c r="B77" s="1776"/>
      <c r="C77" s="1772"/>
      <c r="D77" s="1777" t="s">
        <v>1898</v>
      </c>
      <c r="E77" s="1774"/>
      <c r="F77" s="1780">
        <f>(F14-F76)</f>
        <v>8098585</v>
      </c>
      <c r="G77" s="869"/>
    </row>
    <row r="78" spans="1:8" s="893" customFormat="1" ht="12" customHeight="1" thickTop="1" x14ac:dyDescent="0.2">
      <c r="A78" s="1781"/>
      <c r="B78" s="1776"/>
      <c r="C78" s="1772"/>
      <c r="D78" s="1777" t="s">
        <v>2059</v>
      </c>
      <c r="E78" s="1774"/>
      <c r="F78" s="898">
        <v>842</v>
      </c>
      <c r="G78" s="899"/>
      <c r="H78" s="869"/>
    </row>
    <row r="79" spans="1:8" s="893" customFormat="1" ht="12" customHeight="1" thickBot="1" x14ac:dyDescent="0.25">
      <c r="A79" s="1782"/>
      <c r="B79" s="1776"/>
      <c r="C79" s="1772"/>
      <c r="D79" s="1777" t="s">
        <v>1899</v>
      </c>
      <c r="E79" s="1774" t="s">
        <v>957</v>
      </c>
      <c r="F79" s="1783">
        <f>IF(F78&gt;0,F77/F78," Complete Line 78")</f>
        <v>9618.2719714964369</v>
      </c>
      <c r="G79" s="869"/>
    </row>
    <row r="80" spans="1:8" s="893" customFormat="1" ht="8.25" customHeight="1" thickTop="1" x14ac:dyDescent="0.2">
      <c r="A80" s="900"/>
      <c r="B80" s="869"/>
      <c r="C80" s="871"/>
      <c r="D80" s="901"/>
      <c r="E80" s="868"/>
      <c r="F80" s="902"/>
      <c r="G80" s="869"/>
    </row>
    <row r="81" spans="1:7" s="893" customFormat="1" ht="12" thickBot="1" x14ac:dyDescent="0.25">
      <c r="A81" s="2255" t="s">
        <v>1104</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123798</v>
      </c>
      <c r="G94" s="912"/>
    </row>
    <row r="95" spans="1:7" x14ac:dyDescent="0.2">
      <c r="A95" s="908" t="s">
        <v>140</v>
      </c>
      <c r="B95" s="908" t="s">
        <v>175</v>
      </c>
      <c r="C95" s="910">
        <v>1700</v>
      </c>
      <c r="D95" s="918" t="str">
        <f>'Revenues 9-14'!A82</f>
        <v>Total District/School Activity Income</v>
      </c>
      <c r="E95" s="906"/>
      <c r="F95" s="1789">
        <f>SUM('Revenues 9-14'!C82,'Revenues 9-14'!D82)</f>
        <v>59783</v>
      </c>
      <c r="G95" s="912"/>
    </row>
    <row r="96" spans="1:7" x14ac:dyDescent="0.2">
      <c r="A96" s="908" t="s">
        <v>458</v>
      </c>
      <c r="B96" s="908" t="s">
        <v>176</v>
      </c>
      <c r="C96" s="910">
        <f>'Revenues 9-14'!B84</f>
        <v>1811</v>
      </c>
      <c r="D96" s="911" t="str">
        <f>'Revenues 9-14'!A84</f>
        <v>Rentals - Regular Textbooks</v>
      </c>
      <c r="E96" s="906"/>
      <c r="F96" s="1789">
        <f>'Revenues 9-14'!C84</f>
        <v>18680</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270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45957</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4470</v>
      </c>
      <c r="G104" s="912"/>
    </row>
    <row r="105" spans="1:7" x14ac:dyDescent="0.2">
      <c r="A105" s="908" t="s">
        <v>502</v>
      </c>
      <c r="B105" s="908" t="s">
        <v>2000</v>
      </c>
      <c r="C105" s="913">
        <v>3100</v>
      </c>
      <c r="D105" s="919" t="str">
        <f>'Revenues 9-14'!A132</f>
        <v>Total Special Education</v>
      </c>
      <c r="E105" s="906"/>
      <c r="F105" s="1789">
        <f>SUM('Revenues 9-14'!C132:D132,'Revenues 9-14'!F132)</f>
        <v>31322</v>
      </c>
      <c r="G105" s="912"/>
    </row>
    <row r="106" spans="1:7" x14ac:dyDescent="0.2">
      <c r="A106" s="908" t="s">
        <v>672</v>
      </c>
      <c r="B106" s="908" t="s">
        <v>2001</v>
      </c>
      <c r="C106" s="920">
        <v>3200</v>
      </c>
      <c r="D106" s="911" t="str">
        <f>'Revenues 9-14'!A141</f>
        <v>Total Career and Technical Education</v>
      </c>
      <c r="E106" s="906"/>
      <c r="F106" s="1789">
        <f>SUM('Revenues 9-14'!C141,'Revenues 9-14'!D141,'Revenues 9-14'!G141)</f>
        <v>37597</v>
      </c>
      <c r="G106" s="912"/>
    </row>
    <row r="107" spans="1:7" x14ac:dyDescent="0.2">
      <c r="A107" s="921" t="s">
        <v>663</v>
      </c>
      <c r="B107" s="908" t="s">
        <v>2002</v>
      </c>
      <c r="C107" s="920">
        <v>3300</v>
      </c>
      <c r="D107" s="911" t="str">
        <f>'Revenues 9-14'!A145</f>
        <v>Total Bilingual Ed</v>
      </c>
      <c r="E107" s="906"/>
      <c r="F107" s="1789">
        <f>SUM('Revenues 9-14'!C145,'Revenues 9-14'!G145)</f>
        <v>0</v>
      </c>
      <c r="G107" s="912"/>
    </row>
    <row r="108" spans="1:7" x14ac:dyDescent="0.2">
      <c r="A108" s="908" t="s">
        <v>458</v>
      </c>
      <c r="B108" s="908" t="s">
        <v>2003</v>
      </c>
      <c r="C108" s="920">
        <f>'Revenues 9-14'!B146</f>
        <v>3360</v>
      </c>
      <c r="D108" s="911" t="str">
        <f>'Revenues 9-14'!A146</f>
        <v>State Free Lunch &amp; Breakfast</v>
      </c>
      <c r="E108" s="906"/>
      <c r="F108" s="1789">
        <f>'Revenues 9-14'!C146</f>
        <v>5973</v>
      </c>
      <c r="G108" s="912"/>
    </row>
    <row r="109" spans="1:7" x14ac:dyDescent="0.2">
      <c r="A109" s="908" t="s">
        <v>672</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11024</v>
      </c>
      <c r="G110" s="912"/>
    </row>
    <row r="111" spans="1:7" x14ac:dyDescent="0.2">
      <c r="A111" s="908" t="s">
        <v>667</v>
      </c>
      <c r="B111" s="908" t="s">
        <v>2006</v>
      </c>
      <c r="C111" s="922">
        <v>3500</v>
      </c>
      <c r="D111" s="911" t="str">
        <f>'Revenues 9-14'!A155</f>
        <v>Total Transportation</v>
      </c>
      <c r="E111" s="906"/>
      <c r="F111" s="1789">
        <f>SUM('Revenues 9-14'!C155,'Revenues 9-14'!D155,'Revenues 9-14'!F155,'Revenues 9-14'!G155)</f>
        <v>313544</v>
      </c>
      <c r="G111" s="912"/>
    </row>
    <row r="112" spans="1:7" x14ac:dyDescent="0.2">
      <c r="A112" s="908" t="s">
        <v>458</v>
      </c>
      <c r="B112" s="908" t="s">
        <v>2007</v>
      </c>
      <c r="C112" s="920">
        <f>'Revenues 9-14'!B156</f>
        <v>3610</v>
      </c>
      <c r="D112" s="911" t="str">
        <f>'Revenues 9-14'!A156</f>
        <v>Learning Improvement - Change Grants</v>
      </c>
      <c r="E112" s="906"/>
      <c r="F112" s="1789">
        <f>'Revenues 9-14'!C156</f>
        <v>0</v>
      </c>
      <c r="G112" s="912"/>
    </row>
    <row r="113" spans="1:7" x14ac:dyDescent="0.2">
      <c r="A113" s="908" t="s">
        <v>667</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2013</v>
      </c>
      <c r="C118" s="924">
        <f>'Revenues 9-14'!B163</f>
        <v>3780</v>
      </c>
      <c r="D118" s="925" t="str">
        <f>'Revenues 9-14'!A163</f>
        <v>Technology - Technology for Success</v>
      </c>
      <c r="E118" s="906"/>
      <c r="F118" s="1907">
        <f>SUM('Revenues 9-14'!C163:G163)</f>
        <v>0</v>
      </c>
      <c r="G118" s="912"/>
    </row>
    <row r="119" spans="1:7" x14ac:dyDescent="0.2">
      <c r="A119" s="923" t="s">
        <v>503</v>
      </c>
      <c r="B119" s="923" t="s">
        <v>2014</v>
      </c>
      <c r="C119" s="924">
        <f>'Revenues 9-14'!B164</f>
        <v>3815</v>
      </c>
      <c r="D119" s="925" t="str">
        <f>'Revenues 9-14'!A164</f>
        <v>State Charter Schools</v>
      </c>
      <c r="E119" s="906"/>
      <c r="F119" s="1907">
        <f>SUM('Revenues 9-14'!C164,'Revenues 9-14'!F164)</f>
        <v>0</v>
      </c>
      <c r="G119" s="912"/>
    </row>
    <row r="120" spans="1:7" x14ac:dyDescent="0.2">
      <c r="A120" s="927" t="s">
        <v>459</v>
      </c>
      <c r="B120" s="927" t="s">
        <v>2015</v>
      </c>
      <c r="C120" s="928">
        <f>'Revenues 9-14'!B167</f>
        <v>3925</v>
      </c>
      <c r="D120" s="929" t="str">
        <f>'Revenues 9-14'!A167</f>
        <v>School Infrastructure - Maintenance Projects</v>
      </c>
      <c r="E120" s="906"/>
      <c r="F120" s="1789">
        <f>'Revenues 9-14'!D167</f>
        <v>0</v>
      </c>
      <c r="G120" s="930"/>
    </row>
    <row r="121" spans="1:7" x14ac:dyDescent="0.2">
      <c r="A121" s="927" t="s">
        <v>499</v>
      </c>
      <c r="B121" s="927" t="s">
        <v>2016</v>
      </c>
      <c r="C121" s="928">
        <f>'Revenues 9-14'!B168</f>
        <v>3999</v>
      </c>
      <c r="D121" s="929" t="s">
        <v>542</v>
      </c>
      <c r="E121" s="931"/>
      <c r="F121" s="1789">
        <f>SUM('Revenues 9-14'!C168:G168,'Revenues 9-14'!J168)</f>
        <v>2133</v>
      </c>
      <c r="G121" s="930"/>
    </row>
    <row r="122" spans="1:7" x14ac:dyDescent="0.2">
      <c r="A122" s="927" t="s">
        <v>458</v>
      </c>
      <c r="B122" s="927" t="s">
        <v>2017</v>
      </c>
      <c r="C122" s="932">
        <f>'Revenues 9-14'!B177</f>
        <v>4045</v>
      </c>
      <c r="D122" s="929" t="str">
        <f>'Revenues 9-14'!A177 &amp; " (Subtract)"</f>
        <v>Head Start (Subtract)</v>
      </c>
      <c r="E122" s="906"/>
      <c r="F122" s="1789">
        <f>SUM(-'Revenues 9-14'!C177)</f>
        <v>0</v>
      </c>
      <c r="G122" s="930"/>
    </row>
    <row r="123" spans="1:7" x14ac:dyDescent="0.2">
      <c r="A123" s="927" t="s">
        <v>667</v>
      </c>
      <c r="B123" s="927" t="s">
        <v>2018</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2019</v>
      </c>
      <c r="C124" s="932">
        <v>4100</v>
      </c>
      <c r="D124" s="933" t="str">
        <f>'Revenues 9-14'!A188</f>
        <v>Total Title V</v>
      </c>
      <c r="E124" s="906"/>
      <c r="F124" s="1789">
        <f>SUM('Revenues 9-14'!C188,'Revenues 9-14'!D188,'Revenues 9-14'!F188,'Revenues 9-14'!G188)</f>
        <v>0</v>
      </c>
      <c r="G124" s="930"/>
    </row>
    <row r="125" spans="1:7" x14ac:dyDescent="0.2">
      <c r="A125" s="927" t="s">
        <v>663</v>
      </c>
      <c r="B125" s="927" t="s">
        <v>2020</v>
      </c>
      <c r="C125" s="932">
        <v>4200</v>
      </c>
      <c r="D125" s="929" t="str">
        <f>'Revenues 9-14'!A198</f>
        <v>Total Food Service</v>
      </c>
      <c r="E125" s="906"/>
      <c r="F125" s="1789">
        <f>SUM('Revenues 9-14'!C198,'Revenues 9-14'!G198)</f>
        <v>256428</v>
      </c>
      <c r="G125" s="930"/>
    </row>
    <row r="126" spans="1:7" x14ac:dyDescent="0.2">
      <c r="A126" s="927" t="s">
        <v>667</v>
      </c>
      <c r="B126" s="927" t="s">
        <v>2021</v>
      </c>
      <c r="C126" s="932">
        <v>4300</v>
      </c>
      <c r="D126" s="933" t="str">
        <f>'Revenues 9-14'!A204</f>
        <v>Total Title I</v>
      </c>
      <c r="E126" s="906"/>
      <c r="F126" s="1789">
        <f>SUM('Revenues 9-14'!C204,'Revenues 9-14'!D204,'Revenues 9-14'!F204,'Revenues 9-14'!G204)</f>
        <v>210751</v>
      </c>
      <c r="G126" s="930"/>
    </row>
    <row r="127" spans="1:7" x14ac:dyDescent="0.2">
      <c r="A127" s="927" t="s">
        <v>667</v>
      </c>
      <c r="B127" s="927" t="s">
        <v>2022</v>
      </c>
      <c r="C127" s="932">
        <v>4400</v>
      </c>
      <c r="D127" s="933" t="str">
        <f>'Revenues 9-14'!A209</f>
        <v>Total Title IV</v>
      </c>
      <c r="E127" s="906"/>
      <c r="F127" s="1789">
        <f>SUM('Revenues 9-14'!C209,'Revenues 9-14'!D209,'Revenues 9-14'!F209,'Revenues 9-14'!G209)</f>
        <v>23029</v>
      </c>
      <c r="G127" s="930"/>
    </row>
    <row r="128" spans="1:7" x14ac:dyDescent="0.2">
      <c r="A128" s="927" t="s">
        <v>667</v>
      </c>
      <c r="B128" s="927" t="s">
        <v>2023</v>
      </c>
      <c r="C128" s="932">
        <f>'Revenues 9-14'!B213</f>
        <v>4620</v>
      </c>
      <c r="D128" s="933" t="str">
        <f>'Revenues 9-14'!A213</f>
        <v>Fed - Spec Education - IDEA - Flow Through</v>
      </c>
      <c r="E128" s="906"/>
      <c r="F128" s="1789">
        <f>SUM('Revenues 9-14'!C213:D213,'Revenues 9-14'!F213:G213)</f>
        <v>69000</v>
      </c>
      <c r="G128" s="930"/>
    </row>
    <row r="129" spans="1:7" x14ac:dyDescent="0.2">
      <c r="A129" s="927" t="s">
        <v>667</v>
      </c>
      <c r="B129" s="927" t="s">
        <v>2024</v>
      </c>
      <c r="C129" s="932">
        <f>'Revenues 9-14'!B214</f>
        <v>4625</v>
      </c>
      <c r="D129" s="933" t="str">
        <f>'Revenues 9-14'!A214</f>
        <v>Fed - Spec Education - IDEA - Room &amp; Board</v>
      </c>
      <c r="E129" s="906"/>
      <c r="F129" s="1789">
        <f>SUM('Revenues 9-14'!C214,'Revenues 9-14'!D214,'Revenues 9-14'!F214,'Revenues 9-14'!G214)</f>
        <v>5907</v>
      </c>
      <c r="G129" s="930"/>
    </row>
    <row r="130" spans="1:7" x14ac:dyDescent="0.2">
      <c r="A130" s="927" t="s">
        <v>667</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2041</v>
      </c>
      <c r="C157" s="940" t="s">
        <v>840</v>
      </c>
      <c r="D157" s="941" t="s">
        <v>776</v>
      </c>
      <c r="E157" s="942"/>
      <c r="F157" s="1789">
        <f>SUM(F133:F156)</f>
        <v>0</v>
      </c>
      <c r="G157" s="905"/>
    </row>
    <row r="158" spans="1:7" s="867" customFormat="1" x14ac:dyDescent="0.2">
      <c r="A158" s="938" t="s">
        <v>458</v>
      </c>
      <c r="B158" s="939" t="s">
        <v>2042</v>
      </c>
      <c r="C158" s="940" t="s">
        <v>1426</v>
      </c>
      <c r="D158" s="941" t="s">
        <v>1427</v>
      </c>
      <c r="E158" s="942"/>
      <c r="F158" s="1789">
        <f>SUM('Revenues 9-14'!C253)</f>
        <v>0</v>
      </c>
      <c r="G158" s="905"/>
    </row>
    <row r="159" spans="1:7" s="867" customFormat="1" x14ac:dyDescent="0.2">
      <c r="A159" s="938" t="s">
        <v>499</v>
      </c>
      <c r="B159" s="939" t="s">
        <v>2043</v>
      </c>
      <c r="C159" s="940" t="s">
        <v>1465</v>
      </c>
      <c r="D159" s="941" t="s">
        <v>1466</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2048</v>
      </c>
      <c r="C164" s="932">
        <f>'Revenues 9-14'!B259</f>
        <v>4932</v>
      </c>
      <c r="D164" s="933" t="str">
        <f>'Revenues 9-14'!A259</f>
        <v>Title II - Teacher Quality</v>
      </c>
      <c r="E164" s="906"/>
      <c r="F164" s="1907">
        <f>SUM('Revenues 9-14'!C259,'Revenues 9-14'!D259,'Revenues 9-14'!F259,'Revenues 9-14'!G259)</f>
        <v>33257</v>
      </c>
      <c r="G164" s="930"/>
    </row>
    <row r="165" spans="1:7" x14ac:dyDescent="0.2">
      <c r="A165" s="927" t="s">
        <v>667</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2050</v>
      </c>
      <c r="C168" s="932">
        <f>'Revenues 9-14'!B263</f>
        <v>4991</v>
      </c>
      <c r="D168" s="933" t="str">
        <f>'Revenues 9-14'!A263</f>
        <v>Medicaid Matching Funds - Administrative Outreach</v>
      </c>
      <c r="E168" s="906"/>
      <c r="F168" s="1789">
        <f>SUM('Revenues 9-14'!C263:D263,'Revenues 9-14'!F263:G263)</f>
        <v>12684</v>
      </c>
      <c r="G168" s="947">
        <v>6320</v>
      </c>
    </row>
    <row r="169" spans="1:7" x14ac:dyDescent="0.2">
      <c r="A169" s="927" t="s">
        <v>667</v>
      </c>
      <c r="B169" s="927" t="s">
        <v>2051</v>
      </c>
      <c r="C169" s="932">
        <f>'Revenues 9-14'!B264</f>
        <v>4992</v>
      </c>
      <c r="D169" s="933" t="str">
        <f>'Revenues 9-14'!A264</f>
        <v>Medicaid Matching Funds - Fee-for-Service Program</v>
      </c>
      <c r="E169" s="906"/>
      <c r="F169" s="1789">
        <f>SUM('Revenues 9-14'!C264:D264,'Revenues 9-14'!F264:G264)</f>
        <v>67370</v>
      </c>
      <c r="G169" s="947"/>
    </row>
    <row r="170" spans="1:7" x14ac:dyDescent="0.2">
      <c r="A170" s="948" t="s">
        <v>667</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324229</v>
      </c>
      <c r="G171" s="927"/>
    </row>
    <row r="172" spans="1:7" x14ac:dyDescent="0.2">
      <c r="A172" s="1918" t="s">
        <v>663</v>
      </c>
      <c r="B172" s="1919" t="s">
        <v>1918</v>
      </c>
      <c r="C172" s="1920">
        <v>3300</v>
      </c>
      <c r="D172" s="1921" t="s">
        <v>1921</v>
      </c>
      <c r="E172" s="906"/>
      <c r="F172" s="1906">
        <v>173</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957</v>
      </c>
      <c r="F174" s="1788">
        <f>SUM(F84:F132,F157:F172)</f>
        <v>1657379</v>
      </c>
    </row>
    <row r="175" spans="1:7" ht="12" customHeight="1" x14ac:dyDescent="0.2">
      <c r="A175" s="1770"/>
      <c r="B175" s="1784"/>
      <c r="C175" s="1785"/>
      <c r="D175" s="1786" t="s">
        <v>2054</v>
      </c>
      <c r="E175" s="1787"/>
      <c r="F175" s="1789">
        <f>'PCTC-OEPP 27-28'!F77-F174</f>
        <v>6441206</v>
      </c>
    </row>
    <row r="176" spans="1:7" ht="12" customHeight="1" x14ac:dyDescent="0.2">
      <c r="A176" s="1770"/>
      <c r="B176" s="1784"/>
      <c r="C176" s="1785"/>
      <c r="D176" s="1786" t="s">
        <v>1816</v>
      </c>
      <c r="E176" s="1787"/>
      <c r="F176" s="1789">
        <f>'Cap Outlay Deprec 26'!I18</f>
        <v>626869</v>
      </c>
    </row>
    <row r="177" spans="1:7" ht="12" customHeight="1" x14ac:dyDescent="0.2">
      <c r="A177" s="1770"/>
      <c r="B177" s="1784"/>
      <c r="C177" s="1785"/>
      <c r="D177" s="1786" t="s">
        <v>2055</v>
      </c>
      <c r="E177" s="1787"/>
      <c r="F177" s="1789">
        <f>F175+F176</f>
        <v>7068075</v>
      </c>
    </row>
    <row r="178" spans="1:7" ht="12" customHeight="1" x14ac:dyDescent="0.2">
      <c r="A178" s="1770"/>
      <c r="B178" s="1790"/>
      <c r="C178" s="1785"/>
      <c r="D178" s="1786" t="str">
        <f>D78</f>
        <v>9 Month ADA from District Average Daily Attendance/Prior General State Aid Inquiry 2018-2019</v>
      </c>
      <c r="E178" s="1787"/>
      <c r="F178" s="1791">
        <f>'PCTC-OEPP 27-28'!F78</f>
        <v>842</v>
      </c>
      <c r="G178" s="930"/>
    </row>
    <row r="179" spans="1:7" ht="12" customHeight="1" thickBot="1" x14ac:dyDescent="0.25">
      <c r="A179" s="1770"/>
      <c r="B179" s="1790"/>
      <c r="C179" s="1785"/>
      <c r="D179" s="1786" t="s">
        <v>2056</v>
      </c>
      <c r="E179" s="1787" t="s">
        <v>1544</v>
      </c>
      <c r="F179" s="1792">
        <f>F177/F178</f>
        <v>8394.3883610451303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0" zoomScaleNormal="100" workbookViewId="0">
      <selection activeCell="B25" sqref="B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9" t="s">
        <v>1817</v>
      </c>
      <c r="B4" s="2270"/>
      <c r="C4" s="2270"/>
      <c r="D4" s="2270"/>
      <c r="E4" s="2270"/>
      <c r="F4" s="2270"/>
      <c r="G4" s="2271"/>
    </row>
    <row r="5" spans="1:7" x14ac:dyDescent="0.25">
      <c r="A5" s="2272"/>
      <c r="B5" s="2273"/>
      <c r="C5" s="2273"/>
      <c r="D5" s="2273"/>
      <c r="E5" s="2273"/>
      <c r="F5" s="2273"/>
      <c r="G5" s="2274"/>
    </row>
    <row r="6" spans="1:7" ht="18.75" x14ac:dyDescent="0.25">
      <c r="A6" s="1534" t="s">
        <v>1818</v>
      </c>
      <c r="B6" s="1535"/>
      <c r="C6" s="1535"/>
      <c r="D6" s="1535"/>
      <c r="E6" s="1535"/>
      <c r="F6" s="1535"/>
      <c r="G6" s="1536"/>
    </row>
    <row r="7" spans="1:7" ht="30.75" customHeight="1" x14ac:dyDescent="0.25">
      <c r="A7" s="2275" t="s">
        <v>1930</v>
      </c>
      <c r="B7" s="2276"/>
      <c r="C7" s="2276"/>
      <c r="D7" s="2276"/>
      <c r="E7" s="2276"/>
      <c r="F7" s="2276"/>
      <c r="G7" s="2277"/>
    </row>
    <row r="8" spans="1:7" ht="15.75" customHeight="1" x14ac:dyDescent="0.25">
      <c r="A8" s="2278" t="s">
        <v>1905</v>
      </c>
      <c r="B8" s="2279"/>
      <c r="C8" s="2279"/>
      <c r="D8" s="2279"/>
      <c r="E8" s="2279"/>
      <c r="F8" s="2279"/>
      <c r="G8" s="2280"/>
    </row>
    <row r="9" spans="1:7" ht="35.25" customHeight="1" x14ac:dyDescent="0.25">
      <c r="A9" s="2275" t="s">
        <v>2062</v>
      </c>
      <c r="B9" s="2276"/>
      <c r="C9" s="2276"/>
      <c r="D9" s="2276"/>
      <c r="E9" s="2276"/>
      <c r="F9" s="2276"/>
      <c r="G9" s="2277"/>
    </row>
    <row r="10" spans="1:7" ht="15" customHeight="1" x14ac:dyDescent="0.25">
      <c r="A10" s="1537" t="s">
        <v>1819</v>
      </c>
      <c r="B10" s="1538"/>
      <c r="C10" s="1538"/>
      <c r="D10" s="1538"/>
      <c r="E10" s="1538"/>
      <c r="F10" s="1538"/>
      <c r="G10" s="1539"/>
    </row>
    <row r="11" spans="1:7" ht="17.25" customHeight="1" x14ac:dyDescent="0.25">
      <c r="A11" s="2275" t="s">
        <v>1932</v>
      </c>
      <c r="B11" s="2276"/>
      <c r="C11" s="2276"/>
      <c r="D11" s="2276"/>
      <c r="E11" s="2276"/>
      <c r="F11" s="2276"/>
      <c r="G11" s="2277"/>
    </row>
    <row r="12" spans="1:7" ht="15" customHeight="1" x14ac:dyDescent="0.25">
      <c r="A12" s="1537" t="s">
        <v>1824</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2134</v>
      </c>
      <c r="B17" s="1938" t="s">
        <v>2120</v>
      </c>
      <c r="C17" s="1939" t="s">
        <v>2121</v>
      </c>
      <c r="D17" s="1844">
        <v>11000</v>
      </c>
      <c r="E17" s="1540">
        <f t="shared" ref="E17:E141" si="0">IF(D17&lt;=25000,D17,IF(D17&gt;25000,25000,0))</f>
        <v>11000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7" t="s">
        <v>2123</v>
      </c>
      <c r="B18" s="1938" t="s">
        <v>2136</v>
      </c>
      <c r="C18" s="1939" t="s">
        <v>2124</v>
      </c>
      <c r="D18" s="1844">
        <v>2450</v>
      </c>
      <c r="E18" s="1540">
        <f t="shared" ref="E18:E140" si="2">IF(D18&lt;=25000,D18,IF(D18&gt;25000,25000,0))</f>
        <v>2450</v>
      </c>
      <c r="F18" s="1932">
        <f t="shared" si="1"/>
        <v>0</v>
      </c>
      <c r="G18" s="1793">
        <f t="shared" ref="G18:G140" si="3">IF(F18=0,0,D18-F18)</f>
        <v>0</v>
      </c>
    </row>
    <row r="19" spans="1:8" x14ac:dyDescent="0.25">
      <c r="A19" s="1937" t="s">
        <v>2126</v>
      </c>
      <c r="B19" s="1938" t="s">
        <v>2127</v>
      </c>
      <c r="C19" s="1939" t="s">
        <v>2125</v>
      </c>
      <c r="D19" s="1844">
        <v>2829</v>
      </c>
      <c r="E19" s="1540">
        <f t="shared" si="2"/>
        <v>2829</v>
      </c>
      <c r="F19" s="1932">
        <f t="shared" si="1"/>
        <v>0</v>
      </c>
      <c r="G19" s="1793">
        <f t="shared" si="3"/>
        <v>0</v>
      </c>
    </row>
    <row r="20" spans="1:8" x14ac:dyDescent="0.25">
      <c r="A20" s="1937" t="s">
        <v>2126</v>
      </c>
      <c r="B20" s="1938" t="s">
        <v>2127</v>
      </c>
      <c r="C20" s="1939" t="s">
        <v>2128</v>
      </c>
      <c r="D20" s="1844">
        <v>22661</v>
      </c>
      <c r="E20" s="1540">
        <f t="shared" si="2"/>
        <v>22661</v>
      </c>
      <c r="F20" s="1932">
        <f t="shared" si="1"/>
        <v>0</v>
      </c>
      <c r="G20" s="1793">
        <f t="shared" si="3"/>
        <v>0</v>
      </c>
    </row>
    <row r="21" spans="1:8" x14ac:dyDescent="0.25">
      <c r="A21" s="1937" t="s">
        <v>2129</v>
      </c>
      <c r="B21" s="1938" t="s">
        <v>2137</v>
      </c>
      <c r="C21" s="1939" t="s">
        <v>2130</v>
      </c>
      <c r="D21" s="1844">
        <v>212022</v>
      </c>
      <c r="E21" s="1540">
        <f t="shared" si="2"/>
        <v>25000</v>
      </c>
      <c r="F21" s="1932">
        <f t="shared" si="1"/>
        <v>0</v>
      </c>
      <c r="G21" s="1793">
        <f t="shared" si="3"/>
        <v>0</v>
      </c>
    </row>
    <row r="22" spans="1:8" x14ac:dyDescent="0.25">
      <c r="A22" s="1937" t="s">
        <v>2131</v>
      </c>
      <c r="B22" s="1938" t="s">
        <v>2138</v>
      </c>
      <c r="C22" s="1939" t="s">
        <v>2132</v>
      </c>
      <c r="D22" s="1844">
        <v>2350</v>
      </c>
      <c r="E22" s="1540">
        <f t="shared" si="2"/>
        <v>2350</v>
      </c>
      <c r="F22" s="1932">
        <f t="shared" si="1"/>
        <v>2350</v>
      </c>
      <c r="G22" s="1793">
        <f t="shared" si="3"/>
        <v>0</v>
      </c>
    </row>
    <row r="23" spans="1:8" x14ac:dyDescent="0.25">
      <c r="A23" s="1937" t="s">
        <v>2133</v>
      </c>
      <c r="B23" s="1938" t="s">
        <v>2135</v>
      </c>
      <c r="C23" s="1939" t="s">
        <v>2122</v>
      </c>
      <c r="D23" s="1844">
        <v>7200</v>
      </c>
      <c r="E23" s="1540">
        <f t="shared" si="2"/>
        <v>7200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260512</v>
      </c>
      <c r="E141" s="1541">
        <f t="shared" si="0"/>
        <v>25000</v>
      </c>
      <c r="F141" s="1933">
        <f>SUM(F17:F140)</f>
        <v>2350</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5" sqref="A5:G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1" t="s">
        <v>1678</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224797</v>
      </c>
      <c r="F10" s="974"/>
      <c r="G10" s="975"/>
      <c r="H10" s="162"/>
      <c r="I10" s="162"/>
    </row>
    <row r="11" spans="1:9" s="668" customFormat="1" ht="22.5" customHeight="1" x14ac:dyDescent="0.2">
      <c r="A11" s="2286" t="s">
        <v>1974</v>
      </c>
      <c r="B11" s="2287"/>
      <c r="C11" s="2287"/>
      <c r="D11" s="2288"/>
      <c r="E11" s="977">
        <v>36751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4213295</v>
      </c>
      <c r="F19" s="1799"/>
      <c r="G19" s="1801">
        <f>'Expenditures 15-22'!K33-SUM('Expenditures 15-22'!G33,'Expenditures 15-22'!I33)+'Expenditures 15-22'!D229</f>
        <v>4213295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267502</v>
      </c>
      <c r="F21" s="1802"/>
      <c r="G21" s="1805">
        <f>'Expenditures 15-22'!K42-SUM('Expenditures 15-22'!G42,'Expenditures 15-22'!I42)+'Expenditures 15-22'!K120-SUM('Expenditures 15-22'!G120,'Expenditures 15-22'!I120)+'Expenditures 15-22'!K180-SUM('Expenditures 15-22'!G180,'Expenditures 15-22'!I180)+'Expenditures 15-22'!D238</f>
        <v>267502</v>
      </c>
      <c r="H21" s="987"/>
      <c r="I21" s="162"/>
    </row>
    <row r="22" spans="1:9" s="668" customFormat="1" ht="12" customHeight="1" x14ac:dyDescent="0.2">
      <c r="A22" s="994" t="s">
        <v>563</v>
      </c>
      <c r="B22" s="995"/>
      <c r="C22" s="993">
        <v>2200</v>
      </c>
      <c r="D22" s="1802"/>
      <c r="E22" s="1804">
        <f>'Expenditures 15-22'!K47-SUM('Expenditures 15-22'!G47,'Expenditures 15-22'!I47)+'Expenditures 15-22'!D243</f>
        <v>234005</v>
      </c>
      <c r="F22" s="1802"/>
      <c r="G22" s="1805">
        <f>'Expenditures 15-22'!K47-SUM('Expenditures 15-22'!G47,'Expenditures 15-22'!I47)+'Expenditures 15-22'!D243</f>
        <v>234005</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715612</v>
      </c>
      <c r="F23" s="1802"/>
      <c r="G23" s="1804">
        <f>'Expenditures 15-22'!K53-SUM('Expenditures 15-22'!G53,'Expenditures 15-22'!I53)+'Expenditures 15-22'!D257+'Expenditures 15-22'!K330-SUM('Expenditures 15-22'!G330,'Expenditures 15-22'!I330)</f>
        <v>715612</v>
      </c>
      <c r="H23" s="987"/>
      <c r="I23" s="162"/>
    </row>
    <row r="24" spans="1:9" s="668" customFormat="1" ht="12" customHeight="1" x14ac:dyDescent="0.2">
      <c r="A24" s="994" t="s">
        <v>565</v>
      </c>
      <c r="B24" s="995"/>
      <c r="C24" s="993">
        <v>2400</v>
      </c>
      <c r="D24" s="1802"/>
      <c r="E24" s="1804">
        <f>'Expenditures 15-22'!K57-SUM('Expenditures 15-22'!G57,'Expenditures 15-22'!I57)+'Expenditures 15-22'!D261</f>
        <v>509640</v>
      </c>
      <c r="F24" s="1802"/>
      <c r="G24" s="1805">
        <f>'Expenditures 15-22'!K57-SUM('Expenditures 15-22'!G57,'Expenditures 15-22'!I57)+'Expenditures 15-22'!D261</f>
        <v>509640</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97332</v>
      </c>
      <c r="E27" s="1804">
        <f>E8</f>
        <v>0</v>
      </c>
      <c r="F27" s="1804">
        <f>'Expenditures 15-22'!K60-SUM('Expenditures 15-22'!G60,'Expenditures 15-22'!I60)+'Expenditures 15-22'!D264-E8</f>
        <v>97332</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970570</v>
      </c>
      <c r="F28" s="1806">
        <f>'Expenditures 15-22'!K61-SUM('Expenditures 15-22'!G61,'Expenditures 15-22'!I61)+'Expenditures 15-22'!K124-SUM('Expenditures 15-22'!G124,'Expenditures 15-22'!I124)+'Expenditures 15-22'!D266-E9</f>
        <v>970570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644335</v>
      </c>
      <c r="F29" s="1802"/>
      <c r="G29" s="1805">
        <f>'Expenditures 15-22'!K62-SUM('Expenditures 15-22'!G62,'Expenditures 15-22'!I62)+'Expenditures 15-22'!K125-SUM('Expenditures 15-22'!G125,'Expenditures 15-22'!I125)+'Expenditures 15-22'!K182-SUM('Expenditures 15-22'!G182,'Expenditures 15-22'!I182)+'Expenditures 15-22'!D267</f>
        <v>644335</v>
      </c>
      <c r="H29" s="985"/>
    </row>
    <row r="30" spans="1:9" ht="12" customHeight="1" x14ac:dyDescent="0.2">
      <c r="A30" s="994" t="s">
        <v>100</v>
      </c>
      <c r="B30" s="997"/>
      <c r="C30" s="993">
        <v>2560</v>
      </c>
      <c r="D30" s="1802"/>
      <c r="E30" s="1804">
        <f>'Expenditures 15-22'!K63-SUM('Expenditures 15-22'!G63,'Expenditures 15-22'!I63)+'Expenditures 15-22'!D268-E10</f>
        <v>184743</v>
      </c>
      <c r="F30" s="1802"/>
      <c r="G30" s="1804">
        <f>'Expenditures 15-22'!K63-SUM('Expenditures 15-22'!G63,'Expenditures 15-22'!I63)+'Expenditures 15-22'!D268-E10</f>
        <v>184743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10302</v>
      </c>
      <c r="F39" s="1802"/>
      <c r="G39" s="1804">
        <f>'Expenditures 15-22'!K75-SUM('Expenditures 15-22'!G75,'Expenditures 15-22'!I75)+'Expenditures 15-22'!K130-SUM('Expenditures 15-22'!G130,'Expenditures 15-22'!I130)+'Expenditures 15-22'!K185-SUM('Expenditures 15-22'!G185,'Expenditures 15-22'!I185)+'Expenditures 15-22'!D280</f>
        <v>10302</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97332</v>
      </c>
      <c r="E41" s="1806">
        <f>SUM(E19:E40)</f>
        <v>7750004</v>
      </c>
      <c r="F41" s="1806">
        <f>SUM(F19:F39)</f>
        <v>1067902</v>
      </c>
      <c r="G41" s="1806">
        <f>SUM(G19:G40)</f>
        <v>6779434</v>
      </c>
    </row>
    <row r="42" spans="1:7" x14ac:dyDescent="0.2">
      <c r="A42" s="987"/>
      <c r="B42" s="162"/>
      <c r="C42" s="1001"/>
      <c r="D42" s="2284" t="s">
        <v>521</v>
      </c>
      <c r="E42" s="2285"/>
      <c r="F42" s="1002" t="s">
        <v>522</v>
      </c>
      <c r="G42" s="1003"/>
    </row>
    <row r="43" spans="1:7" ht="12" customHeight="1" x14ac:dyDescent="0.2">
      <c r="A43" s="987"/>
      <c r="B43" s="162"/>
      <c r="C43" s="1001"/>
      <c r="D43" s="1807" t="s">
        <v>472</v>
      </c>
      <c r="E43" s="1808">
        <f>D41</f>
        <v>97332</v>
      </c>
      <c r="F43" s="1807" t="s">
        <v>472</v>
      </c>
      <c r="G43" s="1808">
        <f>F41</f>
        <v>1067902</v>
      </c>
    </row>
    <row r="44" spans="1:7" ht="12" customHeight="1" x14ac:dyDescent="0.2">
      <c r="A44" s="987"/>
      <c r="B44" s="162"/>
      <c r="C44" s="1001"/>
      <c r="D44" s="1807" t="s">
        <v>473</v>
      </c>
      <c r="E44" s="1808">
        <f>E41</f>
        <v>7750004</v>
      </c>
      <c r="F44" s="1807" t="s">
        <v>473</v>
      </c>
      <c r="G44" s="1808">
        <f>G41</f>
        <v>6779434</v>
      </c>
    </row>
    <row r="45" spans="1:7" ht="12" customHeight="1" x14ac:dyDescent="0.2">
      <c r="A45" s="987"/>
      <c r="B45" s="162"/>
      <c r="C45" s="162"/>
      <c r="D45" s="1809" t="s">
        <v>1005</v>
      </c>
      <c r="E45" s="1810">
        <f>(E43/E44)</f>
        <v>1.2558961259890963E-2</v>
      </c>
      <c r="F45" s="1809" t="s">
        <v>1005</v>
      </c>
      <c r="G45" s="1810">
        <f>(G43/G44)</f>
        <v>0.15752081958464378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29" sqref="C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1378</v>
      </c>
      <c r="B1" s="2292"/>
      <c r="C1" s="2292"/>
      <c r="D1" s="2292"/>
      <c r="E1" s="2292"/>
      <c r="F1" s="2292"/>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3" t="s">
        <v>1545</v>
      </c>
      <c r="B5" s="2294"/>
      <c r="C5" s="2295"/>
      <c r="D5" s="2295"/>
      <c r="E5" s="2295"/>
      <c r="F5" s="2295"/>
    </row>
    <row r="6" spans="1:10" ht="12" customHeight="1" x14ac:dyDescent="0.25">
      <c r="A6" s="1850"/>
      <c r="B6" s="1851"/>
      <c r="C6" s="2296" t="str">
        <f>COVER!A17</f>
        <v>Casey-Westfield CUDS 4C</v>
      </c>
      <c r="D6" s="2296"/>
      <c r="E6" s="2296"/>
      <c r="F6" s="1852"/>
    </row>
    <row r="7" spans="1:10" ht="11.25" customHeight="1" thickBot="1" x14ac:dyDescent="0.3">
      <c r="A7" s="1850"/>
      <c r="B7" s="1851"/>
      <c r="C7" s="2297" t="str">
        <f>COVER!A13</f>
        <v>11012004C26</v>
      </c>
      <c r="D7" s="2297"/>
      <c r="E7" s="2297"/>
      <c r="F7" s="1852"/>
    </row>
    <row r="8" spans="1:10" ht="25.5" customHeight="1" thickBot="1" x14ac:dyDescent="0.25">
      <c r="A8" s="1893" t="s">
        <v>1906</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t="s">
        <v>2063</v>
      </c>
      <c r="D13" s="1865" t="s">
        <v>2063</v>
      </c>
      <c r="E13" s="1868"/>
      <c r="F13" s="1867" t="s">
        <v>2092</v>
      </c>
      <c r="H13" s="1878">
        <f t="shared" si="0"/>
        <v>5</v>
      </c>
      <c r="I13" s="1878">
        <f t="shared" si="1"/>
        <v>5</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2063</v>
      </c>
      <c r="D24" s="1865" t="s">
        <v>2063</v>
      </c>
      <c r="E24" s="1868"/>
      <c r="F24" s="1867" t="s">
        <v>2093</v>
      </c>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2063</v>
      </c>
      <c r="D26" s="1865" t="s">
        <v>2063</v>
      </c>
      <c r="E26" s="1868"/>
      <c r="F26" s="1867" t="s">
        <v>2094</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1391</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1390</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28" sqref="L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6" t="str">
        <f>COVER!A17</f>
        <v>Casey-Westfield CUDS 4C</v>
      </c>
      <c r="J6" s="2317"/>
      <c r="Q6" s="1664"/>
    </row>
    <row r="7" spans="1:17" x14ac:dyDescent="0.2">
      <c r="A7" s="2318" t="s">
        <v>868</v>
      </c>
      <c r="B7" s="2319"/>
      <c r="C7" s="2319"/>
      <c r="D7" s="2319"/>
      <c r="E7" s="2320"/>
      <c r="F7" s="1017"/>
      <c r="G7" s="1009"/>
      <c r="H7" s="1016" t="s">
        <v>371</v>
      </c>
      <c r="I7" s="2321" t="str">
        <f>COVER!A13</f>
        <v>11012004C26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2" t="s">
        <v>480</v>
      </c>
      <c r="B11" s="2323"/>
      <c r="C11" s="232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128557</v>
      </c>
      <c r="F12" s="1039"/>
      <c r="G12" s="1811">
        <f t="shared" ref="G12:G18" si="0">SUM(E12:F12)</f>
        <v>128557</v>
      </c>
      <c r="H12" s="1040">
        <v>133921</v>
      </c>
      <c r="I12" s="1039"/>
      <c r="J12" s="1811">
        <f t="shared" ref="J12:J18" si="1">SUM(H12:I12)</f>
        <v>133921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128557</v>
      </c>
      <c r="F19" s="1813">
        <f t="shared" si="2"/>
        <v>0</v>
      </c>
      <c r="G19" s="1813">
        <f t="shared" si="2"/>
        <v>128557</v>
      </c>
      <c r="H19" s="1813">
        <f t="shared" si="2"/>
        <v>133921</v>
      </c>
      <c r="I19" s="1813">
        <f t="shared" si="2"/>
        <v>0</v>
      </c>
      <c r="J19" s="1813">
        <f t="shared" si="2"/>
        <v>133921</v>
      </c>
    </row>
    <row r="20" spans="1:10" ht="13.5" thickTop="1" x14ac:dyDescent="0.2">
      <c r="A20" s="1035">
        <v>9</v>
      </c>
      <c r="B20" s="2328" t="s">
        <v>1978</v>
      </c>
      <c r="C20" s="2328"/>
      <c r="D20" s="2329"/>
      <c r="E20" s="1046"/>
      <c r="F20" s="1046"/>
      <c r="G20" s="1046"/>
      <c r="H20" s="1046"/>
      <c r="I20" s="1046"/>
      <c r="J20" s="1814">
        <f>IF(AND(G19&gt;0,J19&gt;0),(((J19-G19)/G19)),"Enter Budget Data")</f>
        <v>4.1724682436584552E-2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1032</v>
      </c>
      <c r="D27" s="1052"/>
      <c r="E27" s="1053"/>
      <c r="F27" s="2330" t="s">
        <v>1508</v>
      </c>
      <c r="G27" s="2330"/>
    </row>
    <row r="28" spans="1:10" ht="28.5" customHeight="1" x14ac:dyDescent="0.2">
      <c r="B28" s="1047"/>
      <c r="C28" s="2332"/>
      <c r="D28" s="2332"/>
      <c r="E28" s="1054"/>
      <c r="F28" s="2332"/>
      <c r="G28" s="2332"/>
    </row>
    <row r="29" spans="1:10" x14ac:dyDescent="0.2">
      <c r="B29" s="1047"/>
      <c r="C29" s="1055" t="s">
        <v>1560</v>
      </c>
      <c r="E29" s="1056"/>
      <c r="F29" s="2331" t="s">
        <v>1509</v>
      </c>
      <c r="G29" s="233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881</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2139</v>
      </c>
    </row>
    <row r="6" spans="1:2" x14ac:dyDescent="0.2">
      <c r="A6" s="1068">
        <v>2</v>
      </c>
      <c r="B6" s="329" t="s">
        <v>2140</v>
      </c>
    </row>
    <row r="7" spans="1:2" x14ac:dyDescent="0.2">
      <c r="A7" s="1068">
        <v>3</v>
      </c>
      <c r="B7" s="329" t="s">
        <v>2141</v>
      </c>
    </row>
    <row r="8" spans="1:2" x14ac:dyDescent="0.2">
      <c r="A8" s="1068">
        <v>4</v>
      </c>
      <c r="B8" s="329" t="s">
        <v>2142</v>
      </c>
    </row>
    <row r="9" spans="1:2" x14ac:dyDescent="0.2">
      <c r="A9" s="1068">
        <v>5</v>
      </c>
      <c r="B9" s="329" t="s">
        <v>2112</v>
      </c>
    </row>
    <row r="10" spans="1:2" x14ac:dyDescent="0.2">
      <c r="A10" s="1068">
        <v>6</v>
      </c>
      <c r="B10" s="329" t="s">
        <v>2107</v>
      </c>
    </row>
    <row r="11" spans="1:2" x14ac:dyDescent="0.2">
      <c r="A11" s="1068">
        <v>7</v>
      </c>
      <c r="B11" s="329" t="s">
        <v>2108</v>
      </c>
    </row>
    <row r="12" spans="1:2" x14ac:dyDescent="0.2">
      <c r="A12" s="1068">
        <v>8</v>
      </c>
      <c r="B12" s="329" t="s">
        <v>2109</v>
      </c>
    </row>
    <row r="13" spans="1:2" x14ac:dyDescent="0.2">
      <c r="A13" s="1068">
        <v>9</v>
      </c>
      <c r="B13" s="329" t="s">
        <v>2110</v>
      </c>
    </row>
    <row r="14" spans="1:2" x14ac:dyDescent="0.2">
      <c r="A14" s="1068">
        <v>10</v>
      </c>
      <c r="B14" s="329" t="s">
        <v>2111</v>
      </c>
    </row>
    <row r="15" spans="1:2" x14ac:dyDescent="0.2">
      <c r="A15" s="1068">
        <v>11</v>
      </c>
      <c r="B15" s="329" t="s">
        <v>2118</v>
      </c>
    </row>
    <row r="16" spans="1:2" x14ac:dyDescent="0.2">
      <c r="A16" s="1068">
        <v>12</v>
      </c>
      <c r="B16" s="329" t="s">
        <v>2113</v>
      </c>
    </row>
    <row r="17" spans="1:2" x14ac:dyDescent="0.2">
      <c r="A17" s="1068">
        <v>13</v>
      </c>
      <c r="B17" s="329" t="s">
        <v>2114</v>
      </c>
    </row>
    <row r="18" spans="1:2" x14ac:dyDescent="0.2">
      <c r="A18" s="1068">
        <v>14</v>
      </c>
      <c r="B18" s="329" t="s">
        <v>2115</v>
      </c>
    </row>
    <row r="19" spans="1:2" x14ac:dyDescent="0.2">
      <c r="A19" s="1068">
        <v>15</v>
      </c>
      <c r="B19" s="329" t="s">
        <v>2119</v>
      </c>
    </row>
    <row r="20" spans="1:2" x14ac:dyDescent="0.2">
      <c r="A20" s="1068">
        <v>16</v>
      </c>
      <c r="B20" s="329" t="s">
        <v>2116</v>
      </c>
    </row>
    <row r="21" spans="1:2" x14ac:dyDescent="0.2">
      <c r="A21" s="1068">
        <v>17</v>
      </c>
      <c r="B21" s="329" t="s">
        <v>2117</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Casey-Westfield CUDS 4C</v>
      </c>
    </row>
    <row r="64" spans="1:2" x14ac:dyDescent="0.2">
      <c r="B64" s="1070" t="str">
        <f>COVER!A13</f>
        <v>11012004C26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6" t="s">
        <v>1610</v>
      </c>
    </row>
    <row r="23" spans="1:5" x14ac:dyDescent="0.2">
      <c r="A23" s="168"/>
      <c r="B23" s="162" t="s">
        <v>1855</v>
      </c>
      <c r="D23" s="167" t="s">
        <v>636</v>
      </c>
      <c r="E23" s="1836"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2" t="s">
        <v>1064</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690</v>
      </c>
      <c r="B40" s="2049"/>
      <c r="C40" s="2049"/>
      <c r="D40" s="2049"/>
      <c r="E40" s="2049"/>
    </row>
    <row r="41" spans="1:5" x14ac:dyDescent="0.2">
      <c r="A41" s="2050" t="s">
        <v>1607</v>
      </c>
      <c r="B41" s="2050"/>
      <c r="C41" s="2050"/>
      <c r="D41" s="2050"/>
      <c r="E41" s="2050"/>
    </row>
    <row r="42" spans="1:5" ht="12.75" customHeight="1" x14ac:dyDescent="0.2">
      <c r="A42" s="2051" t="s">
        <v>1021</v>
      </c>
      <c r="B42" s="2051"/>
      <c r="C42" s="2051"/>
      <c r="D42" s="2051"/>
      <c r="E42" s="2051"/>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5" t="s">
        <v>1684</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1143000</xdr:colOff>
                <xdr:row>1</xdr:row>
                <xdr:rowOff>142875</xdr:rowOff>
              </from>
              <to>
                <xdr:col>1</xdr:col>
                <xdr:colOff>2057400</xdr:colOff>
                <xdr:row>6</xdr:row>
                <xdr:rowOff>19050</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4" r:id="rId7">
          <objectPr defaultSize="0" r:id="rId5">
            <anchor moveWithCells="1">
              <from>
                <xdr:col>1</xdr:col>
                <xdr:colOff>2428875</xdr:colOff>
                <xdr:row>1</xdr:row>
                <xdr:rowOff>142875</xdr:rowOff>
              </from>
              <to>
                <xdr:col>1</xdr:col>
                <xdr:colOff>3343275</xdr:colOff>
                <xdr:row>6</xdr:row>
                <xdr:rowOff>19050</xdr:rowOff>
              </to>
            </anchor>
          </objectPr>
        </oleObject>
      </mc:Choice>
      <mc:Fallback>
        <oleObject progId="Acrobat.Document.2015" dvAspect="DVASPECT_ICON" shapeId="35844"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1685</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1690</v>
      </c>
      <c r="B6" s="2353"/>
      <c r="C6" s="2353"/>
      <c r="D6" s="2353"/>
      <c r="E6" s="2353"/>
      <c r="F6" s="235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6142181</v>
      </c>
      <c r="C8" s="1815">
        <f>'Acct Summary 7-8'!D8</f>
        <v>1121994</v>
      </c>
      <c r="D8" s="1815">
        <f>'Acct Summary 7-8'!F8</f>
        <v>674641</v>
      </c>
      <c r="E8" s="1815">
        <f>'Acct Summary 7-8'!I8</f>
        <v>52018</v>
      </c>
      <c r="F8" s="1815">
        <f>SUM(B8:E8)</f>
        <v>7990834</v>
      </c>
    </row>
    <row r="9" spans="1:8" s="1079" customFormat="1" ht="14.25" customHeight="1" thickBot="1" x14ac:dyDescent="0.25">
      <c r="A9" s="1078" t="s">
        <v>1368</v>
      </c>
      <c r="B9" s="1816">
        <f>'Acct Summary 7-8'!C17</f>
        <v>6055791</v>
      </c>
      <c r="C9" s="1816">
        <f>'Acct Summary 7-8'!D17</f>
        <v>1079449</v>
      </c>
      <c r="D9" s="1816">
        <f>'Acct Summary 7-8'!F17</f>
        <v>799895</v>
      </c>
      <c r="E9" s="1815"/>
      <c r="F9" s="1815">
        <f>SUM(B9:E9)</f>
        <v>7935135</v>
      </c>
    </row>
    <row r="10" spans="1:8" s="1079" customFormat="1" ht="14.25" thickTop="1" thickBot="1" x14ac:dyDescent="0.25">
      <c r="A10" s="1080" t="s">
        <v>1369</v>
      </c>
      <c r="B10" s="1817">
        <f>(B8-B9)</f>
        <v>86390</v>
      </c>
      <c r="C10" s="1817">
        <f>(C8-C9)</f>
        <v>42545</v>
      </c>
      <c r="D10" s="1817">
        <f>(D8-D9)</f>
        <v>-125254</v>
      </c>
      <c r="E10" s="1816">
        <f>(E8-E9)</f>
        <v>52018</v>
      </c>
      <c r="F10" s="1818">
        <f>SUM(F8-F9)</f>
        <v>55699</v>
      </c>
    </row>
    <row r="11" spans="1:8" s="1079" customFormat="1" ht="14.25" thickTop="1" thickBot="1" x14ac:dyDescent="0.25">
      <c r="A11" s="1081" t="s">
        <v>1982</v>
      </c>
      <c r="B11" s="1819">
        <f>'Acct Summary 7-8'!C81</f>
        <v>1250528</v>
      </c>
      <c r="C11" s="1819">
        <f>'Acct Summary 7-8'!D81</f>
        <v>139642</v>
      </c>
      <c r="D11" s="1819">
        <f>'Acct Summary 7-8'!F81</f>
        <v>295468</v>
      </c>
      <c r="E11" s="1819">
        <f>'Acct Summary 7-8'!I81</f>
        <v>755865</v>
      </c>
      <c r="F11" s="1820">
        <f>SUM(B11:E11)</f>
        <v>2441503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1686</v>
      </c>
      <c r="B16" s="2339"/>
      <c r="C16" s="2339"/>
      <c r="D16" s="2339"/>
      <c r="E16" s="233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664</v>
      </c>
      <c r="B3" s="2362"/>
      <c r="C3" s="2362"/>
      <c r="D3" s="2363"/>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1503</v>
      </c>
      <c r="D7" s="2373"/>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6" t="s">
        <v>313</v>
      </c>
      <c r="D21" s="2377"/>
    </row>
    <row r="22" spans="1:10" ht="12.75" x14ac:dyDescent="0.2">
      <c r="A22" s="1139"/>
      <c r="B22" s="1140">
        <v>2</v>
      </c>
      <c r="C22" s="2374" t="s">
        <v>1523</v>
      </c>
      <c r="D22" s="237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0" t="s">
        <v>1695</v>
      </c>
      <c r="D70" s="237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11012004C26</v>
      </c>
    </row>
    <row r="3" spans="1:2" x14ac:dyDescent="0.2">
      <c r="A3" t="s">
        <v>955</v>
      </c>
      <c r="B3" s="138" t="str">
        <f>COVER!A15</f>
        <v>Clark</v>
      </c>
    </row>
    <row r="4" spans="1:2" x14ac:dyDescent="0.2">
      <c r="A4" t="s">
        <v>1006</v>
      </c>
      <c r="B4" s="138" t="str">
        <f>COVER!A17</f>
        <v>Casey-Westfield CUDS 4C</v>
      </c>
    </row>
    <row r="5" spans="1:2" x14ac:dyDescent="0.2">
      <c r="A5" t="s">
        <v>703</v>
      </c>
      <c r="B5" s="138" t="str">
        <f>COVER!A38</f>
        <v>Dee Scott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066-003998</v>
      </c>
    </row>
    <row r="16" spans="1:2" x14ac:dyDescent="0.2">
      <c r="A16" t="s">
        <v>421</v>
      </c>
      <c r="B16" s="138" t="str">
        <f>COVER!T13</f>
        <v>Kemper CPA Group LLP</v>
      </c>
    </row>
    <row r="17" spans="1:2" x14ac:dyDescent="0.2">
      <c r="A17" t="s">
        <v>883</v>
      </c>
      <c r="B17" s="138" t="str">
        <f>COVER!T15</f>
        <v>Brian S. Bradbury</v>
      </c>
    </row>
    <row r="18" spans="1:2" x14ac:dyDescent="0.2">
      <c r="A18" t="s">
        <v>1149</v>
      </c>
      <c r="B18" s="138" t="str">
        <f>COVER!T17</f>
        <v>P.O. Box 694</v>
      </c>
    </row>
    <row r="19" spans="1:2" x14ac:dyDescent="0.2">
      <c r="A19" t="s">
        <v>885</v>
      </c>
      <c r="B19" s="138" t="str">
        <f>COVER!T25</f>
        <v>bbradbury@kempercpa.com</v>
      </c>
    </row>
    <row r="20" spans="1:2" x14ac:dyDescent="0.2">
      <c r="A20" t="s">
        <v>886</v>
      </c>
      <c r="B20" s="138" t="str">
        <f>COVER!T19</f>
        <v>Robinson</v>
      </c>
    </row>
    <row r="21" spans="1:2" x14ac:dyDescent="0.2">
      <c r="A21" t="s">
        <v>478</v>
      </c>
      <c r="B21" s="138" t="str">
        <f>COVER!X19</f>
        <v>IL</v>
      </c>
    </row>
    <row r="22" spans="1:2" x14ac:dyDescent="0.2">
      <c r="A22" t="s">
        <v>887</v>
      </c>
      <c r="B22" s="138">
        <f>COVER!Z19</f>
        <v>62454</v>
      </c>
    </row>
    <row r="23" spans="1:2" x14ac:dyDescent="0.2">
      <c r="A23" t="s">
        <v>1151</v>
      </c>
      <c r="B23" s="138" t="str">
        <f>COVER!T21</f>
        <v>618-546-1502</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472150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1255822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5294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5294</v>
      </c>
      <c r="C91" s="2" t="s">
        <v>572</v>
      </c>
      <c r="D91" s="2" t="str">
        <f t="shared" si="0"/>
        <v>Error?</v>
      </c>
    </row>
    <row r="92" spans="1:4" x14ac:dyDescent="0.2">
      <c r="A92" s="5">
        <v>31</v>
      </c>
      <c r="B92" s="138">
        <f>'Assets-Liab 5-6'!C39</f>
        <v>1242121</v>
      </c>
      <c r="D92" s="2" t="str">
        <f t="shared" si="0"/>
        <v>Error?</v>
      </c>
    </row>
    <row r="93" spans="1:4" x14ac:dyDescent="0.2">
      <c r="A93" s="5">
        <v>32</v>
      </c>
      <c r="B93" s="138">
        <f>'Assets-Liab 5-6'!C41</f>
        <v>1255822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140284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642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642</v>
      </c>
      <c r="C122" s="2" t="s">
        <v>572</v>
      </c>
      <c r="D122" s="2" t="str">
        <f t="shared" si="0"/>
        <v>Error?</v>
      </c>
    </row>
    <row r="123" spans="1:4" x14ac:dyDescent="0.2">
      <c r="A123" s="5">
        <v>62</v>
      </c>
      <c r="B123" s="138">
        <f>'Assets-Liab 5-6'!D39</f>
        <v>139642</v>
      </c>
      <c r="D123" s="2" t="str">
        <f t="shared" si="0"/>
        <v>Error?</v>
      </c>
    </row>
    <row r="124" spans="1:4" x14ac:dyDescent="0.2">
      <c r="A124" s="5">
        <v>63</v>
      </c>
      <c r="B124" s="138">
        <f>'Assets-Liab 5-6'!D41</f>
        <v>140284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6146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6146</v>
      </c>
      <c r="D140" s="2" t="str">
        <f t="shared" si="1"/>
        <v>Error?</v>
      </c>
    </row>
    <row r="141" spans="1:4" x14ac:dyDescent="0.2">
      <c r="A141" s="5">
        <v>80</v>
      </c>
      <c r="B141" s="138">
        <f>'Assets-Liab 5-6'!E41</f>
        <v>6146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296007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539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539</v>
      </c>
      <c r="C169" s="2" t="s">
        <v>572</v>
      </c>
      <c r="D169" s="2" t="str">
        <f t="shared" si="1"/>
        <v>Error?</v>
      </c>
    </row>
    <row r="170" spans="1:4" x14ac:dyDescent="0.2">
      <c r="A170" s="5">
        <v>109</v>
      </c>
      <c r="B170" s="138">
        <f>'Assets-Liab 5-6'!F39</f>
        <v>295468</v>
      </c>
      <c r="D170" s="2" t="str">
        <f t="shared" si="1"/>
        <v>Error?</v>
      </c>
    </row>
    <row r="171" spans="1:4" x14ac:dyDescent="0.2">
      <c r="A171" s="5">
        <v>110</v>
      </c>
      <c r="B171" s="138">
        <f>'Assets-Liab 5-6'!F41</f>
        <v>296007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148431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102220</v>
      </c>
      <c r="D189" s="2" t="str">
        <f t="shared" si="1"/>
        <v>Error?</v>
      </c>
    </row>
    <row r="190" spans="1:4" x14ac:dyDescent="0.2">
      <c r="A190" s="5">
        <v>129</v>
      </c>
      <c r="B190" s="138">
        <f>'Assets-Liab 5-6'!G41</f>
        <v>148431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6749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6749</v>
      </c>
      <c r="D212" s="2" t="str">
        <f t="shared" si="2"/>
        <v>Error?</v>
      </c>
    </row>
    <row r="213" spans="1:4" x14ac:dyDescent="0.2">
      <c r="A213" s="12">
        <v>152</v>
      </c>
      <c r="B213" s="138">
        <f>'Assets-Liab 5-6'!H41</f>
        <v>6749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212469</v>
      </c>
      <c r="D273" s="2" t="str">
        <f t="shared" si="3"/>
        <v>Error?</v>
      </c>
    </row>
    <row r="274" spans="1:4" x14ac:dyDescent="0.2">
      <c r="A274" s="5">
        <v>213</v>
      </c>
      <c r="B274" s="138">
        <f>'Assets-Liab 5-6'!M17</f>
        <v>20639935</v>
      </c>
      <c r="D274" s="2" t="str">
        <f t="shared" si="3"/>
        <v>Error?</v>
      </c>
    </row>
    <row r="275" spans="1:4" x14ac:dyDescent="0.2">
      <c r="A275" s="5">
        <v>214</v>
      </c>
      <c r="B275" s="138">
        <f>'Assets-Liab 5-6'!M18</f>
        <v>1022268</v>
      </c>
      <c r="D275" s="2" t="str">
        <f t="shared" si="3"/>
        <v>Error?</v>
      </c>
    </row>
    <row r="276" spans="1:4" x14ac:dyDescent="0.2">
      <c r="A276" s="5">
        <v>215</v>
      </c>
      <c r="B276" s="138">
        <f>'Assets-Liab 5-6'!M19</f>
        <v>2308498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24183170</v>
      </c>
      <c r="C279" s="2" t="s">
        <v>572</v>
      </c>
      <c r="D279" s="2" t="str">
        <f t="shared" si="3"/>
        <v>Error?</v>
      </c>
    </row>
    <row r="280" spans="1:4" x14ac:dyDescent="0.2">
      <c r="A280" s="5">
        <v>219</v>
      </c>
      <c r="B280" s="138">
        <f>'Assets-Liab 5-6'!M40</f>
        <v>24183170</v>
      </c>
      <c r="D280" s="2" t="str">
        <f t="shared" si="3"/>
        <v>Error?</v>
      </c>
    </row>
    <row r="281" spans="1:4" x14ac:dyDescent="0.2">
      <c r="A281" s="5">
        <v>220</v>
      </c>
      <c r="B281" s="138">
        <f>'Assets-Liab 5-6'!M41</f>
        <v>24183170</v>
      </c>
      <c r="C281" s="2" t="s">
        <v>572</v>
      </c>
      <c r="D281" s="2" t="str">
        <f t="shared" si="3"/>
        <v>Error?</v>
      </c>
    </row>
    <row r="282" spans="1:4" x14ac:dyDescent="0.2">
      <c r="A282" s="5">
        <v>221</v>
      </c>
      <c r="B282" s="138">
        <f>'Assets-Liab 5-6'!N21</f>
        <v>6146</v>
      </c>
      <c r="D282" s="2" t="str">
        <f t="shared" si="3"/>
        <v>Error?</v>
      </c>
    </row>
    <row r="283" spans="1:4" x14ac:dyDescent="0.2">
      <c r="A283" s="5">
        <v>222</v>
      </c>
      <c r="B283" s="138">
        <f>'Assets-Liab 5-6'!N22</f>
        <v>5242728</v>
      </c>
      <c r="D283" s="2" t="str">
        <f t="shared" si="3"/>
        <v>Error?</v>
      </c>
    </row>
    <row r="284" spans="1:4" x14ac:dyDescent="0.2">
      <c r="A284" s="5">
        <v>223</v>
      </c>
      <c r="B284" s="138">
        <f>'Assets-Liab 5-6'!N23</f>
        <v>5248874</v>
      </c>
      <c r="C284" s="2" t="s">
        <v>572</v>
      </c>
      <c r="D284" s="2" t="str">
        <f t="shared" si="3"/>
        <v>Error?</v>
      </c>
    </row>
    <row r="285" spans="1:4" x14ac:dyDescent="0.2">
      <c r="A285" s="5">
        <v>224</v>
      </c>
      <c r="B285" s="138">
        <f>'Assets-Liab 5-6'!N36</f>
        <v>5248874</v>
      </c>
      <c r="D285" s="2" t="str">
        <f t="shared" si="3"/>
        <v>Error?</v>
      </c>
    </row>
    <row r="286" spans="1:4" x14ac:dyDescent="0.2">
      <c r="A286" s="10">
        <v>225</v>
      </c>
      <c r="D286" s="2" t="str">
        <f t="shared" si="3"/>
        <v>OK</v>
      </c>
    </row>
    <row r="287" spans="1:4" x14ac:dyDescent="0.2">
      <c r="A287" s="5">
        <v>226</v>
      </c>
      <c r="B287" s="138">
        <f>'Assets-Liab 5-6'!N37</f>
        <v>5248874</v>
      </c>
      <c r="C287" s="2" t="s">
        <v>572</v>
      </c>
      <c r="D287" s="2" t="str">
        <f t="shared" si="3"/>
        <v>Error?</v>
      </c>
    </row>
    <row r="288" spans="1:4" x14ac:dyDescent="0.2">
      <c r="A288" s="5">
        <v>227</v>
      </c>
      <c r="B288" s="138">
        <f>'Assets-Liab 5-6'!N41</f>
        <v>5248874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2093486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186555</v>
      </c>
      <c r="D717" s="2" t="str">
        <f t="shared" si="10"/>
        <v>Error?</v>
      </c>
    </row>
    <row r="718" spans="1:4" x14ac:dyDescent="0.2">
      <c r="A718" s="5">
        <v>657</v>
      </c>
      <c r="B718" s="138">
        <f>'Expenditures 15-22'!C14</f>
        <v>128600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3228100</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117623</v>
      </c>
      <c r="D722" s="2" t="str">
        <f t="shared" si="10"/>
        <v>Error?</v>
      </c>
    </row>
    <row r="723" spans="1:4" x14ac:dyDescent="0.2">
      <c r="A723" s="5">
        <v>662</v>
      </c>
      <c r="B723" s="138">
        <f>'Expenditures 15-22'!C38</f>
        <v>30699</v>
      </c>
      <c r="D723" s="2" t="str">
        <f t="shared" si="10"/>
        <v>Error?</v>
      </c>
    </row>
    <row r="724" spans="1:4" x14ac:dyDescent="0.2">
      <c r="A724" s="5">
        <v>663</v>
      </c>
      <c r="B724" s="138">
        <f>'Expenditures 15-22'!C39</f>
        <v>63887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3540</v>
      </c>
      <c r="D726" s="2" t="str">
        <f t="shared" si="10"/>
        <v>Error?</v>
      </c>
    </row>
    <row r="727" spans="1:4" x14ac:dyDescent="0.2">
      <c r="A727" s="5">
        <v>666</v>
      </c>
      <c r="B727" s="138">
        <f>'Expenditures 15-22'!C42</f>
        <v>215749</v>
      </c>
      <c r="C727" s="2" t="s">
        <v>572</v>
      </c>
      <c r="D727" s="2" t="str">
        <f t="shared" si="10"/>
        <v>Error?</v>
      </c>
    </row>
    <row r="728" spans="1:4" x14ac:dyDescent="0.2">
      <c r="A728" s="5">
        <v>667</v>
      </c>
      <c r="B728" s="138">
        <f>'Expenditures 15-22'!C44</f>
        <v>56286</v>
      </c>
      <c r="D728" s="2" t="str">
        <f t="shared" si="10"/>
        <v>Error?</v>
      </c>
    </row>
    <row r="729" spans="1:4" x14ac:dyDescent="0.2">
      <c r="A729" s="5">
        <v>668</v>
      </c>
      <c r="B729" s="138">
        <f>'Expenditures 15-22'!C45</f>
        <v>115018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171304</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109738</v>
      </c>
      <c r="D733" s="2" t="str">
        <f t="shared" si="10"/>
        <v>Error?</v>
      </c>
    </row>
    <row r="734" spans="1:4" x14ac:dyDescent="0.2">
      <c r="A734" s="5">
        <v>673</v>
      </c>
      <c r="B734" s="138">
        <f>'Expenditures 15-22'!C53</f>
        <v>109738</v>
      </c>
      <c r="C734" s="2" t="s">
        <v>572</v>
      </c>
      <c r="D734" s="2" t="str">
        <f t="shared" si="10"/>
        <v>Error?</v>
      </c>
    </row>
    <row r="735" spans="1:4" x14ac:dyDescent="0.2">
      <c r="A735" s="5">
        <v>674</v>
      </c>
      <c r="B735" s="138">
        <f>'Expenditures 15-22'!C55</f>
        <v>412106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412106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62970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143605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206575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1115472</v>
      </c>
      <c r="C755" s="2" t="s">
        <v>572</v>
      </c>
      <c r="D755" s="2" t="str">
        <f t="shared" si="10"/>
        <v>Error?</v>
      </c>
    </row>
    <row r="756" spans="1:4" x14ac:dyDescent="0.2">
      <c r="A756" s="5">
        <v>695</v>
      </c>
      <c r="B756" s="138">
        <f>'Expenditures 15-22'!C75</f>
        <v>9022</v>
      </c>
      <c r="D756" s="2" t="str">
        <f t="shared" si="10"/>
        <v>Error?</v>
      </c>
    </row>
    <row r="757" spans="1:4" x14ac:dyDescent="0.2">
      <c r="A757" s="5">
        <v>696</v>
      </c>
      <c r="B757" s="138">
        <f>'Expenditures 15-22'!C114</f>
        <v>4352594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393357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33987</v>
      </c>
      <c r="D775" s="2" t="str">
        <f t="shared" si="11"/>
        <v>Error?</v>
      </c>
    </row>
    <row r="776" spans="1:4" x14ac:dyDescent="0.2">
      <c r="A776" s="5">
        <v>715</v>
      </c>
      <c r="B776" s="138">
        <f>'Expenditures 15-22'!D14</f>
        <v>8463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581243</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19412</v>
      </c>
      <c r="D780" s="2" t="str">
        <f t="shared" si="11"/>
        <v>Error?</v>
      </c>
    </row>
    <row r="781" spans="1:4" x14ac:dyDescent="0.2">
      <c r="A781" s="5">
        <v>720</v>
      </c>
      <c r="B781" s="138">
        <f>'Expenditures 15-22'!D38</f>
        <v>10592</v>
      </c>
      <c r="D781" s="2" t="str">
        <f t="shared" si="11"/>
        <v>Error?</v>
      </c>
    </row>
    <row r="782" spans="1:4" x14ac:dyDescent="0.2">
      <c r="A782" s="5">
        <v>721</v>
      </c>
      <c r="B782" s="138">
        <f>'Expenditures 15-22'!D39</f>
        <v>6862</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36866</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15413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15413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17686</v>
      </c>
      <c r="D791" s="2" t="str">
        <f t="shared" si="11"/>
        <v>Error?</v>
      </c>
    </row>
    <row r="792" spans="1:4" x14ac:dyDescent="0.2">
      <c r="A792" s="5">
        <v>731</v>
      </c>
      <c r="B792" s="138">
        <f>'Expenditures 15-22'!D53</f>
        <v>17686</v>
      </c>
      <c r="C792" s="2" t="s">
        <v>572</v>
      </c>
      <c r="D792" s="2" t="str">
        <f t="shared" si="11"/>
        <v>Error?</v>
      </c>
    </row>
    <row r="793" spans="1:4" x14ac:dyDescent="0.2">
      <c r="A793" s="5">
        <v>732</v>
      </c>
      <c r="B793" s="138">
        <f>'Expenditures 15-22'!D55</f>
        <v>64093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64093</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19750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19773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153831</v>
      </c>
      <c r="C813" s="2" t="s">
        <v>572</v>
      </c>
      <c r="D813" s="2" t="str">
        <f t="shared" si="11"/>
        <v>Error?</v>
      </c>
    </row>
    <row r="814" spans="1:4" x14ac:dyDescent="0.2">
      <c r="A814" s="5">
        <v>753</v>
      </c>
      <c r="B814" s="138">
        <f>'Expenditures 15-22'!D75</f>
        <v>453</v>
      </c>
      <c r="D814" s="2" t="str">
        <f t="shared" si="11"/>
        <v>Error?</v>
      </c>
    </row>
    <row r="815" spans="1:4" x14ac:dyDescent="0.2">
      <c r="A815" s="5">
        <v>754</v>
      </c>
      <c r="B815" s="138">
        <f>'Expenditures 15-22'!D114</f>
        <v>735527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105878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18969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125967</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295</v>
      </c>
      <c r="D839" s="2" t="str">
        <f t="shared" si="12"/>
        <v>Error?</v>
      </c>
    </row>
    <row r="840" spans="1:4" x14ac:dyDescent="0.2">
      <c r="A840" s="5">
        <v>779</v>
      </c>
      <c r="B840" s="138">
        <f>'Expenditures 15-22'!E39</f>
        <v>1342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5401</v>
      </c>
      <c r="D842" s="2" t="str">
        <f t="shared" si="12"/>
        <v>Error?</v>
      </c>
    </row>
    <row r="843" spans="1:4" x14ac:dyDescent="0.2">
      <c r="A843" s="5">
        <v>782</v>
      </c>
      <c r="B843" s="138">
        <f>'Expenditures 15-22'!E42</f>
        <v>7038</v>
      </c>
      <c r="C843" s="2" t="s">
        <v>572</v>
      </c>
      <c r="D843" s="2" t="str">
        <f t="shared" si="12"/>
        <v>Error?</v>
      </c>
    </row>
    <row r="844" spans="1:4" x14ac:dyDescent="0.2">
      <c r="A844" s="5">
        <v>783</v>
      </c>
      <c r="B844" s="138">
        <f>'Expenditures 15-22'!E44</f>
        <v>16779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16779</v>
      </c>
      <c r="C847" s="2" t="s">
        <v>572</v>
      </c>
      <c r="D847" s="2" t="str">
        <f t="shared" si="12"/>
        <v>Error?</v>
      </c>
    </row>
    <row r="848" spans="1:4" x14ac:dyDescent="0.2">
      <c r="A848" s="5">
        <v>787</v>
      </c>
      <c r="B848" s="138">
        <f>'Expenditures 15-22'!E49</f>
        <v>30038</v>
      </c>
      <c r="D848" s="2" t="str">
        <f t="shared" si="12"/>
        <v>Error?</v>
      </c>
    </row>
    <row r="849" spans="1:4" x14ac:dyDescent="0.2">
      <c r="A849" s="5">
        <v>788</v>
      </c>
      <c r="B849" s="138">
        <f>'Expenditures 15-22'!E50</f>
        <v>1133</v>
      </c>
      <c r="D849" s="2" t="str">
        <f t="shared" si="12"/>
        <v>Error?</v>
      </c>
    </row>
    <row r="850" spans="1:4" x14ac:dyDescent="0.2">
      <c r="A850" s="5">
        <v>789</v>
      </c>
      <c r="B850" s="138">
        <f>'Expenditures 15-22'!E53</f>
        <v>31171</v>
      </c>
      <c r="C850" s="2" t="s">
        <v>572</v>
      </c>
      <c r="D850" s="2" t="str">
        <f t="shared" si="12"/>
        <v>Error?</v>
      </c>
    </row>
    <row r="851" spans="1:4" x14ac:dyDescent="0.2">
      <c r="A851" s="5">
        <v>790</v>
      </c>
      <c r="B851" s="138">
        <f>'Expenditures 15-22'!E55</f>
        <v>844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13004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13004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68836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215524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104717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7272</v>
      </c>
      <c r="D891" s="2" t="str">
        <f t="shared" si="12"/>
        <v>Error?</v>
      </c>
    </row>
    <row r="892" spans="1:4" x14ac:dyDescent="0.2">
      <c r="A892" s="5">
        <v>831</v>
      </c>
      <c r="B892" s="138">
        <f>'Expenditures 15-22'!F14</f>
        <v>5385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155552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2203</v>
      </c>
      <c r="D897" s="2" t="str">
        <f t="shared" si="13"/>
        <v>Error?</v>
      </c>
    </row>
    <row r="898" spans="1:4" x14ac:dyDescent="0.2">
      <c r="A898" s="5">
        <v>837</v>
      </c>
      <c r="B898" s="138">
        <f>'Expenditures 15-22'!F39</f>
        <v>681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2884</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2500</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3487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224797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228284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233668</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389220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96834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2619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99453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99453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26006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1198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1198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6932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6932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8130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229337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263473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2794272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230433</v>
      </c>
      <c r="C1105" s="2" t="s">
        <v>572</v>
      </c>
      <c r="D1105" s="2" t="str">
        <f t="shared" si="16"/>
        <v>Error?</v>
      </c>
    </row>
    <row r="1106" spans="1:4" x14ac:dyDescent="0.2">
      <c r="A1106" s="5">
        <v>1045</v>
      </c>
      <c r="B1106" s="138">
        <f>'Expenditures 15-22'!K14</f>
        <v>161417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4216321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137035</v>
      </c>
      <c r="C1110" s="2" t="s">
        <v>572</v>
      </c>
      <c r="D1110" s="2" t="str">
        <f t="shared" si="16"/>
        <v>Error?</v>
      </c>
    </row>
    <row r="1111" spans="1:4" x14ac:dyDescent="0.2">
      <c r="A1111" s="5">
        <v>1050</v>
      </c>
      <c r="B1111" s="138">
        <f>'Expenditures 15-22'!K38</f>
        <v>43789</v>
      </c>
      <c r="C1111" s="2" t="s">
        <v>572</v>
      </c>
      <c r="D1111" s="2" t="str">
        <f t="shared" si="16"/>
        <v>Error?</v>
      </c>
    </row>
    <row r="1112" spans="1:4" x14ac:dyDescent="0.2">
      <c r="A1112" s="5">
        <v>1051</v>
      </c>
      <c r="B1112" s="138">
        <f>'Expenditures 15-22'!K39</f>
        <v>72772</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8941</v>
      </c>
      <c r="C1114" s="2" t="s">
        <v>572</v>
      </c>
      <c r="D1114" s="2" t="str">
        <f t="shared" si="16"/>
        <v>Error?</v>
      </c>
    </row>
    <row r="1115" spans="1:4" x14ac:dyDescent="0.2">
      <c r="A1115" s="5">
        <v>1054</v>
      </c>
      <c r="B1115" s="138">
        <f>'Expenditures 15-22'!K42</f>
        <v>262537</v>
      </c>
      <c r="C1115" s="2" t="s">
        <v>572</v>
      </c>
      <c r="D1115" s="2" t="str">
        <f t="shared" si="16"/>
        <v>Error?</v>
      </c>
    </row>
    <row r="1116" spans="1:4" x14ac:dyDescent="0.2">
      <c r="A1116" s="5">
        <v>1055</v>
      </c>
      <c r="B1116" s="138">
        <f>'Expenditures 15-22'!K44</f>
        <v>73065</v>
      </c>
      <c r="C1116" s="2" t="s">
        <v>572</v>
      </c>
      <c r="D1116" s="2" t="str">
        <f t="shared" si="16"/>
        <v>Error?</v>
      </c>
    </row>
    <row r="1117" spans="1:4" x14ac:dyDescent="0.2">
      <c r="A1117" s="5">
        <v>1056</v>
      </c>
      <c r="B1117" s="138">
        <f>'Expenditures 15-22'!K45</f>
        <v>132931</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205996</v>
      </c>
      <c r="C1119" s="2" t="s">
        <v>572</v>
      </c>
      <c r="D1119" s="2" t="str">
        <f t="shared" si="16"/>
        <v>Error?</v>
      </c>
    </row>
    <row r="1120" spans="1:4" x14ac:dyDescent="0.2">
      <c r="A1120" s="5">
        <v>1059</v>
      </c>
      <c r="B1120" s="138">
        <f>'Expenditures 15-22'!K49</f>
        <v>30038</v>
      </c>
      <c r="C1120" s="2" t="s">
        <v>572</v>
      </c>
      <c r="D1120" s="2" t="str">
        <f t="shared" si="16"/>
        <v>Error?</v>
      </c>
    </row>
    <row r="1121" spans="1:4" x14ac:dyDescent="0.2">
      <c r="A1121" s="5">
        <v>1060</v>
      </c>
      <c r="B1121" s="138">
        <f>'Expenditures 15-22'!K50</f>
        <v>128557</v>
      </c>
      <c r="C1121" s="2" t="s">
        <v>572</v>
      </c>
      <c r="D1121" s="2" t="str">
        <f t="shared" si="16"/>
        <v>Error?</v>
      </c>
    </row>
    <row r="1122" spans="1:4" x14ac:dyDescent="0.2">
      <c r="A1122" s="5">
        <v>1061</v>
      </c>
      <c r="B1122" s="138">
        <f>'Expenditures 15-22'!K53</f>
        <v>158595</v>
      </c>
      <c r="C1122" s="2" t="s">
        <v>572</v>
      </c>
      <c r="D1122" s="2" t="str">
        <f t="shared" si="16"/>
        <v>Error?</v>
      </c>
    </row>
    <row r="1123" spans="1:4" x14ac:dyDescent="0.2">
      <c r="A1123" s="5">
        <v>1062</v>
      </c>
      <c r="B1123" s="138">
        <f>'Expenditures 15-22'!K55</f>
        <v>478241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478241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86416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388152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474568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1579937</v>
      </c>
      <c r="C1143" s="2" t="s">
        <v>572</v>
      </c>
      <c r="D1143" s="2" t="str">
        <f t="shared" si="16"/>
        <v>Error?</v>
      </c>
    </row>
    <row r="1144" spans="1:4" x14ac:dyDescent="0.2">
      <c r="A1144" s="5">
        <v>1083</v>
      </c>
      <c r="B1144" s="138">
        <f>'Expenditures 15-22'!K75</f>
        <v>9475</v>
      </c>
      <c r="C1144" s="2" t="s">
        <v>572</v>
      </c>
      <c r="D1144" s="2" t="str">
        <f t="shared" si="16"/>
        <v>Error?</v>
      </c>
    </row>
    <row r="1145" spans="1:4" x14ac:dyDescent="0.2">
      <c r="A1145" s="5">
        <v>1084</v>
      </c>
      <c r="B1145" s="138">
        <f>'Expenditures 15-22'!K102</f>
        <v>250058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6055791</v>
      </c>
      <c r="C1152" s="2" t="s">
        <v>572</v>
      </c>
      <c r="D1152" s="2" t="str">
        <f t="shared" si="17"/>
        <v>Error?</v>
      </c>
    </row>
    <row r="1153" spans="1:4" x14ac:dyDescent="0.2">
      <c r="A1153" s="5">
        <v>1092</v>
      </c>
      <c r="B1153" s="138">
        <f>'Expenditures 15-22'!K115</f>
        <v>86390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323572</v>
      </c>
      <c r="D1221" s="2" t="str">
        <f t="shared" si="18"/>
        <v>Error?</v>
      </c>
    </row>
    <row r="1222" spans="1:4" x14ac:dyDescent="0.2">
      <c r="A1222" s="10">
        <v>1161</v>
      </c>
      <c r="D1222" s="2" t="str">
        <f t="shared" si="18"/>
        <v>OK</v>
      </c>
    </row>
    <row r="1223" spans="1:4" x14ac:dyDescent="0.2">
      <c r="A1223" s="5">
        <v>1162</v>
      </c>
      <c r="B1223" s="138">
        <f>'Expenditures 15-22'!C127</f>
        <v>323572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323572</v>
      </c>
      <c r="C1225" s="2" t="s">
        <v>572</v>
      </c>
      <c r="D1225" s="2" t="str">
        <f t="shared" si="18"/>
        <v>Error?</v>
      </c>
    </row>
    <row r="1226" spans="1:4" x14ac:dyDescent="0.2">
      <c r="A1226" s="5">
        <v>1165</v>
      </c>
      <c r="B1226" s="138">
        <f>'Expenditures 15-22'!C151</f>
        <v>323572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29532</v>
      </c>
      <c r="D1229" s="2" t="str">
        <f t="shared" si="18"/>
        <v>Error?</v>
      </c>
    </row>
    <row r="1230" spans="1:4" x14ac:dyDescent="0.2">
      <c r="A1230" s="10">
        <v>1169</v>
      </c>
      <c r="D1230" s="2" t="str">
        <f t="shared" si="18"/>
        <v>OK</v>
      </c>
    </row>
    <row r="1231" spans="1:4" x14ac:dyDescent="0.2">
      <c r="A1231" s="5">
        <v>1170</v>
      </c>
      <c r="B1231" s="138">
        <f>'Expenditures 15-22'!D127</f>
        <v>29532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29532</v>
      </c>
      <c r="C1233" s="2" t="s">
        <v>572</v>
      </c>
      <c r="D1233" s="2" t="str">
        <f t="shared" si="18"/>
        <v>Error?</v>
      </c>
    </row>
    <row r="1234" spans="1:4" x14ac:dyDescent="0.2">
      <c r="A1234" s="5">
        <v>1173</v>
      </c>
      <c r="B1234" s="138">
        <f>'Expenditures 15-22'!D151</f>
        <v>29532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119865</v>
      </c>
      <c r="D1237" s="2" t="str">
        <f t="shared" si="18"/>
        <v>Error?</v>
      </c>
    </row>
    <row r="1238" spans="1:4" x14ac:dyDescent="0.2">
      <c r="A1238" s="10">
        <v>1177</v>
      </c>
      <c r="D1238" s="2" t="str">
        <f t="shared" si="18"/>
        <v>OK</v>
      </c>
    </row>
    <row r="1239" spans="1:4" x14ac:dyDescent="0.2">
      <c r="A1239" s="5">
        <v>1178</v>
      </c>
      <c r="B1239" s="138">
        <f>'Expenditures 15-22'!E127</f>
        <v>119865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119865</v>
      </c>
      <c r="C1241" s="2" t="s">
        <v>572</v>
      </c>
      <c r="D1241" s="2" t="str">
        <f t="shared" si="18"/>
        <v>Error?</v>
      </c>
    </row>
    <row r="1242" spans="1:4" x14ac:dyDescent="0.2">
      <c r="A1242" s="5">
        <v>1181</v>
      </c>
      <c r="B1242" s="138">
        <f>'Expenditures 15-22'!E151</f>
        <v>119865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444659</v>
      </c>
      <c r="D1245" s="2" t="str">
        <f t="shared" si="18"/>
        <v>Error?</v>
      </c>
    </row>
    <row r="1246" spans="1:4" x14ac:dyDescent="0.2">
      <c r="A1246" s="10">
        <v>1185</v>
      </c>
      <c r="D1246" s="2" t="str">
        <f t="shared" si="18"/>
        <v>OK</v>
      </c>
    </row>
    <row r="1247" spans="1:4" x14ac:dyDescent="0.2">
      <c r="A1247" s="5">
        <v>1186</v>
      </c>
      <c r="B1247" s="138">
        <f>'Expenditures 15-22'!F127</f>
        <v>444659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444659</v>
      </c>
      <c r="C1249" s="2" t="s">
        <v>572</v>
      </c>
      <c r="D1249" s="2" t="str">
        <f t="shared" si="18"/>
        <v>Error?</v>
      </c>
    </row>
    <row r="1250" spans="1:4" x14ac:dyDescent="0.2">
      <c r="A1250" s="5">
        <v>1189</v>
      </c>
      <c r="B1250" s="138">
        <f>'Expenditures 15-22'!F151</f>
        <v>444659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30510</v>
      </c>
      <c r="D1252" s="2" t="str">
        <f t="shared" si="18"/>
        <v>Error?</v>
      </c>
    </row>
    <row r="1253" spans="1:4" x14ac:dyDescent="0.2">
      <c r="A1253" s="5">
        <v>1192</v>
      </c>
      <c r="B1253" s="138">
        <f>'Expenditures 15-22'!G124</f>
        <v>131311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161821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161821</v>
      </c>
      <c r="C1258" s="2" t="s">
        <v>572</v>
      </c>
      <c r="D1258" s="2" t="str">
        <f t="shared" si="18"/>
        <v>Error?</v>
      </c>
    </row>
    <row r="1259" spans="1:4" x14ac:dyDescent="0.2">
      <c r="A1259" s="5">
        <v>1198</v>
      </c>
      <c r="B1259" s="138">
        <f>'Expenditures 15-22'!G151</f>
        <v>161821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30510</v>
      </c>
      <c r="C1275" s="2" t="s">
        <v>572</v>
      </c>
      <c r="D1275" s="2" t="str">
        <f t="shared" si="18"/>
        <v>Error?</v>
      </c>
    </row>
    <row r="1276" spans="1:4" x14ac:dyDescent="0.2">
      <c r="A1276" s="5">
        <v>1215</v>
      </c>
      <c r="B1276" s="138">
        <f>'Expenditures 15-22'!K124</f>
        <v>1048939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1079449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1079449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1079449</v>
      </c>
      <c r="C1288" s="2" t="s">
        <v>572</v>
      </c>
      <c r="D1288" s="2" t="str">
        <f t="shared" si="19"/>
        <v>Error?</v>
      </c>
    </row>
    <row r="1289" spans="1:4" x14ac:dyDescent="0.2">
      <c r="A1289" s="5">
        <v>1228</v>
      </c>
      <c r="B1289" s="138">
        <f>'Expenditures 15-22'!K152</f>
        <v>42545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165910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585904</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753214</v>
      </c>
      <c r="C1317" s="2" t="s">
        <v>572</v>
      </c>
      <c r="D1317" s="2" t="str">
        <f t="shared" si="19"/>
        <v>Error?</v>
      </c>
    </row>
    <row r="1318" spans="1:4" x14ac:dyDescent="0.2">
      <c r="A1318" s="5">
        <v>1257</v>
      </c>
      <c r="B1318" s="138">
        <f>'Expenditures 15-22'!H174</f>
        <v>753214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165910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585904</v>
      </c>
      <c r="C1329" s="2" t="s">
        <v>572</v>
      </c>
      <c r="D1329" s="2" t="str">
        <f t="shared" si="19"/>
        <v>Error?</v>
      </c>
    </row>
    <row r="1330" spans="1:4" x14ac:dyDescent="0.2">
      <c r="A1330" s="5">
        <v>1269</v>
      </c>
      <c r="B1330" s="138">
        <f>'Expenditures 15-22'!K171</f>
        <v>1400</v>
      </c>
      <c r="C1330" s="2" t="s">
        <v>572</v>
      </c>
      <c r="D1330" s="2" t="str">
        <f t="shared" si="19"/>
        <v>Error?</v>
      </c>
    </row>
    <row r="1331" spans="1:4" x14ac:dyDescent="0.2">
      <c r="A1331" s="5">
        <v>1270</v>
      </c>
      <c r="B1331" s="138">
        <f>'Expenditures 15-22'!K172</f>
        <v>753214</v>
      </c>
      <c r="C1331" s="2" t="s">
        <v>572</v>
      </c>
      <c r="D1331" s="2" t="str">
        <f t="shared" si="19"/>
        <v>Error?</v>
      </c>
    </row>
    <row r="1332" spans="1:4" x14ac:dyDescent="0.2">
      <c r="A1332" s="5">
        <v>1271</v>
      </c>
      <c r="B1332" s="138">
        <f>'Expenditures 15-22'!K174</f>
        <v>753214</v>
      </c>
      <c r="C1332" s="2" t="s">
        <v>572</v>
      </c>
      <c r="D1332" s="2" t="str">
        <f t="shared" si="19"/>
        <v>Error?</v>
      </c>
    </row>
    <row r="1333" spans="1:4" x14ac:dyDescent="0.2">
      <c r="A1333" s="5">
        <v>1272</v>
      </c>
      <c r="B1333" s="138">
        <f>'Expenditures 15-22'!K175</f>
        <v>-507</v>
      </c>
      <c r="C1333" s="2" t="s">
        <v>572</v>
      </c>
      <c r="D1333" s="2" t="str">
        <f t="shared" si="19"/>
        <v>Error?</v>
      </c>
    </row>
    <row r="1334" spans="1:4" x14ac:dyDescent="0.2">
      <c r="A1334" s="10">
        <v>1273</v>
      </c>
      <c r="D1334" s="2" t="str">
        <f t="shared" si="19"/>
        <v>OK</v>
      </c>
    </row>
    <row r="1335" spans="1:4" x14ac:dyDescent="0.2">
      <c r="A1335" s="5">
        <v>1274</v>
      </c>
      <c r="B1335" s="138">
        <f>'Expenditures 15-22'!C182</f>
        <v>323872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323872</v>
      </c>
      <c r="C1339" s="2" t="s">
        <v>572</v>
      </c>
      <c r="D1339" s="2" t="str">
        <f t="shared" si="19"/>
        <v>Error?</v>
      </c>
    </row>
    <row r="1340" spans="1:4" x14ac:dyDescent="0.2">
      <c r="A1340" s="5">
        <v>1279</v>
      </c>
      <c r="B1340" s="138">
        <f>'Expenditures 15-22'!C210</f>
        <v>323872</v>
      </c>
      <c r="C1340" s="2" t="s">
        <v>572</v>
      </c>
      <c r="D1340" s="2" t="str">
        <f t="shared" si="19"/>
        <v>Error?</v>
      </c>
    </row>
    <row r="1341" spans="1:4" x14ac:dyDescent="0.2">
      <c r="A1341" s="5">
        <v>1280</v>
      </c>
      <c r="B1341" s="138">
        <f>'Expenditures 15-22'!D182</f>
        <v>36767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36767</v>
      </c>
      <c r="C1345" s="2" t="s">
        <v>572</v>
      </c>
      <c r="D1345" s="2" t="str">
        <f t="shared" si="20"/>
        <v>Error?</v>
      </c>
    </row>
    <row r="1346" spans="1:4" x14ac:dyDescent="0.2">
      <c r="A1346" s="5">
        <v>1285</v>
      </c>
      <c r="B1346" s="138">
        <f>'Expenditures 15-22'!D210</f>
        <v>36767</v>
      </c>
      <c r="C1346" s="2" t="s">
        <v>572</v>
      </c>
      <c r="D1346" s="2" t="str">
        <f t="shared" si="20"/>
        <v>Error?</v>
      </c>
    </row>
    <row r="1347" spans="1:4" x14ac:dyDescent="0.2">
      <c r="A1347" s="5">
        <v>1286</v>
      </c>
      <c r="B1347" s="138">
        <f>'Expenditures 15-22'!E182</f>
        <v>21466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21466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21466</v>
      </c>
      <c r="C1353" s="2" t="s">
        <v>572</v>
      </c>
      <c r="D1353" s="2" t="str">
        <f t="shared" si="20"/>
        <v>Error?</v>
      </c>
    </row>
    <row r="1354" spans="1:4" x14ac:dyDescent="0.2">
      <c r="A1354" s="5">
        <v>1293</v>
      </c>
      <c r="B1354" s="138">
        <f>'Expenditures 15-22'!F182</f>
        <v>83239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83239</v>
      </c>
      <c r="C1358" s="2" t="s">
        <v>572</v>
      </c>
      <c r="D1358" s="2" t="str">
        <f t="shared" si="20"/>
        <v>Error?</v>
      </c>
    </row>
    <row r="1359" spans="1:4" x14ac:dyDescent="0.2">
      <c r="A1359" s="5">
        <v>1298</v>
      </c>
      <c r="B1359" s="138">
        <f>'Expenditures 15-22'!F210</f>
        <v>83239</v>
      </c>
      <c r="C1359" s="2" t="s">
        <v>572</v>
      </c>
      <c r="D1359" s="2" t="str">
        <f t="shared" si="20"/>
        <v>Error?</v>
      </c>
    </row>
    <row r="1360" spans="1:4" x14ac:dyDescent="0.2">
      <c r="A1360" s="5">
        <v>1299</v>
      </c>
      <c r="B1360" s="138">
        <f>'Expenditures 15-22'!G182</f>
        <v>155312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155312</v>
      </c>
      <c r="C1364" s="2" t="s">
        <v>572</v>
      </c>
      <c r="D1364" s="2" t="str">
        <f t="shared" si="20"/>
        <v>Error?</v>
      </c>
    </row>
    <row r="1365" spans="1:4" x14ac:dyDescent="0.2">
      <c r="A1365" s="5">
        <v>1304</v>
      </c>
      <c r="B1365" s="138">
        <f>'Expenditures 15-22'!G210</f>
        <v>155312</v>
      </c>
      <c r="C1365" s="2" t="s">
        <v>572</v>
      </c>
      <c r="D1365" s="2" t="str">
        <f t="shared" si="20"/>
        <v>Error?</v>
      </c>
    </row>
    <row r="1366" spans="1:4" x14ac:dyDescent="0.2">
      <c r="A1366" s="5">
        <v>1305</v>
      </c>
      <c r="B1366" s="138">
        <f>'Expenditures 15-22'!H182</f>
        <v>125315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125315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53924</v>
      </c>
      <c r="C1375" s="2" t="s">
        <v>572</v>
      </c>
      <c r="D1375" s="2" t="str">
        <f t="shared" si="20"/>
        <v>Error?</v>
      </c>
    </row>
    <row r="1376" spans="1:4" x14ac:dyDescent="0.2">
      <c r="A1376" s="5">
        <v>1315</v>
      </c>
      <c r="B1376" s="138">
        <f>'Expenditures 15-22'!H210</f>
        <v>179239</v>
      </c>
      <c r="C1376" s="2" t="s">
        <v>572</v>
      </c>
      <c r="D1376" s="2" t="str">
        <f t="shared" si="20"/>
        <v>Error?</v>
      </c>
    </row>
    <row r="1377" spans="1:4" x14ac:dyDescent="0.2">
      <c r="A1377" s="5">
        <v>1316</v>
      </c>
      <c r="B1377" s="138">
        <f>'Expenditures 15-22'!K182</f>
        <v>745971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745971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53924</v>
      </c>
      <c r="C1387" s="2" t="s">
        <v>572</v>
      </c>
      <c r="D1387" s="2" t="str">
        <f t="shared" si="20"/>
        <v>Error?</v>
      </c>
    </row>
    <row r="1388" spans="1:4" x14ac:dyDescent="0.2">
      <c r="A1388" s="5">
        <v>1327</v>
      </c>
      <c r="B1388" s="138">
        <f>'Expenditures 15-22'!K210</f>
        <v>799895</v>
      </c>
      <c r="C1388" s="2" t="s">
        <v>572</v>
      </c>
      <c r="D1388" s="2" t="str">
        <f t="shared" si="20"/>
        <v>Error?</v>
      </c>
    </row>
    <row r="1389" spans="1:4" x14ac:dyDescent="0.2">
      <c r="A1389" s="5">
        <v>1328</v>
      </c>
      <c r="B1389" s="138">
        <f>'Expenditures 15-22'!K211</f>
        <v>-125254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8002</v>
      </c>
      <c r="D1407" s="2" t="str">
        <f t="shared" ref="D1407:D1470" si="21">IF(ISBLANK(B1407),"OK",IF(A1407-B1407=0,"OK","Error?"))</f>
        <v>Error?</v>
      </c>
    </row>
    <row r="1408" spans="1:4" x14ac:dyDescent="0.2">
      <c r="A1408" s="5">
        <v>1347</v>
      </c>
      <c r="B1408" s="138">
        <f>'Expenditures 15-22'!D223</f>
        <v>6673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96427</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1472</v>
      </c>
      <c r="D1412" s="2" t="str">
        <f t="shared" si="21"/>
        <v>Error?</v>
      </c>
    </row>
    <row r="1413" spans="1:4" x14ac:dyDescent="0.2">
      <c r="A1413" s="5">
        <v>1352</v>
      </c>
      <c r="B1413" s="138">
        <f>'Expenditures 15-22'!D234</f>
        <v>2079</v>
      </c>
      <c r="D1413" s="2" t="str">
        <f t="shared" si="21"/>
        <v>Error?</v>
      </c>
    </row>
    <row r="1414" spans="1:4" x14ac:dyDescent="0.2">
      <c r="A1414" s="5">
        <v>1353</v>
      </c>
      <c r="B1414" s="138">
        <f>'Expenditures 15-22'!D235</f>
        <v>794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620</v>
      </c>
      <c r="D1416" s="2" t="str">
        <f t="shared" si="21"/>
        <v>Error?</v>
      </c>
    </row>
    <row r="1417" spans="1:4" x14ac:dyDescent="0.2">
      <c r="A1417" s="5">
        <v>1356</v>
      </c>
      <c r="B1417" s="138">
        <f>'Expenditures 15-22'!D238</f>
        <v>4965</v>
      </c>
      <c r="C1417" s="2" t="s">
        <v>572</v>
      </c>
      <c r="D1417" s="2" t="str">
        <f t="shared" si="21"/>
        <v>Error?</v>
      </c>
    </row>
    <row r="1418" spans="1:4" x14ac:dyDescent="0.2">
      <c r="A1418" s="5">
        <v>1357</v>
      </c>
      <c r="B1418" s="138">
        <f>'Expenditures 15-22'!D240</f>
        <v>3484</v>
      </c>
      <c r="D1418" s="2" t="str">
        <f t="shared" si="21"/>
        <v>Error?</v>
      </c>
    </row>
    <row r="1419" spans="1:4" x14ac:dyDescent="0.2">
      <c r="A1419" s="5">
        <v>1358</v>
      </c>
      <c r="B1419" s="138">
        <f>'Expenditures 15-22'!D241</f>
        <v>24525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28009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1560</v>
      </c>
      <c r="D1423" s="2" t="str">
        <f t="shared" si="21"/>
        <v>Error?</v>
      </c>
    </row>
    <row r="1424" spans="1:4" x14ac:dyDescent="0.2">
      <c r="A1424" s="5">
        <v>1363</v>
      </c>
      <c r="B1424" s="138">
        <f>'Expenditures 15-22'!D257</f>
        <v>38578</v>
      </c>
      <c r="C1424" s="2" t="s">
        <v>572</v>
      </c>
      <c r="D1424" s="2" t="str">
        <f t="shared" si="21"/>
        <v>Error?</v>
      </c>
    </row>
    <row r="1425" spans="1:4" x14ac:dyDescent="0.2">
      <c r="A1425" s="5">
        <v>1364</v>
      </c>
      <c r="B1425" s="138">
        <f>'Expenditures 15-22'!D259</f>
        <v>31399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31399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52942</v>
      </c>
      <c r="D1431" s="2" t="str">
        <f t="shared" si="21"/>
        <v>Error?</v>
      </c>
    </row>
    <row r="1432" spans="1:4" x14ac:dyDescent="0.2">
      <c r="A1432" s="5">
        <v>1371</v>
      </c>
      <c r="B1432" s="138">
        <f>'Expenditures 15-22'!D267</f>
        <v>53676</v>
      </c>
      <c r="D1432" s="2" t="str">
        <f t="shared" si="21"/>
        <v>Error?</v>
      </c>
    </row>
    <row r="1433" spans="1:4" x14ac:dyDescent="0.2">
      <c r="A1433" s="5">
        <v>1372</v>
      </c>
      <c r="B1433" s="138">
        <f>'Expenditures 15-22'!D268</f>
        <v>21388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138922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241873</v>
      </c>
      <c r="C1446" s="2" t="s">
        <v>572</v>
      </c>
      <c r="D1446" s="2" t="str">
        <f t="shared" si="21"/>
        <v>Error?</v>
      </c>
    </row>
    <row r="1447" spans="1:4" x14ac:dyDescent="0.2">
      <c r="A1447" s="5">
        <v>1386</v>
      </c>
      <c r="B1447" s="138">
        <f>'Expenditures 15-22'!D280</f>
        <v>827</v>
      </c>
      <c r="D1447" s="2" t="str">
        <f t="shared" si="21"/>
        <v>Error?</v>
      </c>
    </row>
    <row r="1448" spans="1:4" x14ac:dyDescent="0.2">
      <c r="A1448" s="5">
        <v>1387</v>
      </c>
      <c r="B1448" s="138">
        <f>'Expenditures 15-22'!D295</f>
        <v>339127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8002</v>
      </c>
      <c r="C1471" s="2" t="s">
        <v>572</v>
      </c>
      <c r="D1471" s="2" t="str">
        <f t="shared" ref="D1471:D1534" si="22">IF(ISBLANK(B1471),"OK",IF(A1471-B1471=0,"OK","Error?"))</f>
        <v>Error?</v>
      </c>
    </row>
    <row r="1472" spans="1:4" x14ac:dyDescent="0.2">
      <c r="A1472" s="5">
        <v>1411</v>
      </c>
      <c r="B1472" s="138">
        <f>'Expenditures 15-22'!K223</f>
        <v>6673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96427</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1472</v>
      </c>
      <c r="C1476" s="2" t="s">
        <v>572</v>
      </c>
      <c r="D1476" s="2" t="str">
        <f t="shared" si="22"/>
        <v>Error?</v>
      </c>
    </row>
    <row r="1477" spans="1:4" x14ac:dyDescent="0.2">
      <c r="A1477" s="5">
        <v>1416</v>
      </c>
      <c r="B1477" s="138">
        <f>'Expenditures 15-22'!K234</f>
        <v>2079</v>
      </c>
      <c r="C1477" s="2" t="s">
        <v>572</v>
      </c>
      <c r="D1477" s="2" t="str">
        <f t="shared" si="22"/>
        <v>Error?</v>
      </c>
    </row>
    <row r="1478" spans="1:4" x14ac:dyDescent="0.2">
      <c r="A1478" s="5">
        <v>1417</v>
      </c>
      <c r="B1478" s="138">
        <f>'Expenditures 15-22'!K235</f>
        <v>794</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620</v>
      </c>
      <c r="C1480" s="2" t="s">
        <v>572</v>
      </c>
      <c r="D1480" s="2" t="str">
        <f t="shared" si="22"/>
        <v>Error?</v>
      </c>
    </row>
    <row r="1481" spans="1:4" x14ac:dyDescent="0.2">
      <c r="A1481" s="5">
        <v>1420</v>
      </c>
      <c r="B1481" s="138">
        <f>'Expenditures 15-22'!K238</f>
        <v>4965</v>
      </c>
      <c r="C1481" s="2" t="s">
        <v>572</v>
      </c>
      <c r="D1481" s="2" t="str">
        <f t="shared" si="22"/>
        <v>Error?</v>
      </c>
    </row>
    <row r="1482" spans="1:4" x14ac:dyDescent="0.2">
      <c r="A1482" s="5">
        <v>1421</v>
      </c>
      <c r="B1482" s="138">
        <f>'Expenditures 15-22'!K240</f>
        <v>3484</v>
      </c>
      <c r="C1482" s="2" t="s">
        <v>572</v>
      </c>
      <c r="D1482" s="2" t="str">
        <f t="shared" si="22"/>
        <v>Error?</v>
      </c>
    </row>
    <row r="1483" spans="1:4" x14ac:dyDescent="0.2">
      <c r="A1483" s="5">
        <v>1422</v>
      </c>
      <c r="B1483" s="138">
        <f>'Expenditures 15-22'!K241</f>
        <v>24525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28009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1560</v>
      </c>
      <c r="C1487" s="2" t="s">
        <v>572</v>
      </c>
      <c r="D1487" s="2" t="str">
        <f t="shared" si="22"/>
        <v>Error?</v>
      </c>
    </row>
    <row r="1488" spans="1:4" x14ac:dyDescent="0.2">
      <c r="A1488" s="5">
        <v>1427</v>
      </c>
      <c r="B1488" s="138">
        <f>'Expenditures 15-22'!K257</f>
        <v>38578</v>
      </c>
      <c r="C1488" s="2" t="s">
        <v>572</v>
      </c>
      <c r="D1488" s="2" t="str">
        <f t="shared" si="22"/>
        <v>Error?</v>
      </c>
    </row>
    <row r="1489" spans="1:4" x14ac:dyDescent="0.2">
      <c r="A1489" s="5">
        <v>1428</v>
      </c>
      <c r="B1489" s="138">
        <f>'Expenditures 15-22'!K259</f>
        <v>31399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31399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10916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52942</v>
      </c>
      <c r="C1495" s="2" t="s">
        <v>572</v>
      </c>
      <c r="D1495" s="2" t="str">
        <f t="shared" si="22"/>
        <v>Error?</v>
      </c>
    </row>
    <row r="1496" spans="1:4" x14ac:dyDescent="0.2">
      <c r="A1496" s="5">
        <v>1435</v>
      </c>
      <c r="B1496" s="138">
        <f>'Expenditures 15-22'!K267</f>
        <v>53676</v>
      </c>
      <c r="C1496" s="2" t="s">
        <v>572</v>
      </c>
      <c r="D1496" s="2" t="str">
        <f t="shared" si="22"/>
        <v>Error?</v>
      </c>
    </row>
    <row r="1497" spans="1:4" x14ac:dyDescent="0.2">
      <c r="A1497" s="5">
        <v>1436</v>
      </c>
      <c r="B1497" s="138">
        <f>'Expenditures 15-22'!K268</f>
        <v>21388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138922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241873</v>
      </c>
      <c r="C1510" s="2" t="s">
        <v>572</v>
      </c>
      <c r="D1510" s="2" t="str">
        <f t="shared" si="22"/>
        <v>Error?</v>
      </c>
    </row>
    <row r="1511" spans="1:4" x14ac:dyDescent="0.2">
      <c r="A1511" s="5">
        <v>1450</v>
      </c>
      <c r="B1511" s="138">
        <f>'Expenditures 15-22'!K280</f>
        <v>827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339127</v>
      </c>
      <c r="C1517" s="2" t="s">
        <v>572</v>
      </c>
      <c r="D1517" s="2" t="str">
        <f t="shared" si="22"/>
        <v>Error?</v>
      </c>
    </row>
    <row r="1518" spans="1:4" x14ac:dyDescent="0.2">
      <c r="A1518" s="5">
        <v>1457</v>
      </c>
      <c r="B1518" s="138">
        <f>'Expenditures 15-22'!K296</f>
        <v>27448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10095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10095</v>
      </c>
      <c r="C1535" s="2" t="s">
        <v>572</v>
      </c>
      <c r="D1535" s="2" t="str">
        <f t="shared" ref="D1535:D1598" si="23">IF(ISBLANK(B1535),"OK",IF(A1535-B1535=0,"OK","Error?"))</f>
        <v>Error?</v>
      </c>
    </row>
    <row r="1536" spans="1:4" x14ac:dyDescent="0.2">
      <c r="A1536" s="5">
        <v>1475</v>
      </c>
      <c r="B1536" s="138">
        <f>'Expenditures 15-22'!E312</f>
        <v>10095</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22421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22421</v>
      </c>
      <c r="C1547" s="2" t="s">
        <v>572</v>
      </c>
      <c r="D1547" s="2" t="str">
        <f t="shared" si="23"/>
        <v>Error?</v>
      </c>
    </row>
    <row r="1548" spans="1:4" x14ac:dyDescent="0.2">
      <c r="A1548" s="5">
        <v>1487</v>
      </c>
      <c r="B1548" s="138">
        <f>'Expenditures 15-22'!G312</f>
        <v>22421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32516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32516</v>
      </c>
      <c r="C1559" s="2" t="s">
        <v>572</v>
      </c>
      <c r="D1559" s="2" t="str">
        <f t="shared" si="23"/>
        <v>Error?</v>
      </c>
    </row>
    <row r="1560" spans="1:4" x14ac:dyDescent="0.2">
      <c r="A1560" s="5">
        <v>1499</v>
      </c>
      <c r="B1560" s="138">
        <f>'Expenditures 15-22'!K312</f>
        <v>32516</v>
      </c>
      <c r="C1560" s="2" t="s">
        <v>572</v>
      </c>
      <c r="D1560" s="2" t="str">
        <f t="shared" si="23"/>
        <v>Error?</v>
      </c>
    </row>
    <row r="1561" spans="1:4" x14ac:dyDescent="0.2">
      <c r="A1561" s="5">
        <v>1500</v>
      </c>
      <c r="B1561" s="138">
        <f>'Expenditures 15-22'!K313</f>
        <v>-172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1096988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1250528</v>
      </c>
      <c r="C1630" s="2" t="s">
        <v>572</v>
      </c>
      <c r="D1630" s="2" t="str">
        <f t="shared" si="24"/>
        <v>Error?</v>
      </c>
    </row>
    <row r="1631" spans="1:4" x14ac:dyDescent="0.2">
      <c r="A1631" s="5">
        <v>1570</v>
      </c>
      <c r="B1631" s="138">
        <f>'Acct Summary 7-8'!D79</f>
        <v>97097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139642</v>
      </c>
      <c r="C1644" s="2" t="s">
        <v>572</v>
      </c>
      <c r="D1644" s="2" t="str">
        <f t="shared" si="24"/>
        <v>Error?</v>
      </c>
    </row>
    <row r="1645" spans="1:4" x14ac:dyDescent="0.2">
      <c r="A1645" s="5">
        <v>1584</v>
      </c>
      <c r="B1645" s="138">
        <f>'Acct Summary 7-8'!E79</f>
        <v>6653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6146</v>
      </c>
      <c r="C1658" s="2" t="s">
        <v>572</v>
      </c>
      <c r="D1658" s="2" t="str">
        <f t="shared" si="24"/>
        <v>Error?</v>
      </c>
    </row>
    <row r="1659" spans="1:4" x14ac:dyDescent="0.2">
      <c r="A1659" s="5">
        <v>1598</v>
      </c>
      <c r="B1659" s="138">
        <f>'Acct Summary 7-8'!F79</f>
        <v>268346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295468</v>
      </c>
      <c r="C1672" s="2" t="s">
        <v>572</v>
      </c>
      <c r="D1672" s="2" t="str">
        <f t="shared" si="25"/>
        <v>Error?</v>
      </c>
    </row>
    <row r="1673" spans="1:4" x14ac:dyDescent="0.2">
      <c r="A1673" s="5">
        <v>1612</v>
      </c>
      <c r="B1673" s="138">
        <f>'Acct Summary 7-8'!G79</f>
        <v>120983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148431</v>
      </c>
      <c r="C1686" s="2" t="s">
        <v>572</v>
      </c>
      <c r="D1686" s="2" t="str">
        <f t="shared" si="25"/>
        <v>Error?</v>
      </c>
    </row>
    <row r="1687" spans="1:4" x14ac:dyDescent="0.2">
      <c r="A1687" s="5">
        <v>1626</v>
      </c>
      <c r="B1687" s="138">
        <f>'Acct Summary 7-8'!H79</f>
        <v>6921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6749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1484998</v>
      </c>
      <c r="C1744" s="2" t="s">
        <v>572</v>
      </c>
      <c r="D1744" s="2" t="str">
        <f t="shared" si="26"/>
        <v>Error?</v>
      </c>
    </row>
    <row r="1745" spans="1:5" x14ac:dyDescent="0.2">
      <c r="A1745" s="5">
        <v>1684</v>
      </c>
      <c r="B1745" s="138">
        <f>'Tax Sched 23'!B5</f>
        <v>406233</v>
      </c>
      <c r="C1745" s="2" t="s">
        <v>572</v>
      </c>
      <c r="D1745" s="2" t="str">
        <f t="shared" si="26"/>
        <v>Error?</v>
      </c>
    </row>
    <row r="1746" spans="1:5" x14ac:dyDescent="0.2">
      <c r="A1746" s="5">
        <v>1685</v>
      </c>
      <c r="B1746" s="138">
        <f>'Tax Sched 23'!B6</f>
        <v>669969</v>
      </c>
      <c r="C1746" s="2" t="s">
        <v>572</v>
      </c>
      <c r="D1746" s="2" t="str">
        <f t="shared" si="26"/>
        <v>Error?</v>
      </c>
    </row>
    <row r="1747" spans="1:5" x14ac:dyDescent="0.2">
      <c r="A1747" s="5">
        <v>1686</v>
      </c>
      <c r="B1747" s="138">
        <f>'Tax Sched 23'!B7</f>
        <v>162494</v>
      </c>
      <c r="C1747" s="2" t="s">
        <v>572</v>
      </c>
      <c r="D1747" s="2" t="str">
        <f t="shared" si="26"/>
        <v>Error?</v>
      </c>
    </row>
    <row r="1748" spans="1:5" x14ac:dyDescent="0.2">
      <c r="A1748" s="5">
        <v>1687</v>
      </c>
      <c r="B1748" s="138">
        <f>'Tax Sched 23'!B8</f>
        <v>176291</v>
      </c>
      <c r="C1748" s="2" t="s">
        <v>572</v>
      </c>
      <c r="D1748" s="2" t="str">
        <f t="shared" si="26"/>
        <v>Error?</v>
      </c>
    </row>
    <row r="1749" spans="1:5" x14ac:dyDescent="0.2">
      <c r="A1749" s="5">
        <v>1688</v>
      </c>
      <c r="B1749" s="138">
        <f>'Tax Sched 23'!B10</f>
        <v>40624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494292</v>
      </c>
      <c r="C1752" s="2" t="s">
        <v>572</v>
      </c>
      <c r="D1752" s="2" t="str">
        <f t="shared" si="26"/>
        <v>Error?</v>
      </c>
    </row>
    <row r="1753" spans="1:5" x14ac:dyDescent="0.2">
      <c r="A1753" s="5">
        <v>1692</v>
      </c>
      <c r="B1753" s="138">
        <f>'Tax Sched 23'!B12</f>
        <v>40624</v>
      </c>
      <c r="C1753" s="2" t="s">
        <v>572</v>
      </c>
      <c r="D1753" s="2" t="str">
        <f t="shared" si="26"/>
        <v>Error?</v>
      </c>
    </row>
    <row r="1754" spans="1:5" x14ac:dyDescent="0.2">
      <c r="A1754" s="5">
        <v>1693</v>
      </c>
      <c r="B1754" s="138">
        <f>'Tax Sched 23'!B14</f>
        <v>32499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3725032</v>
      </c>
      <c r="C1759" s="2" t="s">
        <v>572</v>
      </c>
      <c r="D1759" s="2" t="str">
        <f t="shared" si="26"/>
        <v>Error?</v>
      </c>
    </row>
    <row r="1760" spans="1:5" x14ac:dyDescent="0.2">
      <c r="A1760" s="5">
        <v>1699</v>
      </c>
      <c r="B1760" s="138">
        <f>'Tax Sched 23'!D4</f>
        <v>1484998</v>
      </c>
      <c r="C1760" s="2" t="s">
        <v>572</v>
      </c>
      <c r="D1760" s="2" t="str">
        <f t="shared" si="26"/>
        <v>Error?</v>
      </c>
    </row>
    <row r="1761" spans="1:5" x14ac:dyDescent="0.2">
      <c r="A1761" s="5">
        <v>1700</v>
      </c>
      <c r="B1761" s="138">
        <f>'Tax Sched 23'!D5</f>
        <v>406233</v>
      </c>
      <c r="C1761" s="2" t="s">
        <v>572</v>
      </c>
      <c r="D1761" s="2" t="str">
        <f t="shared" si="26"/>
        <v>Error?</v>
      </c>
    </row>
    <row r="1762" spans="1:5" s="8" customFormat="1" x14ac:dyDescent="0.2">
      <c r="A1762" s="5">
        <v>1701</v>
      </c>
      <c r="B1762" s="138">
        <f>'Tax Sched 23'!D6</f>
        <v>669969</v>
      </c>
      <c r="C1762" s="2" t="s">
        <v>572</v>
      </c>
      <c r="D1762" s="2" t="str">
        <f t="shared" si="26"/>
        <v>Error?</v>
      </c>
      <c r="E1762" s="9"/>
    </row>
    <row r="1763" spans="1:5" x14ac:dyDescent="0.2">
      <c r="A1763" s="5">
        <v>1702</v>
      </c>
      <c r="B1763" s="138">
        <f>'Tax Sched 23'!D7</f>
        <v>162494</v>
      </c>
      <c r="C1763" s="2" t="s">
        <v>572</v>
      </c>
      <c r="D1763" s="2" t="str">
        <f t="shared" si="26"/>
        <v>Error?</v>
      </c>
    </row>
    <row r="1764" spans="1:5" x14ac:dyDescent="0.2">
      <c r="A1764" s="5">
        <v>1703</v>
      </c>
      <c r="B1764" s="138">
        <f>'Tax Sched 23'!D8</f>
        <v>176291</v>
      </c>
      <c r="C1764" s="2" t="s">
        <v>572</v>
      </c>
      <c r="D1764" s="2" t="str">
        <f t="shared" si="26"/>
        <v>Error?</v>
      </c>
    </row>
    <row r="1765" spans="1:5" x14ac:dyDescent="0.2">
      <c r="A1765" s="5">
        <v>1704</v>
      </c>
      <c r="B1765" s="138">
        <f>'Tax Sched 23'!D10</f>
        <v>40624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494292</v>
      </c>
      <c r="C1768" s="2" t="s">
        <v>572</v>
      </c>
      <c r="D1768" s="2" t="str">
        <f t="shared" si="26"/>
        <v>Error?</v>
      </c>
    </row>
    <row r="1769" spans="1:5" x14ac:dyDescent="0.2">
      <c r="A1769" s="5">
        <v>1708</v>
      </c>
      <c r="B1769" s="138">
        <f>'Tax Sched 23'!D12</f>
        <v>40624</v>
      </c>
      <c r="C1769" s="2" t="s">
        <v>572</v>
      </c>
      <c r="D1769" s="2" t="str">
        <f t="shared" si="26"/>
        <v>Error?</v>
      </c>
    </row>
    <row r="1770" spans="1:5" x14ac:dyDescent="0.2">
      <c r="A1770" s="5">
        <v>1709</v>
      </c>
      <c r="B1770" s="138">
        <f>'Tax Sched 23'!D14</f>
        <v>32499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3725032</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1564955</v>
      </c>
      <c r="C1792" s="2" t="s">
        <v>572</v>
      </c>
      <c r="D1792" s="2" t="str">
        <f t="shared" si="27"/>
        <v>Error?</v>
      </c>
    </row>
    <row r="1793" spans="1:4" x14ac:dyDescent="0.2">
      <c r="A1793" s="5">
        <v>1732</v>
      </c>
      <c r="B1793" s="138">
        <f>'Tax Sched 23'!F5</f>
        <v>425260</v>
      </c>
      <c r="C1793" s="2" t="s">
        <v>572</v>
      </c>
      <c r="D1793" s="2" t="str">
        <f t="shared" si="27"/>
        <v>Error?</v>
      </c>
    </row>
    <row r="1794" spans="1:4" x14ac:dyDescent="0.2">
      <c r="A1794" s="5">
        <v>1733</v>
      </c>
      <c r="B1794" s="138">
        <f>'Tax Sched 23'!F6</f>
        <v>664681</v>
      </c>
      <c r="C1794" s="2" t="s">
        <v>572</v>
      </c>
      <c r="D1794" s="2" t="str">
        <f t="shared" si="27"/>
        <v>Error?</v>
      </c>
    </row>
    <row r="1795" spans="1:4" x14ac:dyDescent="0.2">
      <c r="A1795" s="5">
        <v>1734</v>
      </c>
      <c r="B1795" s="138">
        <f>'Tax Sched 23'!F7</f>
        <v>170104</v>
      </c>
      <c r="C1795" s="2" t="s">
        <v>572</v>
      </c>
      <c r="D1795" s="2" t="str">
        <f t="shared" si="27"/>
        <v>Error?</v>
      </c>
    </row>
    <row r="1796" spans="1:4" x14ac:dyDescent="0.2">
      <c r="A1796" s="5">
        <v>1735</v>
      </c>
      <c r="B1796" s="138">
        <f>'Tax Sched 23'!F8</f>
        <v>145014</v>
      </c>
      <c r="C1796" s="2" t="s">
        <v>572</v>
      </c>
      <c r="D1796" s="2" t="str">
        <f t="shared" si="27"/>
        <v>Error?</v>
      </c>
    </row>
    <row r="1797" spans="1:4" x14ac:dyDescent="0.2">
      <c r="A1797" s="5">
        <v>1736</v>
      </c>
      <c r="B1797" s="138">
        <f>'Tax Sched 23'!F10</f>
        <v>42526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530044</v>
      </c>
      <c r="C1800" s="2" t="s">
        <v>572</v>
      </c>
      <c r="D1800" s="2" t="str">
        <f t="shared" si="27"/>
        <v>Error?</v>
      </c>
    </row>
    <row r="1801" spans="1:4" x14ac:dyDescent="0.2">
      <c r="A1801" s="5">
        <v>1740</v>
      </c>
      <c r="B1801" s="138">
        <f>'Tax Sched 23'!F12</f>
        <v>42526</v>
      </c>
      <c r="C1801" s="2" t="s">
        <v>572</v>
      </c>
      <c r="D1801" s="2" t="str">
        <f t="shared" si="27"/>
        <v>Error?</v>
      </c>
    </row>
    <row r="1802" spans="1:4" x14ac:dyDescent="0.2">
      <c r="A1802" s="5">
        <v>1741</v>
      </c>
      <c r="B1802" s="138">
        <f>'Tax Sched 23'!F14</f>
        <v>34021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3821725</v>
      </c>
      <c r="C1807" s="2" t="s">
        <v>572</v>
      </c>
      <c r="D1807" s="2" t="str">
        <f t="shared" si="27"/>
        <v>Error?</v>
      </c>
    </row>
    <row r="1808" spans="1:4" x14ac:dyDescent="0.2">
      <c r="A1808" s="5">
        <v>1747</v>
      </c>
      <c r="B1808" s="138">
        <f>'Tax Sched 23'!E4</f>
        <v>1564955</v>
      </c>
      <c r="D1808" s="2" t="str">
        <f t="shared" si="27"/>
        <v>Error?</v>
      </c>
    </row>
    <row r="1809" spans="1:4" x14ac:dyDescent="0.2">
      <c r="A1809" s="5">
        <v>1748</v>
      </c>
      <c r="B1809" s="138">
        <f>'Tax Sched 23'!E5</f>
        <v>425260</v>
      </c>
      <c r="D1809" s="2" t="str">
        <f t="shared" si="27"/>
        <v>Error?</v>
      </c>
    </row>
    <row r="1810" spans="1:4" x14ac:dyDescent="0.2">
      <c r="A1810" s="5">
        <v>1749</v>
      </c>
      <c r="B1810" s="138">
        <f>'Tax Sched 23'!E6</f>
        <v>664681</v>
      </c>
      <c r="D1810" s="2" t="str">
        <f t="shared" si="27"/>
        <v>Error?</v>
      </c>
    </row>
    <row r="1811" spans="1:4" x14ac:dyDescent="0.2">
      <c r="A1811" s="5">
        <v>1750</v>
      </c>
      <c r="B1811" s="138">
        <f>'Tax Sched 23'!E7</f>
        <v>170104</v>
      </c>
      <c r="D1811" s="2" t="str">
        <f t="shared" si="27"/>
        <v>Error?</v>
      </c>
    </row>
    <row r="1812" spans="1:4" x14ac:dyDescent="0.2">
      <c r="A1812" s="5">
        <v>1751</v>
      </c>
      <c r="B1812" s="138">
        <f>'Tax Sched 23'!E8</f>
        <v>145014</v>
      </c>
      <c r="D1812" s="2" t="str">
        <f t="shared" si="27"/>
        <v>Error?</v>
      </c>
    </row>
    <row r="1813" spans="1:4" x14ac:dyDescent="0.2">
      <c r="A1813" s="5">
        <v>1752</v>
      </c>
      <c r="B1813" s="138">
        <f>'Tax Sched 23'!E10</f>
        <v>42526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530044</v>
      </c>
      <c r="D1816" s="2" t="str">
        <f t="shared" si="27"/>
        <v>Error?</v>
      </c>
    </row>
    <row r="1817" spans="1:4" x14ac:dyDescent="0.2">
      <c r="A1817" s="5">
        <v>1756</v>
      </c>
      <c r="B1817" s="138">
        <f>'Tax Sched 23'!E12</f>
        <v>42526</v>
      </c>
      <c r="D1817" s="2" t="str">
        <f t="shared" si="27"/>
        <v>Error?</v>
      </c>
    </row>
    <row r="1818" spans="1:4" x14ac:dyDescent="0.2">
      <c r="A1818" s="5">
        <v>1757</v>
      </c>
      <c r="B1818" s="138">
        <f>'Tax Sched 23'!E14</f>
        <v>34021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3821725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5668550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32499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32499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32499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212469</v>
      </c>
      <c r="D2008" s="2" t="str">
        <f t="shared" si="30"/>
        <v>Error?</v>
      </c>
    </row>
    <row r="2009" spans="1:4" x14ac:dyDescent="0.2">
      <c r="A2009" s="5">
        <v>1948</v>
      </c>
      <c r="B2009" s="138">
        <f>'Cap Outlay Deprec 26'!C8</f>
        <v>20616544</v>
      </c>
      <c r="D2009" s="2" t="str">
        <f t="shared" si="30"/>
        <v>Error?</v>
      </c>
    </row>
    <row r="2010" spans="1:4" x14ac:dyDescent="0.2">
      <c r="A2010" s="5">
        <v>1949</v>
      </c>
      <c r="B2010" s="138">
        <f>'Cap Outlay Deprec 26'!C10</f>
        <v>1017757</v>
      </c>
      <c r="D2010" s="2" t="str">
        <f t="shared" si="30"/>
        <v>Error?</v>
      </c>
    </row>
    <row r="2011" spans="1:4" x14ac:dyDescent="0.2">
      <c r="A2011" s="5">
        <v>1950</v>
      </c>
      <c r="B2011" s="138">
        <f>'Cap Outlay Deprec 26'!C12</f>
        <v>938427</v>
      </c>
      <c r="D2011" s="2" t="str">
        <f t="shared" si="30"/>
        <v>Error?</v>
      </c>
    </row>
    <row r="2012" spans="1:4" x14ac:dyDescent="0.2">
      <c r="A2012" s="5">
        <v>1951</v>
      </c>
      <c r="B2012" s="138">
        <f>'Cap Outlay Deprec 26'!C13</f>
        <v>1002437</v>
      </c>
      <c r="D2012" s="2" t="str">
        <f t="shared" si="30"/>
        <v>Error?</v>
      </c>
    </row>
    <row r="2013" spans="1:4" x14ac:dyDescent="0.2">
      <c r="A2013" s="5">
        <v>1952</v>
      </c>
      <c r="B2013" s="138">
        <f>'Cap Outlay Deprec 26'!C16</f>
        <v>23800116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23391</v>
      </c>
      <c r="D2015" s="2" t="str">
        <f t="shared" si="30"/>
        <v>Error?</v>
      </c>
    </row>
    <row r="2016" spans="1:4" x14ac:dyDescent="0.2">
      <c r="A2016" s="5">
        <v>1955</v>
      </c>
      <c r="B2016" s="138">
        <f>'Cap Outlay Deprec 26'!D10</f>
        <v>4511</v>
      </c>
      <c r="D2016" s="2" t="str">
        <f t="shared" si="30"/>
        <v>Error?</v>
      </c>
    </row>
    <row r="2017" spans="1:4" x14ac:dyDescent="0.2">
      <c r="A2017" s="5">
        <v>1956</v>
      </c>
      <c r="B2017" s="138">
        <f>'Cap Outlay Deprec 26'!D12</f>
        <v>255793</v>
      </c>
      <c r="D2017" s="2" t="str">
        <f t="shared" si="30"/>
        <v>Error?</v>
      </c>
    </row>
    <row r="2018" spans="1:4" x14ac:dyDescent="0.2">
      <c r="A2018" s="5">
        <v>1957</v>
      </c>
      <c r="B2018" s="138">
        <f>'Cap Outlay Deprec 26'!D13</f>
        <v>152376</v>
      </c>
      <c r="D2018" s="2" t="str">
        <f t="shared" si="30"/>
        <v>Error?</v>
      </c>
    </row>
    <row r="2019" spans="1:4" x14ac:dyDescent="0.2">
      <c r="A2019" s="5">
        <v>1958</v>
      </c>
      <c r="B2019" s="138">
        <f>'Cap Outlay Deprec 26'!D16</f>
        <v>439007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55953</v>
      </c>
      <c r="D2024" s="2" t="str">
        <f t="shared" si="30"/>
        <v>Error?</v>
      </c>
    </row>
    <row r="2025" spans="1:4" x14ac:dyDescent="0.2">
      <c r="A2025" s="5">
        <v>1964</v>
      </c>
      <c r="B2025" s="138">
        <f>'Cap Outlay Deprec 26'!E16</f>
        <v>55953</v>
      </c>
      <c r="C2025" s="2" t="s">
        <v>572</v>
      </c>
      <c r="D2025" s="2" t="str">
        <f t="shared" si="30"/>
        <v>Error?</v>
      </c>
    </row>
    <row r="2026" spans="1:4" x14ac:dyDescent="0.2">
      <c r="A2026" s="5">
        <v>1965</v>
      </c>
      <c r="B2026" s="138">
        <f>'Cap Outlay Deprec 26'!F5</f>
        <v>212469</v>
      </c>
      <c r="C2026" s="2" t="s">
        <v>572</v>
      </c>
      <c r="D2026" s="2" t="str">
        <f t="shared" si="30"/>
        <v>Error?</v>
      </c>
    </row>
    <row r="2027" spans="1:4" x14ac:dyDescent="0.2">
      <c r="A2027" s="5">
        <v>1966</v>
      </c>
      <c r="B2027" s="138">
        <f>'Cap Outlay Deprec 26'!F8</f>
        <v>20639935</v>
      </c>
      <c r="C2027" s="2" t="s">
        <v>572</v>
      </c>
      <c r="D2027" s="2" t="str">
        <f t="shared" si="30"/>
        <v>Error?</v>
      </c>
    </row>
    <row r="2028" spans="1:4" x14ac:dyDescent="0.2">
      <c r="A2028" s="5">
        <v>1967</v>
      </c>
      <c r="B2028" s="138">
        <f>'Cap Outlay Deprec 26'!F10</f>
        <v>1022268</v>
      </c>
      <c r="C2028" s="2" t="s">
        <v>572</v>
      </c>
      <c r="D2028" s="2" t="str">
        <f t="shared" si="30"/>
        <v>Error?</v>
      </c>
    </row>
    <row r="2029" spans="1:4" x14ac:dyDescent="0.2">
      <c r="A2029" s="5">
        <v>1968</v>
      </c>
      <c r="B2029" s="138">
        <f>'Cap Outlay Deprec 26'!F12</f>
        <v>1194220</v>
      </c>
      <c r="C2029" s="2" t="s">
        <v>572</v>
      </c>
      <c r="D2029" s="2" t="str">
        <f t="shared" si="30"/>
        <v>Error?</v>
      </c>
    </row>
    <row r="2030" spans="1:4" x14ac:dyDescent="0.2">
      <c r="A2030" s="5">
        <v>1969</v>
      </c>
      <c r="B2030" s="138">
        <f>'Cap Outlay Deprec 26'!F13</f>
        <v>1098860</v>
      </c>
      <c r="C2030" s="2" t="s">
        <v>572</v>
      </c>
      <c r="D2030" s="2" t="str">
        <f t="shared" si="30"/>
        <v>Error?</v>
      </c>
    </row>
    <row r="2031" spans="1:4" x14ac:dyDescent="0.2">
      <c r="A2031" s="5">
        <v>1970</v>
      </c>
      <c r="B2031" s="138">
        <f>'Cap Outlay Deprec 26'!F16</f>
        <v>24183170</v>
      </c>
      <c r="C2031" s="2" t="s">
        <v>572</v>
      </c>
      <c r="D2031" s="2" t="str">
        <f t="shared" si="30"/>
        <v>Error?</v>
      </c>
    </row>
    <row r="2032" spans="1:4" x14ac:dyDescent="0.2">
      <c r="A2032" s="10">
        <v>1971</v>
      </c>
      <c r="D2032" s="2" t="str">
        <f t="shared" si="30"/>
        <v>OK</v>
      </c>
    </row>
    <row r="2033" spans="1:4" x14ac:dyDescent="0.2">
      <c r="A2033" s="5">
        <v>1972</v>
      </c>
      <c r="B2033" s="138">
        <f>'Cap Outlay Deprec 26'!H8</f>
        <v>6969904</v>
      </c>
      <c r="D2033" s="2" t="str">
        <f t="shared" si="30"/>
        <v>Error?</v>
      </c>
    </row>
    <row r="2034" spans="1:4" x14ac:dyDescent="0.2">
      <c r="A2034" s="5">
        <v>1973</v>
      </c>
      <c r="B2034" s="138">
        <f>'Cap Outlay Deprec 26'!H10</f>
        <v>365927</v>
      </c>
      <c r="D2034" s="2" t="str">
        <f t="shared" si="30"/>
        <v>Error?</v>
      </c>
    </row>
    <row r="2035" spans="1:4" x14ac:dyDescent="0.2">
      <c r="A2035" s="5">
        <v>1974</v>
      </c>
      <c r="B2035" s="138">
        <f>'Cap Outlay Deprec 26'!H12</f>
        <v>426722</v>
      </c>
      <c r="D2035" s="2" t="str">
        <f t="shared" si="30"/>
        <v>Error?</v>
      </c>
    </row>
    <row r="2036" spans="1:4" x14ac:dyDescent="0.2">
      <c r="A2036" s="5">
        <v>1975</v>
      </c>
      <c r="B2036" s="138">
        <f>'Cap Outlay Deprec 26'!H13</f>
        <v>946405</v>
      </c>
      <c r="D2036" s="2" t="str">
        <f t="shared" si="30"/>
        <v>Error?</v>
      </c>
    </row>
    <row r="2037" spans="1:4" x14ac:dyDescent="0.2">
      <c r="A2037" s="5">
        <v>1976</v>
      </c>
      <c r="B2037" s="138">
        <f>'Cap Outlay Deprec 26'!H16</f>
        <v>8717928</v>
      </c>
      <c r="C2037" s="2" t="s">
        <v>572</v>
      </c>
      <c r="D2037" s="2" t="str">
        <f t="shared" si="30"/>
        <v>Error?</v>
      </c>
    </row>
    <row r="2038" spans="1:4" x14ac:dyDescent="0.2">
      <c r="A2038" s="10">
        <v>1977</v>
      </c>
      <c r="D2038" s="2" t="str">
        <f t="shared" si="30"/>
        <v>OK</v>
      </c>
    </row>
    <row r="2039" spans="1:4" x14ac:dyDescent="0.2">
      <c r="A2039" s="5">
        <v>1978</v>
      </c>
      <c r="B2039" s="138">
        <f>'Cap Outlay Deprec 26'!I8</f>
        <v>389647</v>
      </c>
      <c r="D2039" s="2" t="str">
        <f t="shared" si="30"/>
        <v>Error?</v>
      </c>
    </row>
    <row r="2040" spans="1:4" x14ac:dyDescent="0.2">
      <c r="A2040" s="5">
        <v>1979</v>
      </c>
      <c r="B2040" s="138">
        <f>'Cap Outlay Deprec 26'!I10</f>
        <v>49980</v>
      </c>
      <c r="D2040" s="2" t="str">
        <f t="shared" si="30"/>
        <v>Error?</v>
      </c>
    </row>
    <row r="2041" spans="1:4" x14ac:dyDescent="0.2">
      <c r="A2041" s="5">
        <v>1980</v>
      </c>
      <c r="B2041" s="138">
        <f>'Cap Outlay Deprec 26'!I12</f>
        <v>106061</v>
      </c>
      <c r="D2041" s="2" t="str">
        <f t="shared" si="30"/>
        <v>Error?</v>
      </c>
    </row>
    <row r="2042" spans="1:4" x14ac:dyDescent="0.2">
      <c r="A2042" s="5">
        <v>1981</v>
      </c>
      <c r="B2042" s="138">
        <f>'Cap Outlay Deprec 26'!I13</f>
        <v>78156</v>
      </c>
      <c r="D2042" s="2" t="str">
        <f t="shared" si="30"/>
        <v>Error?</v>
      </c>
    </row>
    <row r="2043" spans="1:4" x14ac:dyDescent="0.2">
      <c r="A2043" s="5">
        <v>1982</v>
      </c>
      <c r="B2043" s="138">
        <f>'Cap Outlay Deprec 26'!I16</f>
        <v>626869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55953</v>
      </c>
      <c r="D2048" s="2" t="str">
        <f t="shared" si="31"/>
        <v>Error?</v>
      </c>
    </row>
    <row r="2049" spans="1:4" x14ac:dyDescent="0.2">
      <c r="A2049" s="5">
        <v>1988</v>
      </c>
      <c r="B2049" s="138">
        <f>'Cap Outlay Deprec 26'!J16</f>
        <v>55953</v>
      </c>
      <c r="C2049" s="2" t="s">
        <v>572</v>
      </c>
      <c r="D2049" s="2" t="str">
        <f t="shared" si="31"/>
        <v>Error?</v>
      </c>
    </row>
    <row r="2050" spans="1:4" x14ac:dyDescent="0.2">
      <c r="A2050" s="10">
        <v>1989</v>
      </c>
      <c r="D2050" s="2" t="str">
        <f t="shared" si="31"/>
        <v>OK</v>
      </c>
    </row>
    <row r="2051" spans="1:4" x14ac:dyDescent="0.2">
      <c r="A2051" s="5">
        <v>1990</v>
      </c>
      <c r="B2051" s="138">
        <f>'Cap Outlay Deprec 26'!K8</f>
        <v>7359551</v>
      </c>
      <c r="C2051" s="2" t="s">
        <v>572</v>
      </c>
      <c r="D2051" s="2" t="str">
        <f t="shared" si="31"/>
        <v>Error?</v>
      </c>
    </row>
    <row r="2052" spans="1:4" x14ac:dyDescent="0.2">
      <c r="A2052" s="5">
        <v>1991</v>
      </c>
      <c r="B2052" s="138">
        <f>'Cap Outlay Deprec 26'!K10</f>
        <v>415907</v>
      </c>
      <c r="C2052" s="2" t="s">
        <v>572</v>
      </c>
      <c r="D2052" s="2" t="str">
        <f t="shared" si="31"/>
        <v>Error?</v>
      </c>
    </row>
    <row r="2053" spans="1:4" x14ac:dyDescent="0.2">
      <c r="A2053" s="5">
        <v>1992</v>
      </c>
      <c r="B2053" s="138">
        <f>'Cap Outlay Deprec 26'!K12</f>
        <v>532783</v>
      </c>
      <c r="C2053" s="2" t="s">
        <v>572</v>
      </c>
      <c r="D2053" s="2" t="str">
        <f t="shared" si="31"/>
        <v>Error?</v>
      </c>
    </row>
    <row r="2054" spans="1:4" x14ac:dyDescent="0.2">
      <c r="A2054" s="5">
        <v>1993</v>
      </c>
      <c r="B2054" s="138">
        <f>'Cap Outlay Deprec 26'!K13</f>
        <v>968608</v>
      </c>
      <c r="C2054" s="2" t="s">
        <v>572</v>
      </c>
      <c r="D2054" s="2" t="str">
        <f t="shared" si="31"/>
        <v>Error?</v>
      </c>
    </row>
    <row r="2055" spans="1:4" x14ac:dyDescent="0.2">
      <c r="A2055" s="5">
        <v>1994</v>
      </c>
      <c r="B2055" s="138">
        <f>'Cap Outlay Deprec 26'!K16</f>
        <v>9288844</v>
      </c>
      <c r="C2055" s="2" t="s">
        <v>572</v>
      </c>
      <c r="D2055" s="2" t="str">
        <f t="shared" si="31"/>
        <v>Error?</v>
      </c>
    </row>
    <row r="2056" spans="1:4" x14ac:dyDescent="0.2">
      <c r="A2056" s="5">
        <v>1995</v>
      </c>
      <c r="B2056" s="138">
        <f>'Cap Outlay Deprec 26'!L5</f>
        <v>212469</v>
      </c>
      <c r="C2056" s="2" t="s">
        <v>572</v>
      </c>
      <c r="D2056" s="2" t="str">
        <f t="shared" si="31"/>
        <v>Error?</v>
      </c>
    </row>
    <row r="2057" spans="1:4" x14ac:dyDescent="0.2">
      <c r="A2057" s="5">
        <v>1996</v>
      </c>
      <c r="B2057" s="138">
        <f>'Cap Outlay Deprec 26'!L8</f>
        <v>13280384</v>
      </c>
      <c r="C2057" s="2" t="s">
        <v>572</v>
      </c>
      <c r="D2057" s="2" t="str">
        <f t="shared" si="31"/>
        <v>Error?</v>
      </c>
    </row>
    <row r="2058" spans="1:4" x14ac:dyDescent="0.2">
      <c r="A2058" s="5">
        <v>1997</v>
      </c>
      <c r="B2058" s="138">
        <f>'Cap Outlay Deprec 26'!L10</f>
        <v>606361</v>
      </c>
      <c r="C2058" s="2" t="s">
        <v>572</v>
      </c>
      <c r="D2058" s="2" t="str">
        <f t="shared" si="31"/>
        <v>Error?</v>
      </c>
    </row>
    <row r="2059" spans="1:4" x14ac:dyDescent="0.2">
      <c r="A2059" s="5">
        <v>1998</v>
      </c>
      <c r="B2059" s="138">
        <f>'Cap Outlay Deprec 26'!L12</f>
        <v>661437</v>
      </c>
      <c r="C2059" s="2" t="s">
        <v>572</v>
      </c>
      <c r="D2059" s="2" t="str">
        <f t="shared" si="31"/>
        <v>Error?</v>
      </c>
    </row>
    <row r="2060" spans="1:4" x14ac:dyDescent="0.2">
      <c r="A2060" s="5">
        <v>1999</v>
      </c>
      <c r="B2060" s="138">
        <f>'Cap Outlay Deprec 26'!L13</f>
        <v>130252</v>
      </c>
      <c r="C2060" s="2" t="s">
        <v>572</v>
      </c>
      <c r="D2060" s="2" t="str">
        <f t="shared" si="31"/>
        <v>Error?</v>
      </c>
    </row>
    <row r="2061" spans="1:4" x14ac:dyDescent="0.2">
      <c r="A2061" s="5">
        <v>2000</v>
      </c>
      <c r="B2061" s="138">
        <f>'Cap Outlay Deprec 26'!L16</f>
        <v>14894326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4645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25366</v>
      </c>
      <c r="C2088" s="2" t="s">
        <v>572</v>
      </c>
      <c r="D2088" s="2" t="str">
        <f t="shared" si="31"/>
        <v>Error?</v>
      </c>
    </row>
    <row r="2089" spans="1:4" x14ac:dyDescent="0.2">
      <c r="A2089" s="5">
        <v>2028</v>
      </c>
      <c r="B2089" s="138">
        <f>'Expenditures 15-22'!K92</f>
        <v>224692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8407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46211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2055706</v>
      </c>
      <c r="C2551" s="2" t="s">
        <v>572</v>
      </c>
      <c r="D2551" s="2" t="str">
        <f t="shared" si="38"/>
        <v>Error?</v>
      </c>
    </row>
    <row r="2552" spans="1:4" x14ac:dyDescent="0.2">
      <c r="A2552" s="10">
        <v>2491</v>
      </c>
      <c r="D2552" s="2" t="str">
        <f t="shared" si="38"/>
        <v>OK</v>
      </c>
    </row>
    <row r="2553" spans="1:4" x14ac:dyDescent="0.2">
      <c r="A2553" s="5">
        <v>2492</v>
      </c>
      <c r="B2553" s="138">
        <f>'Acct Summary 7-8'!C6</f>
        <v>3408049</v>
      </c>
      <c r="C2553" s="2" t="s">
        <v>572</v>
      </c>
      <c r="D2553" s="2" t="str">
        <f t="shared" si="38"/>
        <v>Error?</v>
      </c>
    </row>
    <row r="2554" spans="1:4" x14ac:dyDescent="0.2">
      <c r="A2554" s="5">
        <v>2493</v>
      </c>
      <c r="B2554" s="138">
        <f>'Acct Summary 7-8'!C7</f>
        <v>678426</v>
      </c>
      <c r="C2554" s="2" t="s">
        <v>572</v>
      </c>
      <c r="D2554" s="2" t="str">
        <f t="shared" si="38"/>
        <v>Error?</v>
      </c>
    </row>
    <row r="2555" spans="1:4" x14ac:dyDescent="0.2">
      <c r="A2555" s="5">
        <v>2494</v>
      </c>
      <c r="B2555" s="138">
        <f>'Acct Summary 7-8'!C8</f>
        <v>6142181</v>
      </c>
      <c r="C2555" s="2" t="s">
        <v>572</v>
      </c>
      <c r="D2555" s="2" t="str">
        <f t="shared" si="38"/>
        <v>Error?</v>
      </c>
    </row>
    <row r="2556" spans="1:4" x14ac:dyDescent="0.2">
      <c r="A2556" s="5">
        <v>2495</v>
      </c>
      <c r="B2556" s="138">
        <f>'Acct Summary 7-8'!C12</f>
        <v>4216321</v>
      </c>
      <c r="C2556" s="2" t="s">
        <v>572</v>
      </c>
      <c r="D2556" s="2" t="str">
        <f t="shared" si="38"/>
        <v>Error?</v>
      </c>
    </row>
    <row r="2557" spans="1:4" x14ac:dyDescent="0.2">
      <c r="A2557" s="5">
        <v>2496</v>
      </c>
      <c r="B2557" s="138">
        <f>'Acct Summary 7-8'!C13</f>
        <v>1579937</v>
      </c>
      <c r="C2557" s="2" t="s">
        <v>572</v>
      </c>
      <c r="D2557" s="2" t="str">
        <f t="shared" si="38"/>
        <v>Error?</v>
      </c>
    </row>
    <row r="2558" spans="1:4" x14ac:dyDescent="0.2">
      <c r="A2558" s="5">
        <v>2497</v>
      </c>
      <c r="B2558" s="138">
        <f>'Acct Summary 7-8'!C14</f>
        <v>9475</v>
      </c>
      <c r="C2558" s="2" t="s">
        <v>572</v>
      </c>
      <c r="D2558" s="2" t="str">
        <f t="shared" si="38"/>
        <v>Error?</v>
      </c>
    </row>
    <row r="2559" spans="1:4" x14ac:dyDescent="0.2">
      <c r="A2559" s="5">
        <v>2498</v>
      </c>
      <c r="B2559" s="138">
        <f>'Acct Summary 7-8'!C15</f>
        <v>250058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6055791</v>
      </c>
      <c r="C2561" s="2" t="s">
        <v>572</v>
      </c>
      <c r="D2561" s="2" t="str">
        <f t="shared" si="39"/>
        <v>Error?</v>
      </c>
    </row>
    <row r="2562" spans="1:4" x14ac:dyDescent="0.2">
      <c r="A2562" s="5">
        <v>2501</v>
      </c>
      <c r="B2562" s="138">
        <f>'Acct Summary 7-8'!C20</f>
        <v>86390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494070</v>
      </c>
      <c r="C2564" s="2" t="s">
        <v>572</v>
      </c>
      <c r="D2564" s="2" t="str">
        <f t="shared" si="39"/>
        <v>Error?</v>
      </c>
    </row>
    <row r="2565" spans="1:4" x14ac:dyDescent="0.2">
      <c r="A2565" s="10">
        <v>2504</v>
      </c>
      <c r="D2565" s="2" t="str">
        <f t="shared" si="39"/>
        <v>OK</v>
      </c>
    </row>
    <row r="2566" spans="1:4" x14ac:dyDescent="0.2">
      <c r="A2566" s="5">
        <v>2505</v>
      </c>
      <c r="B2566" s="138">
        <f>'Acct Summary 7-8'!D6</f>
        <v>627924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1121994</v>
      </c>
      <c r="C2568" s="2" t="s">
        <v>572</v>
      </c>
      <c r="D2568" s="2" t="str">
        <f t="shared" si="39"/>
        <v>Error?</v>
      </c>
    </row>
    <row r="2569" spans="1:4" x14ac:dyDescent="0.2">
      <c r="A2569" s="5">
        <v>2508</v>
      </c>
      <c r="B2569" s="138">
        <f>'Acct Summary 7-8'!D13</f>
        <v>1079449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1079449</v>
      </c>
      <c r="C2573" s="2" t="s">
        <v>572</v>
      </c>
      <c r="D2573" s="2" t="str">
        <f t="shared" si="39"/>
        <v>Error?</v>
      </c>
    </row>
    <row r="2574" spans="1:4" x14ac:dyDescent="0.2">
      <c r="A2574" s="5">
        <v>2513</v>
      </c>
      <c r="B2574" s="138">
        <f>'Acct Summary 7-8'!D20</f>
        <v>42545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213006</v>
      </c>
      <c r="C2591" s="2" t="s">
        <v>572</v>
      </c>
      <c r="D2591" s="2" t="str">
        <f t="shared" si="39"/>
        <v>Error?</v>
      </c>
    </row>
    <row r="2592" spans="1:4" x14ac:dyDescent="0.2">
      <c r="A2592" s="10">
        <v>2531</v>
      </c>
      <c r="D2592" s="2" t="str">
        <f t="shared" si="39"/>
        <v>OK</v>
      </c>
    </row>
    <row r="2593" spans="1:4" x14ac:dyDescent="0.2">
      <c r="A2593" s="5">
        <v>2532</v>
      </c>
      <c r="B2593" s="138">
        <f>'Acct Summary 7-8'!F6</f>
        <v>461635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674641</v>
      </c>
      <c r="C2595" s="2" t="s">
        <v>572</v>
      </c>
      <c r="D2595" s="2" t="str">
        <f t="shared" si="39"/>
        <v>Error?</v>
      </c>
    </row>
    <row r="2596" spans="1:4" x14ac:dyDescent="0.2">
      <c r="A2596" s="5">
        <v>2535</v>
      </c>
      <c r="B2596" s="138">
        <f>'Acct Summary 7-8'!F13</f>
        <v>745971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53924</v>
      </c>
      <c r="C2599" s="2" t="s">
        <v>572</v>
      </c>
      <c r="D2599" s="2" t="str">
        <f t="shared" si="39"/>
        <v>Error?</v>
      </c>
    </row>
    <row r="2600" spans="1:4" x14ac:dyDescent="0.2">
      <c r="A2600" s="5">
        <v>2539</v>
      </c>
      <c r="B2600" s="138">
        <f>'Acct Summary 7-8'!F17</f>
        <v>799895</v>
      </c>
      <c r="C2600" s="2" t="s">
        <v>572</v>
      </c>
      <c r="D2600" s="2" t="str">
        <f t="shared" si="39"/>
        <v>Error?</v>
      </c>
    </row>
    <row r="2601" spans="1:4" x14ac:dyDescent="0.2">
      <c r="A2601" s="5">
        <v>2540</v>
      </c>
      <c r="B2601" s="138">
        <f>'Acct Summary 7-8'!F20</f>
        <v>-125254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366575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366575</v>
      </c>
      <c r="C2606" s="2" t="s">
        <v>572</v>
      </c>
      <c r="D2606" s="2" t="str">
        <f t="shared" si="39"/>
        <v>Error?</v>
      </c>
    </row>
    <row r="2607" spans="1:4" x14ac:dyDescent="0.2">
      <c r="A2607" s="5">
        <v>2546</v>
      </c>
      <c r="B2607" s="138">
        <f>'Acct Summary 7-8'!G12</f>
        <v>96427</v>
      </c>
      <c r="C2607" s="2" t="s">
        <v>572</v>
      </c>
      <c r="D2607" s="2" t="str">
        <f t="shared" si="39"/>
        <v>Error?</v>
      </c>
    </row>
    <row r="2608" spans="1:4" x14ac:dyDescent="0.2">
      <c r="A2608" s="5">
        <v>2547</v>
      </c>
      <c r="B2608" s="138">
        <f>'Acct Summary 7-8'!G13</f>
        <v>241873</v>
      </c>
      <c r="C2608" s="2" t="s">
        <v>572</v>
      </c>
      <c r="D2608" s="2" t="str">
        <f t="shared" si="39"/>
        <v>Error?</v>
      </c>
    </row>
    <row r="2609" spans="1:4" x14ac:dyDescent="0.2">
      <c r="A2609" s="5">
        <v>2548</v>
      </c>
      <c r="B2609" s="138">
        <f>'Acct Summary 7-8'!G14</f>
        <v>827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339127</v>
      </c>
      <c r="C2612" s="2" t="s">
        <v>572</v>
      </c>
      <c r="D2612" s="2" t="str">
        <f t="shared" si="39"/>
        <v>Error?</v>
      </c>
    </row>
    <row r="2613" spans="1:4" x14ac:dyDescent="0.2">
      <c r="A2613" s="5">
        <v>2552</v>
      </c>
      <c r="B2613" s="138">
        <f>'Acct Summary 7-8'!G20</f>
        <v>27448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672707</v>
      </c>
      <c r="C2630" s="2" t="s">
        <v>572</v>
      </c>
      <c r="D2630" s="2" t="str">
        <f t="shared" si="40"/>
        <v>Error?</v>
      </c>
    </row>
    <row r="2631" spans="1:4" x14ac:dyDescent="0.2">
      <c r="A2631" s="5">
        <v>2570</v>
      </c>
      <c r="B2631" s="138">
        <f>'Acct Summary 7-8'!E6</f>
        <v>80000</v>
      </c>
      <c r="C2631" s="2" t="s">
        <v>572</v>
      </c>
      <c r="D2631" s="2" t="str">
        <f t="shared" si="40"/>
        <v>Error?</v>
      </c>
    </row>
    <row r="2632" spans="1:4" x14ac:dyDescent="0.2">
      <c r="A2632" s="5">
        <v>2571</v>
      </c>
      <c r="B2632" s="138">
        <f>'Acct Summary 7-8'!E8</f>
        <v>752707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753214</v>
      </c>
      <c r="C2634" s="2" t="s">
        <v>572</v>
      </c>
      <c r="D2634" s="2" t="str">
        <f t="shared" si="40"/>
        <v>Error?</v>
      </c>
    </row>
    <row r="2635" spans="1:4" x14ac:dyDescent="0.2">
      <c r="A2635" s="5">
        <v>2574</v>
      </c>
      <c r="B2635" s="138">
        <f>'Acct Summary 7-8'!E17</f>
        <v>753214</v>
      </c>
      <c r="C2635" s="2" t="s">
        <v>572</v>
      </c>
      <c r="D2635" s="2" t="str">
        <f t="shared" si="40"/>
        <v>Error?</v>
      </c>
    </row>
    <row r="2636" spans="1:4" x14ac:dyDescent="0.2">
      <c r="A2636" s="5">
        <v>2575</v>
      </c>
      <c r="B2636" s="138">
        <f>'Acct Summary 7-8'!E20</f>
        <v>-507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32344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32344</v>
      </c>
      <c r="C2658" s="2" t="s">
        <v>572</v>
      </c>
      <c r="D2658" s="2" t="str">
        <f t="shared" si="40"/>
        <v>Error?</v>
      </c>
    </row>
    <row r="2659" spans="1:4" x14ac:dyDescent="0.2">
      <c r="A2659" s="5">
        <v>2598</v>
      </c>
      <c r="B2659" s="138">
        <f>'Acct Summary 7-8'!H13</f>
        <v>32516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32516</v>
      </c>
      <c r="C2661" s="2" t="s">
        <v>572</v>
      </c>
      <c r="D2661" s="2" t="str">
        <f t="shared" si="40"/>
        <v>Error?</v>
      </c>
    </row>
    <row r="2662" spans="1:4" x14ac:dyDescent="0.2">
      <c r="A2662" s="5">
        <v>2601</v>
      </c>
      <c r="B2662" s="138">
        <f>'Acct Summary 7-8'!H20</f>
        <v>-172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20721</v>
      </c>
      <c r="C2789" s="2" t="s">
        <v>572</v>
      </c>
      <c r="D2789" s="2" t="str">
        <f t="shared" si="42"/>
        <v>Error?</v>
      </c>
    </row>
    <row r="2790" spans="1:4" x14ac:dyDescent="0.2">
      <c r="A2790" s="5">
        <v>2729</v>
      </c>
      <c r="B2790" s="138">
        <f>'Expenditures 15-22'!E102</f>
        <v>20721</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289356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755865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206203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755865</v>
      </c>
      <c r="D2912" s="2" t="str">
        <f t="shared" si="44"/>
        <v>Error?</v>
      </c>
    </row>
    <row r="2913" spans="1:4" x14ac:dyDescent="0.2">
      <c r="A2913" s="5">
        <v>2852</v>
      </c>
      <c r="B2913" s="138">
        <f>'Assets-Liab 5-6'!I41</f>
        <v>755865</v>
      </c>
      <c r="C2913" s="2" t="s">
        <v>572</v>
      </c>
      <c r="D2913" s="2" t="str">
        <f t="shared" si="44"/>
        <v>Error?</v>
      </c>
    </row>
    <row r="2914" spans="1:4" x14ac:dyDescent="0.2">
      <c r="A2914" s="5">
        <v>2853</v>
      </c>
      <c r="B2914" s="138">
        <f>'Assets-Liab 5-6'!L33</f>
        <v>206203</v>
      </c>
      <c r="D2914" s="2" t="str">
        <f t="shared" si="44"/>
        <v>Error?</v>
      </c>
    </row>
    <row r="2915" spans="1:4" x14ac:dyDescent="0.2">
      <c r="A2915" s="10">
        <v>2854</v>
      </c>
      <c r="D2915" s="2" t="str">
        <f t="shared" si="44"/>
        <v>OK</v>
      </c>
    </row>
    <row r="2916" spans="1:4" x14ac:dyDescent="0.2">
      <c r="A2916" s="5">
        <v>2855</v>
      </c>
      <c r="B2916" s="138">
        <f>'Assets-Liab 5-6'!L34</f>
        <v>206203</v>
      </c>
      <c r="C2916" s="2" t="s">
        <v>572</v>
      </c>
      <c r="D2916" s="2" t="str">
        <f t="shared" si="44"/>
        <v>Error?</v>
      </c>
    </row>
    <row r="2917" spans="1:4" x14ac:dyDescent="0.2">
      <c r="A2917" s="5">
        <v>2856</v>
      </c>
      <c r="B2917" s="138">
        <f>'Assets-Liab 5-6'!L41</f>
        <v>206203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20721</v>
      </c>
      <c r="D2954" s="2" t="str">
        <f t="shared" si="45"/>
        <v>Error?</v>
      </c>
    </row>
    <row r="2955" spans="1:4" x14ac:dyDescent="0.2">
      <c r="A2955" s="5">
        <v>2894</v>
      </c>
      <c r="B2955" s="138">
        <f>'Expenditures 15-22'!H78</f>
        <v>697</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3948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697</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24669</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117039</v>
      </c>
      <c r="D3055" s="2" t="str">
        <f t="shared" si="46"/>
        <v>Error?</v>
      </c>
    </row>
    <row r="3056" spans="1:4" x14ac:dyDescent="0.2">
      <c r="A3056" s="5">
        <v>2995</v>
      </c>
      <c r="B3056" s="138">
        <f>'Expenditures 15-22'!D10</f>
        <v>12381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32908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162328</v>
      </c>
      <c r="C3062" s="2" t="s">
        <v>572</v>
      </c>
      <c r="D3062" s="2" t="str">
        <f t="shared" si="46"/>
        <v>Error?</v>
      </c>
    </row>
    <row r="3063" spans="1:4" x14ac:dyDescent="0.2">
      <c r="A3063" s="10">
        <v>3002</v>
      </c>
      <c r="D3063" s="2" t="str">
        <f t="shared" si="46"/>
        <v>OK</v>
      </c>
    </row>
    <row r="3064" spans="1:4" x14ac:dyDescent="0.2">
      <c r="A3064" s="5">
        <v>3003</v>
      </c>
      <c r="B3064" s="138">
        <f>'Expenditures 15-22'!D219</f>
        <v>17558</v>
      </c>
      <c r="D3064" s="2" t="str">
        <f t="shared" si="46"/>
        <v>Error?</v>
      </c>
    </row>
    <row r="3065" spans="1:4" x14ac:dyDescent="0.2">
      <c r="A3065" s="5">
        <v>3004</v>
      </c>
      <c r="B3065" s="138">
        <f>'Expenditures 15-22'!K219</f>
        <v>17558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52018</v>
      </c>
      <c r="C3225" s="2" t="s">
        <v>572</v>
      </c>
      <c r="D3225" s="2" t="str">
        <f t="shared" si="49"/>
        <v>Error?</v>
      </c>
    </row>
    <row r="3226" spans="1:4" x14ac:dyDescent="0.2">
      <c r="A3226" s="5">
        <v>3165</v>
      </c>
      <c r="B3226" s="138">
        <f>'Acct Summary 7-8'!I8</f>
        <v>52018</v>
      </c>
      <c r="C3226" s="2" t="s">
        <v>572</v>
      </c>
      <c r="D3226" s="2" t="str">
        <f t="shared" si="49"/>
        <v>Error?</v>
      </c>
    </row>
    <row r="3227" spans="1:4" x14ac:dyDescent="0.2">
      <c r="A3227" s="5">
        <v>3166</v>
      </c>
      <c r="B3227" s="138">
        <f>'Acct Summary 7-8'!I20</f>
        <v>52018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67150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67150</v>
      </c>
      <c r="C3232" s="2" t="s">
        <v>572</v>
      </c>
      <c r="D3232" s="2" t="str">
        <f t="shared" si="49"/>
        <v>Error?</v>
      </c>
    </row>
    <row r="3233" spans="1:4" x14ac:dyDescent="0.2">
      <c r="A3233" s="5">
        <v>3172</v>
      </c>
      <c r="B3233" s="138">
        <f>'Acct Summary 7-8'!C78</f>
        <v>153540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42545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152376</v>
      </c>
      <c r="D3251" s="2" t="str">
        <f t="shared" si="49"/>
        <v>Error?</v>
      </c>
    </row>
    <row r="3252" spans="1:4" x14ac:dyDescent="0.2">
      <c r="A3252" s="5">
        <v>3191</v>
      </c>
      <c r="B3252" s="138">
        <f>'Acct Summary 7-8'!F44</f>
        <v>152376</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152376</v>
      </c>
      <c r="C3255" s="2" t="s">
        <v>572</v>
      </c>
      <c r="D3255" s="2" t="str">
        <f t="shared" si="49"/>
        <v>Error?</v>
      </c>
    </row>
    <row r="3256" spans="1:4" x14ac:dyDescent="0.2">
      <c r="A3256" s="5">
        <v>3195</v>
      </c>
      <c r="B3256" s="138">
        <f>'Acct Summary 7-8'!F78</f>
        <v>27122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27448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-507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-172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52018</v>
      </c>
      <c r="C3320" s="2" t="s">
        <v>572</v>
      </c>
      <c r="D3320" s="2" t="str">
        <f t="shared" si="50"/>
        <v>Error?</v>
      </c>
    </row>
    <row r="3321" spans="1:4" x14ac:dyDescent="0.2">
      <c r="A3321" s="5">
        <v>3260</v>
      </c>
      <c r="B3321" s="138">
        <f>'Acct Summary 7-8'!I79</f>
        <v>703847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755865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646758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122102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771365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36538</v>
      </c>
      <c r="D3387" s="2" t="str">
        <f t="shared" si="51"/>
        <v>Error?</v>
      </c>
    </row>
    <row r="3388" spans="1:4" x14ac:dyDescent="0.2">
      <c r="A3388" s="5">
        <v>3327</v>
      </c>
      <c r="B3388" s="138">
        <f>'Expenditures 15-22'!D217</f>
        <v>25700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36538</v>
      </c>
      <c r="C3390" s="2" t="s">
        <v>572</v>
      </c>
      <c r="D3390" s="2" t="str">
        <f t="shared" si="51"/>
        <v>Error?</v>
      </c>
    </row>
    <row r="3391" spans="1:4" x14ac:dyDescent="0.2">
      <c r="A3391" s="5">
        <v>3330</v>
      </c>
      <c r="B3391" s="138">
        <f>'Expenditures 15-22'!K217</f>
        <v>25700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783672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140284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6146</v>
      </c>
      <c r="D3417" s="2" t="str">
        <f t="shared" si="52"/>
        <v>Error?</v>
      </c>
    </row>
    <row r="3418" spans="1:4" x14ac:dyDescent="0.2">
      <c r="A3418" s="10">
        <v>3357</v>
      </c>
      <c r="D3418" s="2" t="str">
        <f t="shared" si="52"/>
        <v>OK</v>
      </c>
    </row>
    <row r="3419" spans="1:4" x14ac:dyDescent="0.2">
      <c r="A3419" s="5">
        <v>3358</v>
      </c>
      <c r="B3419" s="138">
        <f>'Assets-Liab 5-6'!F4</f>
        <v>296007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148431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6749</v>
      </c>
      <c r="D3425" s="2" t="str">
        <f t="shared" si="52"/>
        <v>Error?</v>
      </c>
    </row>
    <row r="3426" spans="1:4" x14ac:dyDescent="0.2">
      <c r="A3426" s="10">
        <v>3365</v>
      </c>
      <c r="D3426" s="2" t="str">
        <f t="shared" si="52"/>
        <v>OK</v>
      </c>
    </row>
    <row r="3427" spans="1:4" x14ac:dyDescent="0.2">
      <c r="A3427" s="5">
        <v>3366</v>
      </c>
      <c r="B3427" s="138">
        <f>'Assets-Liab 5-6'!I4</f>
        <v>466509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206203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176384</v>
      </c>
      <c r="C3446" s="2" t="s">
        <v>572</v>
      </c>
      <c r="D3446" s="2" t="str">
        <f t="shared" si="52"/>
        <v>Error?</v>
      </c>
    </row>
    <row r="3447" spans="1:4" x14ac:dyDescent="0.2">
      <c r="A3447" s="5">
        <v>3386</v>
      </c>
      <c r="B3447" s="138">
        <f>'Tax Sched 23'!D16</f>
        <v>176384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160068</v>
      </c>
      <c r="C3449" s="2" t="s">
        <v>572</v>
      </c>
      <c r="D3449" s="2" t="str">
        <f t="shared" si="52"/>
        <v>Error?</v>
      </c>
    </row>
    <row r="3450" spans="1:4" x14ac:dyDescent="0.2">
      <c r="A3450" s="5">
        <v>3389</v>
      </c>
      <c r="B3450" s="138">
        <f>'Tax Sched 23'!E16</f>
        <v>160068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6499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6499</v>
      </c>
      <c r="D3567" s="2" t="str">
        <f t="shared" si="54"/>
        <v>Error?</v>
      </c>
    </row>
    <row r="3568" spans="1:4" x14ac:dyDescent="0.2">
      <c r="A3568" s="5">
        <v>3507</v>
      </c>
      <c r="B3568" s="138">
        <f>'Assets-Liab 5-6'!K41</f>
        <v>6499</v>
      </c>
      <c r="C3568" s="2" t="s">
        <v>572</v>
      </c>
      <c r="D3568" s="2" t="str">
        <f t="shared" si="54"/>
        <v>Error?</v>
      </c>
    </row>
    <row r="3569" spans="1:4" x14ac:dyDescent="0.2">
      <c r="A3569" s="5">
        <v>3508</v>
      </c>
      <c r="B3569" s="138">
        <f>'Acct Summary 7-8'!K4</f>
        <v>40763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40763</v>
      </c>
      <c r="C3571" s="2" t="s">
        <v>572</v>
      </c>
      <c r="D3571" s="2" t="str">
        <f t="shared" si="54"/>
        <v>Error?</v>
      </c>
    </row>
    <row r="3572" spans="1:4" x14ac:dyDescent="0.2">
      <c r="A3572" s="5">
        <v>3511</v>
      </c>
      <c r="B3572" s="138">
        <f>'Acct Summary 7-8'!K13</f>
        <v>37539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37539</v>
      </c>
      <c r="C3575" s="2" t="s">
        <v>572</v>
      </c>
      <c r="D3575" s="2" t="str">
        <f t="shared" si="54"/>
        <v>Error?</v>
      </c>
    </row>
    <row r="3576" spans="1:4" x14ac:dyDescent="0.2">
      <c r="A3576" s="5">
        <v>3515</v>
      </c>
      <c r="B3576" s="138">
        <f>'Acct Summary 7-8'!K20</f>
        <v>3224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3224</v>
      </c>
      <c r="C3588" s="2" t="s">
        <v>572</v>
      </c>
      <c r="D3588" s="2" t="str">
        <f t="shared" si="55"/>
        <v>Error?</v>
      </c>
    </row>
    <row r="3589" spans="1:4" x14ac:dyDescent="0.2">
      <c r="A3589" s="5">
        <v>3528</v>
      </c>
      <c r="B3589" s="138">
        <f>'Acct Summary 7-8'!K79</f>
        <v>3275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6499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37539</v>
      </c>
      <c r="D3632" s="2" t="str">
        <f t="shared" si="55"/>
        <v>Error?</v>
      </c>
    </row>
    <row r="3633" spans="1:4" x14ac:dyDescent="0.2">
      <c r="A3633" s="5">
        <v>3572</v>
      </c>
      <c r="B3633" s="138">
        <f>'Expenditures 15-22'!E350</f>
        <v>37539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37539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37539</v>
      </c>
      <c r="C3669" s="2" t="s">
        <v>572</v>
      </c>
      <c r="D3669" s="2" t="str">
        <f t="shared" si="56"/>
        <v>Error?</v>
      </c>
    </row>
    <row r="3670" spans="1:4" x14ac:dyDescent="0.2">
      <c r="A3670" s="5">
        <v>3609</v>
      </c>
      <c r="B3670" s="138">
        <f>'Expenditures 15-22'!K350</f>
        <v>37539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37539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37539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3224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40624</v>
      </c>
      <c r="C3725" s="2" t="s">
        <v>572</v>
      </c>
      <c r="D3725" s="2" t="str">
        <f t="shared" si="57"/>
        <v>Error?</v>
      </c>
    </row>
    <row r="3726" spans="1:4" x14ac:dyDescent="0.2">
      <c r="A3726" s="5">
        <v>3665</v>
      </c>
      <c r="B3726" s="138">
        <f>'Tax Sched 23'!D13</f>
        <v>40624</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42526</v>
      </c>
      <c r="C3728" s="2" t="s">
        <v>572</v>
      </c>
      <c r="D3728" s="2" t="str">
        <f t="shared" si="57"/>
        <v>Error?</v>
      </c>
    </row>
    <row r="3729" spans="1:4" x14ac:dyDescent="0.2">
      <c r="A3729" s="5">
        <v>3668</v>
      </c>
      <c r="B3729" s="138">
        <f>'Tax Sched 23'!E13</f>
        <v>42526</v>
      </c>
      <c r="D3729" s="2" t="str">
        <f t="shared" si="57"/>
        <v>Error?</v>
      </c>
    </row>
    <row r="3730" spans="1:4" x14ac:dyDescent="0.2">
      <c r="A3730" s="5">
        <v>3669</v>
      </c>
      <c r="B3730" s="138">
        <f>'ICR Computation 30'!E10</f>
        <v>224797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2772812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8914993</v>
      </c>
      <c r="C4122" s="2" t="s">
        <v>572</v>
      </c>
      <c r="D4122" s="2" t="str">
        <f t="shared" si="63"/>
        <v>Error?</v>
      </c>
    </row>
    <row r="4123" spans="1:4" x14ac:dyDescent="0.2">
      <c r="A4123" s="5">
        <v>4062</v>
      </c>
      <c r="B4123" s="138">
        <f>'Acct Summary 7-8'!D10</f>
        <v>1121994</v>
      </c>
      <c r="C4123" s="2" t="s">
        <v>572</v>
      </c>
      <c r="D4123" s="2" t="str">
        <f t="shared" si="63"/>
        <v>Error?</v>
      </c>
    </row>
    <row r="4124" spans="1:4" x14ac:dyDescent="0.2">
      <c r="A4124" s="5">
        <v>4063</v>
      </c>
      <c r="B4124" s="138">
        <f>'Acct Summary 7-8'!E10</f>
        <v>752707</v>
      </c>
      <c r="C4124" s="2" t="s">
        <v>572</v>
      </c>
      <c r="D4124" s="2" t="str">
        <f t="shared" si="63"/>
        <v>Error?</v>
      </c>
    </row>
    <row r="4125" spans="1:4" x14ac:dyDescent="0.2">
      <c r="A4125" s="5">
        <v>4064</v>
      </c>
      <c r="B4125" s="138">
        <f>'Acct Summary 7-8'!F10</f>
        <v>674641</v>
      </c>
      <c r="C4125" s="2" t="s">
        <v>572</v>
      </c>
      <c r="D4125" s="2" t="str">
        <f t="shared" si="63"/>
        <v>Error?</v>
      </c>
    </row>
    <row r="4126" spans="1:4" x14ac:dyDescent="0.2">
      <c r="A4126" s="5">
        <v>4065</v>
      </c>
      <c r="B4126" s="138">
        <f>'Acct Summary 7-8'!G10</f>
        <v>366575</v>
      </c>
      <c r="C4126" s="2" t="s">
        <v>572</v>
      </c>
      <c r="D4126" s="2" t="str">
        <f t="shared" si="63"/>
        <v>Error?</v>
      </c>
    </row>
    <row r="4127" spans="1:4" x14ac:dyDescent="0.2">
      <c r="A4127" s="5">
        <v>4066</v>
      </c>
      <c r="B4127" s="138">
        <f>'Acct Summary 7-8'!H10</f>
        <v>32344</v>
      </c>
      <c r="C4127" s="2" t="s">
        <v>572</v>
      </c>
      <c r="D4127" s="2" t="str">
        <f t="shared" si="63"/>
        <v>Error?</v>
      </c>
    </row>
    <row r="4128" spans="1:4" x14ac:dyDescent="0.2">
      <c r="A4128" s="5">
        <v>4067</v>
      </c>
      <c r="B4128" s="138">
        <f>'Acct Summary 7-8'!I10</f>
        <v>52018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40763</v>
      </c>
      <c r="C4130" s="2" t="s">
        <v>572</v>
      </c>
      <c r="D4130" s="2" t="str">
        <f t="shared" si="63"/>
        <v>Error?</v>
      </c>
    </row>
    <row r="4131" spans="1:4" x14ac:dyDescent="0.2">
      <c r="A4131" s="5">
        <v>4070</v>
      </c>
      <c r="B4131" s="138">
        <f>'Acct Summary 7-8'!C18</f>
        <v>2772812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8828603</v>
      </c>
      <c r="C4136" s="2" t="s">
        <v>572</v>
      </c>
      <c r="D4136" s="2" t="str">
        <f t="shared" si="63"/>
        <v>Error?</v>
      </c>
    </row>
    <row r="4137" spans="1:4" x14ac:dyDescent="0.2">
      <c r="A4137" s="5">
        <v>4076</v>
      </c>
      <c r="B4137" s="138">
        <f>'Acct Summary 7-8'!D19</f>
        <v>1079449</v>
      </c>
      <c r="C4137" s="2" t="s">
        <v>572</v>
      </c>
      <c r="D4137" s="2" t="str">
        <f t="shared" si="63"/>
        <v>Error?</v>
      </c>
    </row>
    <row r="4138" spans="1:4" x14ac:dyDescent="0.2">
      <c r="A4138" s="5">
        <v>4077</v>
      </c>
      <c r="B4138" s="138">
        <f>'Acct Summary 7-8'!E19</f>
        <v>753214</v>
      </c>
      <c r="C4138" s="2" t="s">
        <v>572</v>
      </c>
      <c r="D4138" s="2" t="str">
        <f t="shared" si="63"/>
        <v>Error?</v>
      </c>
    </row>
    <row r="4139" spans="1:4" x14ac:dyDescent="0.2">
      <c r="A4139" s="5">
        <v>4078</v>
      </c>
      <c r="B4139" s="138">
        <f>'Acct Summary 7-8'!F19</f>
        <v>799895</v>
      </c>
      <c r="C4139" s="2" t="s">
        <v>572</v>
      </c>
      <c r="D4139" s="2" t="str">
        <f t="shared" si="63"/>
        <v>Error?</v>
      </c>
    </row>
    <row r="4140" spans="1:4" x14ac:dyDescent="0.2">
      <c r="A4140" s="5">
        <v>4079</v>
      </c>
      <c r="B4140" s="138">
        <f>'Acct Summary 7-8'!G19</f>
        <v>339127</v>
      </c>
      <c r="C4140" s="2" t="s">
        <v>572</v>
      </c>
      <c r="D4140" s="2" t="str">
        <f t="shared" si="63"/>
        <v>Error?</v>
      </c>
    </row>
    <row r="4141" spans="1:4" x14ac:dyDescent="0.2">
      <c r="A4141" s="5">
        <v>4080</v>
      </c>
      <c r="B4141" s="138">
        <f>'Acct Summary 7-8'!H19</f>
        <v>32516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37539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5248874</v>
      </c>
      <c r="C4171" s="2" t="s">
        <v>572</v>
      </c>
      <c r="D4171" s="2" t="str">
        <f t="shared" si="64"/>
        <v>Error?</v>
      </c>
    </row>
    <row r="4172" spans="1:4" x14ac:dyDescent="0.2">
      <c r="A4172" s="5">
        <v>4111</v>
      </c>
      <c r="B4172" s="138">
        <f>'Short-Term Long-Term Debt 24'!J49</f>
        <v>5242728</v>
      </c>
      <c r="C4172" s="2" t="s">
        <v>572</v>
      </c>
      <c r="D4172" s="2" t="str">
        <f t="shared" si="64"/>
        <v>Error?</v>
      </c>
    </row>
    <row r="4173" spans="1:4" x14ac:dyDescent="0.2">
      <c r="A4173" s="5">
        <v>4112</v>
      </c>
      <c r="B4173" s="138">
        <f>'Short-Term Long-Term Debt 24'!H49</f>
        <v>585904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166228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53298</v>
      </c>
      <c r="D4210" s="2" t="str">
        <f t="shared" si="64"/>
        <v>Error?</v>
      </c>
    </row>
    <row r="4211" spans="1:4" x14ac:dyDescent="0.2">
      <c r="A4211" s="5">
        <v>4150</v>
      </c>
      <c r="B4211" s="138">
        <f>'Expenditures 15-22'!K206</f>
        <v>53298</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6478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2540</v>
      </c>
      <c r="C4268" s="2" t="s">
        <v>572</v>
      </c>
      <c r="D4268" s="2" t="str">
        <f t="shared" si="65"/>
        <v>Error?</v>
      </c>
    </row>
    <row r="4269" spans="1:5" x14ac:dyDescent="0.2">
      <c r="A4269" s="12">
        <v>4208</v>
      </c>
      <c r="B4269" s="138">
        <f>'FP Info 3'!J16</f>
        <v>2441503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12684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67370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23029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33257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85159747</v>
      </c>
      <c r="D4995" s="2" t="str">
        <f t="shared" si="77"/>
        <v>Error?</v>
      </c>
    </row>
    <row r="4996" spans="1:4" x14ac:dyDescent="0.2">
      <c r="A4996" s="12">
        <v>4935</v>
      </c>
      <c r="B4996" s="138">
        <f>'FP Info 3'!H31</f>
        <v>11752045.086000001</v>
      </c>
      <c r="D4996" s="2" t="str">
        <f t="shared" si="77"/>
        <v>Error?</v>
      </c>
    </row>
    <row r="4997" spans="1:4" x14ac:dyDescent="0.2">
      <c r="A4997" s="12">
        <v>4936</v>
      </c>
      <c r="B4997" s="138">
        <f>'FP Info 3'!H37</f>
        <v>5248874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40624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1484998</v>
      </c>
      <c r="D5061" s="2" t="str">
        <f t="shared" si="78"/>
        <v>Error?</v>
      </c>
    </row>
    <row r="5062" spans="1:4" x14ac:dyDescent="0.2">
      <c r="A5062" s="10">
        <v>5001</v>
      </c>
      <c r="D5062" s="2" t="str">
        <f t="shared" si="78"/>
        <v>OK</v>
      </c>
    </row>
    <row r="5063" spans="1:4" x14ac:dyDescent="0.2">
      <c r="A5063" s="5">
        <v>5002</v>
      </c>
      <c r="B5063" s="138">
        <f>'Revenues 9-14'!C7</f>
        <v>32499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1558121</v>
      </c>
      <c r="C5066" s="2" t="s">
        <v>572</v>
      </c>
      <c r="D5066" s="2" t="str">
        <f t="shared" si="78"/>
        <v>Error?</v>
      </c>
    </row>
    <row r="5067" spans="1:4" x14ac:dyDescent="0.2">
      <c r="A5067" s="5">
        <v>5006</v>
      </c>
      <c r="B5067" s="138">
        <f>'Revenues 9-14'!C14</f>
        <v>3306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207309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210615</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17825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17825</v>
      </c>
      <c r="C5090" s="2" t="s">
        <v>572</v>
      </c>
      <c r="D5090" s="2" t="str">
        <f t="shared" si="78"/>
        <v>Error?</v>
      </c>
    </row>
    <row r="5091" spans="1:4" x14ac:dyDescent="0.2">
      <c r="A5091" s="5">
        <v>5030</v>
      </c>
      <c r="B5091" s="138">
        <f>'Revenues 9-14'!C70</f>
        <v>11318</v>
      </c>
      <c r="D5091" s="2" t="str">
        <f t="shared" si="78"/>
        <v>Error?</v>
      </c>
    </row>
    <row r="5092" spans="1:4" x14ac:dyDescent="0.2">
      <c r="A5092" s="5">
        <v>5031</v>
      </c>
      <c r="B5092" s="138">
        <f>'Revenues 9-14'!C71</f>
        <v>14998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6874</v>
      </c>
      <c r="D5094" s="2" t="str">
        <f t="shared" si="78"/>
        <v>Error?</v>
      </c>
    </row>
    <row r="5095" spans="1:4" x14ac:dyDescent="0.2">
      <c r="A5095" s="5">
        <v>5034</v>
      </c>
      <c r="B5095" s="138">
        <f>'Revenues 9-14'!C74</f>
        <v>1145</v>
      </c>
      <c r="D5095" s="2" t="str">
        <f t="shared" si="78"/>
        <v>Error?</v>
      </c>
    </row>
    <row r="5096" spans="1:4" x14ac:dyDescent="0.2">
      <c r="A5096" s="5">
        <v>5035</v>
      </c>
      <c r="B5096" s="138">
        <f>'Revenues 9-14'!C75</f>
        <v>123798</v>
      </c>
      <c r="C5096" s="2" t="s">
        <v>572</v>
      </c>
      <c r="D5096" s="2" t="str">
        <f t="shared" si="78"/>
        <v>Error?</v>
      </c>
    </row>
    <row r="5097" spans="1:4" x14ac:dyDescent="0.2">
      <c r="A5097" s="5">
        <v>5036</v>
      </c>
      <c r="B5097" s="138">
        <f>'Revenues 9-14'!C77</f>
        <v>27131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32652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59783</v>
      </c>
      <c r="C5102" s="2" t="s">
        <v>572</v>
      </c>
      <c r="D5102" s="2" t="str">
        <f t="shared" si="78"/>
        <v>Error?</v>
      </c>
    </row>
    <row r="5103" spans="1:4" x14ac:dyDescent="0.2">
      <c r="A5103" s="5">
        <v>5042</v>
      </c>
      <c r="B5103" s="138">
        <f>'Revenues 9-14'!C84</f>
        <v>18680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18680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v>
      </c>
      <c r="D5114" s="2" t="str">
        <f t="shared" si="78"/>
        <v>Error?</v>
      </c>
    </row>
    <row r="5115" spans="1:4" x14ac:dyDescent="0.2">
      <c r="A5115" s="5">
        <v>5054</v>
      </c>
      <c r="B5115" s="138">
        <f>'Revenues 9-14'!C98</f>
        <v>45957</v>
      </c>
      <c r="D5115" s="2" t="str">
        <f t="shared" si="78"/>
        <v>Error?</v>
      </c>
    </row>
    <row r="5116" spans="1:4" x14ac:dyDescent="0.2">
      <c r="A5116" s="5">
        <v>5055</v>
      </c>
      <c r="B5116" s="138">
        <f>'Revenues 9-14'!C99</f>
        <v>1101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4470</v>
      </c>
      <c r="D5118" s="2" t="str">
        <f t="shared" si="78"/>
        <v>Error?</v>
      </c>
    </row>
    <row r="5119" spans="1:4" x14ac:dyDescent="0.2">
      <c r="A5119" s="5">
        <v>5058</v>
      </c>
      <c r="B5119" s="138">
        <f>'Revenues 9-14'!C107</f>
        <v>11216</v>
      </c>
      <c r="D5119" s="2" t="str">
        <f t="shared" ref="D5119:D5182" si="79">IF(ISBLANK(B5119),"OK",IF(A5119-B5119=0,"OK","Error?"))</f>
        <v>Error?</v>
      </c>
    </row>
    <row r="5120" spans="1:4" x14ac:dyDescent="0.2">
      <c r="A5120" s="5">
        <v>5059</v>
      </c>
      <c r="B5120" s="138">
        <f>'Revenues 9-14'!C108</f>
        <v>66884</v>
      </c>
      <c r="C5120" s="2" t="s">
        <v>572</v>
      </c>
      <c r="D5120" s="2" t="str">
        <f t="shared" si="79"/>
        <v>Error?</v>
      </c>
    </row>
    <row r="5121" spans="1:4" x14ac:dyDescent="0.2">
      <c r="A5121" s="5">
        <v>5060</v>
      </c>
      <c r="B5121" s="138">
        <f>'Revenues 9-14'!C109</f>
        <v>2055706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3320000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3320000</v>
      </c>
      <c r="C5132" s="2" t="s">
        <v>572</v>
      </c>
      <c r="D5132" s="2" t="str">
        <f t="shared" si="79"/>
        <v>Error?</v>
      </c>
    </row>
    <row r="5133" spans="1:4" x14ac:dyDescent="0.2">
      <c r="A5133" s="5">
        <v>5072</v>
      </c>
      <c r="B5133" s="138">
        <f>'Revenues 9-14'!C125</f>
        <v>15474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15848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31322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18983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37597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5973</v>
      </c>
      <c r="D5167" s="2" t="str">
        <f t="shared" si="79"/>
        <v>Error?</v>
      </c>
    </row>
    <row r="5168" spans="1:4" x14ac:dyDescent="0.2">
      <c r="A5168" s="5">
        <v>5107</v>
      </c>
      <c r="B5168" s="138">
        <f>'Revenues 9-14'!C148</f>
        <v>11024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88049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3408049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195019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61409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256428</v>
      </c>
      <c r="C5246" s="2" t="s">
        <v>572</v>
      </c>
      <c r="D5246" s="2" t="str">
        <f t="shared" si="80"/>
        <v>Error?</v>
      </c>
    </row>
    <row r="5247" spans="1:4" x14ac:dyDescent="0.2">
      <c r="A5247" s="5">
        <v>5186</v>
      </c>
      <c r="B5247" s="138">
        <f>'Revenues 9-14'!C200</f>
        <v>210751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23029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210751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69000</v>
      </c>
      <c r="D5278" s="2" t="str">
        <f t="shared" si="81"/>
        <v>Error?</v>
      </c>
    </row>
    <row r="5279" spans="1:4" x14ac:dyDescent="0.2">
      <c r="A5279" s="5">
        <v>5218</v>
      </c>
      <c r="B5279" s="138">
        <f>'Revenues 9-14'!C214</f>
        <v>5907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74907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678426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678426</v>
      </c>
      <c r="C5326" s="2" t="s">
        <v>572</v>
      </c>
      <c r="D5326" s="2" t="str">
        <f t="shared" si="82"/>
        <v>Error?</v>
      </c>
    </row>
    <row r="5327" spans="1:5" x14ac:dyDescent="0.2">
      <c r="A5327" s="5">
        <v>5266</v>
      </c>
      <c r="B5327" s="138">
        <f>'Revenues 9-14'!C268</f>
        <v>6142181</v>
      </c>
      <c r="C5327" s="2" t="s">
        <v>572</v>
      </c>
      <c r="D5327" s="2" t="str">
        <f t="shared" si="82"/>
        <v>Error?</v>
      </c>
    </row>
    <row r="5328" spans="1:5" x14ac:dyDescent="0.2">
      <c r="A5328" s="5">
        <v>5267</v>
      </c>
      <c r="B5328" s="138">
        <f>'Revenues 9-14'!D5</f>
        <v>406233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406233</v>
      </c>
      <c r="C5334" s="2" t="s">
        <v>572</v>
      </c>
      <c r="D5334" s="2" t="str">
        <f t="shared" si="82"/>
        <v>Error?</v>
      </c>
    </row>
    <row r="5335" spans="1:4" x14ac:dyDescent="0.2">
      <c r="A5335" s="5">
        <v>5274</v>
      </c>
      <c r="B5335" s="138">
        <f>'Revenues 9-14'!D14</f>
        <v>858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858</v>
      </c>
      <c r="C5339" s="2" t="s">
        <v>572</v>
      </c>
      <c r="D5339" s="2" t="str">
        <f t="shared" si="82"/>
        <v>Error?</v>
      </c>
    </row>
    <row r="5340" spans="1:4" x14ac:dyDescent="0.2">
      <c r="A5340" s="5">
        <v>5279</v>
      </c>
      <c r="B5340" s="138">
        <f>'Revenues 9-14'!D65</f>
        <v>2262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2262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270</v>
      </c>
      <c r="D5349" s="2" t="str">
        <f t="shared" si="82"/>
        <v>Error?</v>
      </c>
    </row>
    <row r="5350" spans="1:4" x14ac:dyDescent="0.2">
      <c r="A5350" s="5">
        <v>5289</v>
      </c>
      <c r="B5350" s="138">
        <f>'Revenues 9-14'!D96</f>
        <v>4697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74602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5148</v>
      </c>
      <c r="D5354" s="2" t="str">
        <f t="shared" si="82"/>
        <v>Error?</v>
      </c>
    </row>
    <row r="5355" spans="1:4" x14ac:dyDescent="0.2">
      <c r="A5355" s="5">
        <v>5294</v>
      </c>
      <c r="B5355" s="138">
        <f>'Revenues 9-14'!D108</f>
        <v>84717</v>
      </c>
      <c r="C5355" s="2" t="s">
        <v>572</v>
      </c>
      <c r="D5355" s="2" t="str">
        <f t="shared" si="82"/>
        <v>Error?</v>
      </c>
    </row>
    <row r="5356" spans="1:4" x14ac:dyDescent="0.2">
      <c r="A5356" s="5">
        <v>5295</v>
      </c>
      <c r="B5356" s="138">
        <f>'Revenues 9-14'!D109</f>
        <v>494070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627924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627924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627924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1121994</v>
      </c>
      <c r="C5508" s="2" t="s">
        <v>572</v>
      </c>
      <c r="D5508" s="2" t="str">
        <f t="shared" si="85"/>
        <v>Error?</v>
      </c>
    </row>
    <row r="5509" spans="1:4" x14ac:dyDescent="0.2">
      <c r="A5509" s="5">
        <v>5448</v>
      </c>
      <c r="B5509" s="138">
        <f>'Revenues 9-14'!E5</f>
        <v>669969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669969</v>
      </c>
      <c r="C5513" s="2" t="s">
        <v>572</v>
      </c>
      <c r="D5513" s="2" t="str">
        <f t="shared" si="85"/>
        <v>Error?</v>
      </c>
    </row>
    <row r="5514" spans="1:4" x14ac:dyDescent="0.2">
      <c r="A5514" s="5">
        <v>5453</v>
      </c>
      <c r="B5514" s="138">
        <f>'Revenues 9-14'!E14</f>
        <v>1400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1400</v>
      </c>
      <c r="C5518" s="2" t="s">
        <v>572</v>
      </c>
      <c r="D5518" s="2" t="str">
        <f t="shared" si="85"/>
        <v>Error?</v>
      </c>
    </row>
    <row r="5519" spans="1:4" x14ac:dyDescent="0.2">
      <c r="A5519" s="5">
        <v>5458</v>
      </c>
      <c r="B5519" s="138">
        <f>'Revenues 9-14'!E65</f>
        <v>1338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672707</v>
      </c>
      <c r="C5527" s="2" t="s">
        <v>572</v>
      </c>
      <c r="D5527" s="2" t="str">
        <f t="shared" si="85"/>
        <v>Error?</v>
      </c>
    </row>
    <row r="5528" spans="1:4" x14ac:dyDescent="0.2">
      <c r="A5528" s="5">
        <v>5467</v>
      </c>
      <c r="B5528" s="138">
        <f>'Revenues 9-14'!E117</f>
        <v>80000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80000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80000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752707</v>
      </c>
      <c r="C5552" s="2" t="s">
        <v>572</v>
      </c>
      <c r="D5552" s="2" t="str">
        <f t="shared" si="85"/>
        <v>Error?</v>
      </c>
    </row>
    <row r="5553" spans="1:4" x14ac:dyDescent="0.2">
      <c r="A5553" s="5">
        <v>5492</v>
      </c>
      <c r="B5553" s="138">
        <f>'Revenues 9-14'!F5</f>
        <v>162494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162494</v>
      </c>
      <c r="C5557" s="2" t="s">
        <v>572</v>
      </c>
      <c r="D5557" s="2" t="str">
        <f t="shared" si="85"/>
        <v>Error?</v>
      </c>
    </row>
    <row r="5558" spans="1:4" x14ac:dyDescent="0.2">
      <c r="A5558" s="5">
        <v>5497</v>
      </c>
      <c r="B5558" s="138">
        <f>'Revenues 9-14'!F14</f>
        <v>343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343</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31059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12970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44029</v>
      </c>
      <c r="C5579" s="2" t="s">
        <v>572</v>
      </c>
      <c r="D5579" s="2" t="str">
        <f t="shared" si="86"/>
        <v>Error?</v>
      </c>
    </row>
    <row r="5580" spans="1:4" x14ac:dyDescent="0.2">
      <c r="A5580" s="5">
        <v>5519</v>
      </c>
      <c r="B5580" s="138">
        <f>'Revenues 9-14'!F65</f>
        <v>2320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3820</v>
      </c>
      <c r="D5586" s="2" t="str">
        <f t="shared" si="86"/>
        <v>Error?</v>
      </c>
    </row>
    <row r="5587" spans="1:4" x14ac:dyDescent="0.2">
      <c r="A5587" s="5">
        <v>5526</v>
      </c>
      <c r="B5587" s="138">
        <f>'Revenues 9-14'!F108</f>
        <v>3820</v>
      </c>
      <c r="C5587" s="2" t="s">
        <v>572</v>
      </c>
      <c r="D5587" s="2" t="str">
        <f t="shared" si="86"/>
        <v>Error?</v>
      </c>
    </row>
    <row r="5588" spans="1:4" x14ac:dyDescent="0.2">
      <c r="A5588" s="5">
        <v>5527</v>
      </c>
      <c r="B5588" s="138">
        <f>'Revenues 9-14'!F109</f>
        <v>213006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148091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148091</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190727</v>
      </c>
      <c r="D5615" s="2" t="str">
        <f t="shared" si="86"/>
        <v>Error?</v>
      </c>
    </row>
    <row r="5616" spans="1:4" x14ac:dyDescent="0.2">
      <c r="A5616" s="10">
        <v>5555</v>
      </c>
      <c r="D5616" s="2" t="str">
        <f t="shared" si="86"/>
        <v>OK</v>
      </c>
    </row>
    <row r="5617" spans="1:5" x14ac:dyDescent="0.2">
      <c r="A5617" s="5">
        <v>5556</v>
      </c>
      <c r="B5617" s="138">
        <f>'Revenues 9-14'!F153</f>
        <v>122817</v>
      </c>
      <c r="D5617" s="2" t="str">
        <f t="shared" si="86"/>
        <v>Error?</v>
      </c>
    </row>
    <row r="5618" spans="1:5" x14ac:dyDescent="0.2">
      <c r="A5618" s="5">
        <v>5557</v>
      </c>
      <c r="B5618" s="138">
        <f>'Revenues 9-14'!F155</f>
        <v>313544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313544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461635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674641</v>
      </c>
      <c r="C5720" s="2" t="s">
        <v>572</v>
      </c>
      <c r="D5720" s="2" t="str">
        <f t="shared" si="88"/>
        <v>Error?</v>
      </c>
    </row>
    <row r="5721" spans="1:4" x14ac:dyDescent="0.2">
      <c r="A5721" s="5">
        <v>5660</v>
      </c>
      <c r="B5721" s="138">
        <f>'Revenues 9-14'!G5</f>
        <v>176291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176384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352675</v>
      </c>
      <c r="C5725" s="2" t="s">
        <v>572</v>
      </c>
      <c r="D5725" s="2" t="str">
        <f t="shared" si="88"/>
        <v>Error?</v>
      </c>
    </row>
    <row r="5726" spans="1:4" x14ac:dyDescent="0.2">
      <c r="A5726" s="5">
        <v>5665</v>
      </c>
      <c r="B5726" s="138">
        <f>'Revenues 9-14'!G14</f>
        <v>737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10911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11648</v>
      </c>
      <c r="C5730" s="2" t="s">
        <v>572</v>
      </c>
      <c r="D5730" s="2" t="str">
        <f t="shared" si="88"/>
        <v>Error?</v>
      </c>
    </row>
    <row r="5731" spans="1:4" x14ac:dyDescent="0.2">
      <c r="A5731" s="5">
        <v>5670</v>
      </c>
      <c r="B5731" s="138">
        <f>'Revenues 9-14'!G65</f>
        <v>2252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2252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366575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32312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32344</v>
      </c>
      <c r="C5915" s="2" t="s">
        <v>572</v>
      </c>
      <c r="D5915" s="2" t="str">
        <f t="shared" si="91"/>
        <v>Error?</v>
      </c>
    </row>
    <row r="5916" spans="1:4" x14ac:dyDescent="0.2">
      <c r="A5916" s="5">
        <v>5855</v>
      </c>
      <c r="B5916" s="138">
        <f>'Revenues 9-14'!I5</f>
        <v>40624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40624</v>
      </c>
      <c r="C5918" s="2" t="s">
        <v>572</v>
      </c>
      <c r="D5918" s="2" t="str">
        <f t="shared" si="91"/>
        <v>Error?</v>
      </c>
    </row>
    <row r="5919" spans="1:4" x14ac:dyDescent="0.2">
      <c r="A5919" s="5">
        <v>5858</v>
      </c>
      <c r="B5919" s="138">
        <f>'Revenues 9-14'!I14</f>
        <v>86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86</v>
      </c>
      <c r="C5923" s="2" t="s">
        <v>572</v>
      </c>
      <c r="D5923" s="2" t="str">
        <f t="shared" si="91"/>
        <v>Error?</v>
      </c>
    </row>
    <row r="5924" spans="1:4" x14ac:dyDescent="0.2">
      <c r="A5924" s="5">
        <v>5863</v>
      </c>
      <c r="B5924" s="138">
        <f>'Revenues 9-14'!I65</f>
        <v>11308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11308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52018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40624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40624</v>
      </c>
      <c r="C5987" s="2" t="s">
        <v>572</v>
      </c>
      <c r="D5987" s="2" t="str">
        <f t="shared" si="92"/>
        <v>Error?</v>
      </c>
    </row>
    <row r="5988" spans="1:4" x14ac:dyDescent="0.2">
      <c r="A5988" s="5">
        <v>5927</v>
      </c>
      <c r="B5988" s="138">
        <f>'Revenues 9-14'!K14</f>
        <v>86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86</v>
      </c>
      <c r="C5992" s="2" t="s">
        <v>572</v>
      </c>
      <c r="D5992" s="2" t="str">
        <f t="shared" si="92"/>
        <v>Error?</v>
      </c>
    </row>
    <row r="5993" spans="1:4" x14ac:dyDescent="0.2">
      <c r="A5993" s="5">
        <v>5932</v>
      </c>
      <c r="B5993" s="138">
        <f>'Revenues 9-14'!K65</f>
        <v>53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40763</v>
      </c>
      <c r="C6023" s="2" t="s">
        <v>572</v>
      </c>
      <c r="D6023" s="2" t="str">
        <f t="shared" si="93"/>
        <v>Error?</v>
      </c>
    </row>
    <row r="6024" spans="1:5" x14ac:dyDescent="0.2">
      <c r="A6024" s="5">
        <v>5963</v>
      </c>
      <c r="B6024" s="138">
        <f>'Revenues 9-14'!G109</f>
        <v>366575</v>
      </c>
      <c r="C6024" s="2" t="s">
        <v>572</v>
      </c>
      <c r="D6024" s="2" t="str">
        <f t="shared" si="93"/>
        <v>Error?</v>
      </c>
    </row>
    <row r="6025" spans="1:5" x14ac:dyDescent="0.2">
      <c r="A6025" s="5">
        <v>5964</v>
      </c>
      <c r="B6025" s="138">
        <f>'Revenues 9-14'!H109</f>
        <v>32344</v>
      </c>
      <c r="C6025" s="2" t="s">
        <v>572</v>
      </c>
      <c r="D6025" s="2" t="str">
        <f t="shared" si="93"/>
        <v>Error?</v>
      </c>
    </row>
    <row r="6026" spans="1:5" x14ac:dyDescent="0.2">
      <c r="A6026" s="5">
        <v>5965</v>
      </c>
      <c r="B6026" s="138">
        <f>'Revenues 9-14'!I109</f>
        <v>52018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40763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89463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36751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842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4766</v>
      </c>
      <c r="D6215" s="2" t="str">
        <f t="shared" si="96"/>
        <v>Error?</v>
      </c>
      <c r="E6215" s="2" t="s">
        <v>190</v>
      </c>
    </row>
    <row r="6216" spans="1:5" x14ac:dyDescent="0.2">
      <c r="A6216">
        <v>6155</v>
      </c>
      <c r="B6216" s="138">
        <f>'Assets-Liab 5-6'!J41</f>
        <v>4766</v>
      </c>
      <c r="D6216" s="2" t="str">
        <f t="shared" si="96"/>
        <v>Error?</v>
      </c>
      <c r="E6216" s="2" t="s">
        <v>190</v>
      </c>
    </row>
    <row r="6217" spans="1:5" x14ac:dyDescent="0.2">
      <c r="A6217">
        <v>6156</v>
      </c>
      <c r="B6217" s="138">
        <f>'Assets-Liab 5-6'!J4</f>
        <v>4766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496619</v>
      </c>
      <c r="D6220" s="2" t="str">
        <f t="shared" si="96"/>
        <v>Error?</v>
      </c>
      <c r="E6220" s="2" t="s">
        <v>190</v>
      </c>
    </row>
    <row r="6221" spans="1:5" x14ac:dyDescent="0.2">
      <c r="A6221">
        <v>6160</v>
      </c>
      <c r="B6221" s="138">
        <f>'Acct Summary 7-8'!J6</f>
        <v>8000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504619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504619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518439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518439</v>
      </c>
      <c r="D6229" s="2" t="str">
        <f t="shared" si="96"/>
        <v>Error?</v>
      </c>
      <c r="E6229" s="2" t="s">
        <v>190</v>
      </c>
    </row>
    <row r="6230" spans="1:5" x14ac:dyDescent="0.2">
      <c r="A6230">
        <v>6169</v>
      </c>
      <c r="B6230" s="138">
        <f>'Acct Summary 7-8'!J20</f>
        <v>-13820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-13820</v>
      </c>
      <c r="D6263" s="2" t="str">
        <f t="shared" si="96"/>
        <v>Error?</v>
      </c>
      <c r="E6263" s="2" t="s">
        <v>190</v>
      </c>
    </row>
    <row r="6264" spans="1:5" x14ac:dyDescent="0.2">
      <c r="A6264">
        <v>6203</v>
      </c>
      <c r="B6264" s="138">
        <f>'Acct Summary 7-8'!J79</f>
        <v>18586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4766</v>
      </c>
      <c r="D6266" s="2" t="str">
        <f t="shared" si="96"/>
        <v>Error?</v>
      </c>
      <c r="E6266" s="2" t="s">
        <v>190</v>
      </c>
    </row>
    <row r="6267" spans="1:5" x14ac:dyDescent="0.2">
      <c r="A6267">
        <v>6206</v>
      </c>
      <c r="B6267" s="138">
        <f>'Acct Summary 7-8'!C82</f>
        <v>153540</v>
      </c>
      <c r="D6267" s="2" t="str">
        <f t="shared" si="96"/>
        <v>Error?</v>
      </c>
      <c r="E6267" s="2" t="s">
        <v>190</v>
      </c>
    </row>
    <row r="6268" spans="1:5" x14ac:dyDescent="0.2">
      <c r="A6268">
        <v>6207</v>
      </c>
      <c r="B6268" s="138">
        <f>'Acct Summary 7-8'!D82</f>
        <v>42545</v>
      </c>
      <c r="D6268" s="2" t="str">
        <f t="shared" si="96"/>
        <v>Error?</v>
      </c>
      <c r="E6268" s="2" t="s">
        <v>190</v>
      </c>
    </row>
    <row r="6269" spans="1:5" x14ac:dyDescent="0.2">
      <c r="A6269">
        <v>6208</v>
      </c>
      <c r="B6269" s="138">
        <f>'Acct Summary 7-8'!E82</f>
        <v>-507</v>
      </c>
      <c r="D6269" s="2" t="str">
        <f t="shared" si="96"/>
        <v>Error?</v>
      </c>
      <c r="E6269" s="2" t="s">
        <v>190</v>
      </c>
    </row>
    <row r="6270" spans="1:5" x14ac:dyDescent="0.2">
      <c r="A6270">
        <v>6209</v>
      </c>
      <c r="B6270" s="138">
        <f>'Acct Summary 7-8'!F82</f>
        <v>27122</v>
      </c>
      <c r="D6270" s="2" t="str">
        <f t="shared" si="96"/>
        <v>Error?</v>
      </c>
      <c r="E6270" s="2" t="s">
        <v>190</v>
      </c>
    </row>
    <row r="6271" spans="1:5" x14ac:dyDescent="0.2">
      <c r="A6271">
        <v>6210</v>
      </c>
      <c r="B6271" s="138">
        <f>'Acct Summary 7-8'!G82</f>
        <v>27448</v>
      </c>
      <c r="D6271" s="2" t="str">
        <f t="shared" ref="D6271:D6334" si="97">IF(ISBLANK(B6271),"OK",IF(A6271-B6271=0,"OK","Error?"))</f>
        <v>Error?</v>
      </c>
      <c r="E6271" s="2" t="s">
        <v>190</v>
      </c>
    </row>
    <row r="6272" spans="1:5" x14ac:dyDescent="0.2">
      <c r="A6272">
        <v>6211</v>
      </c>
      <c r="B6272" s="138">
        <f>'Acct Summary 7-8'!H82</f>
        <v>-172</v>
      </c>
      <c r="D6272" s="2" t="str">
        <f t="shared" si="97"/>
        <v>Error?</v>
      </c>
      <c r="E6272" s="2" t="s">
        <v>190</v>
      </c>
    </row>
    <row r="6273" spans="1:5" x14ac:dyDescent="0.2">
      <c r="A6273">
        <v>6212</v>
      </c>
      <c r="B6273" s="138">
        <f>'Acct Summary 7-8'!I82</f>
        <v>52018</v>
      </c>
      <c r="D6273" s="2" t="str">
        <f t="shared" si="97"/>
        <v>Error?</v>
      </c>
      <c r="E6273" s="2" t="s">
        <v>190</v>
      </c>
    </row>
    <row r="6274" spans="1:5" x14ac:dyDescent="0.2">
      <c r="A6274">
        <v>6213</v>
      </c>
      <c r="B6274" s="138">
        <f>'Acct Summary 7-8'!J82</f>
        <v>-13820</v>
      </c>
      <c r="D6274" s="2" t="str">
        <f t="shared" si="97"/>
        <v>Error?</v>
      </c>
      <c r="E6274" s="2" t="s">
        <v>190</v>
      </c>
    </row>
    <row r="6275" spans="1:5" x14ac:dyDescent="0.2">
      <c r="A6275">
        <v>6214</v>
      </c>
      <c r="B6275" s="138">
        <f>'Acct Summary 7-8'!K82</f>
        <v>3224</v>
      </c>
      <c r="D6275" s="2" t="str">
        <f t="shared" si="97"/>
        <v>Error?</v>
      </c>
      <c r="E6275" s="2" t="s">
        <v>190</v>
      </c>
    </row>
    <row r="6276" spans="1:5" x14ac:dyDescent="0.2">
      <c r="A6276">
        <v>6215</v>
      </c>
      <c r="B6276" s="138">
        <f>'Acct Summary 7-8'!C83</f>
        <v>0.12278013766984826</v>
      </c>
      <c r="D6276" s="2" t="str">
        <f t="shared" si="97"/>
        <v>Error?</v>
      </c>
      <c r="E6276" s="2" t="s">
        <v>190</v>
      </c>
    </row>
    <row r="6277" spans="1:5" x14ac:dyDescent="0.2">
      <c r="A6277">
        <v>6216</v>
      </c>
      <c r="B6277" s="138">
        <f>'Acct Summary 7-8'!D83</f>
        <v>0.30467194683547932</v>
      </c>
      <c r="D6277" s="2" t="str">
        <f t="shared" si="97"/>
        <v>Error?</v>
      </c>
      <c r="E6277" s="2" t="s">
        <v>190</v>
      </c>
    </row>
    <row r="6278" spans="1:5" x14ac:dyDescent="0.2">
      <c r="A6278">
        <v>6217</v>
      </c>
      <c r="B6278" s="138">
        <f>'Acct Summary 7-8'!E83</f>
        <v>-8.2492678164659938E-2</v>
      </c>
      <c r="D6278" s="2" t="str">
        <f t="shared" si="97"/>
        <v>Error?</v>
      </c>
      <c r="E6278" s="2" t="s">
        <v>190</v>
      </c>
    </row>
    <row r="6279" spans="1:5" x14ac:dyDescent="0.2">
      <c r="A6279">
        <v>6218</v>
      </c>
      <c r="B6279" s="138">
        <f>'Acct Summary 7-8'!F83</f>
        <v>9.1793358333220512E-2</v>
      </c>
      <c r="D6279" s="2" t="str">
        <f t="shared" si="97"/>
        <v>Error?</v>
      </c>
      <c r="E6279" s="2" t="s">
        <v>190</v>
      </c>
    </row>
    <row r="6280" spans="1:5" x14ac:dyDescent="0.2">
      <c r="A6280">
        <v>6219</v>
      </c>
      <c r="B6280" s="138">
        <f>'Acct Summary 7-8'!G83</f>
        <v>0.18492093969588563</v>
      </c>
      <c r="D6280" s="2" t="str">
        <f t="shared" si="97"/>
        <v>Error?</v>
      </c>
      <c r="E6280" s="2" t="s">
        <v>190</v>
      </c>
    </row>
    <row r="6281" spans="1:5" x14ac:dyDescent="0.2">
      <c r="A6281">
        <v>6220</v>
      </c>
      <c r="B6281" s="138">
        <f>'Acct Summary 7-8'!H83</f>
        <v>-2.5485257075122239E-2</v>
      </c>
      <c r="D6281" s="2" t="str">
        <f t="shared" si="97"/>
        <v>Error?</v>
      </c>
      <c r="E6281" s="2" t="s">
        <v>190</v>
      </c>
    </row>
    <row r="6282" spans="1:5" x14ac:dyDescent="0.2">
      <c r="A6282">
        <v>6221</v>
      </c>
      <c r="B6282" s="138">
        <f>'Acct Summary 7-8'!I83</f>
        <v>6.8819167443921858E-2</v>
      </c>
      <c r="D6282" s="2" t="str">
        <f t="shared" si="97"/>
        <v>Error?</v>
      </c>
      <c r="E6282" s="2" t="s">
        <v>190</v>
      </c>
    </row>
    <row r="6283" spans="1:5" x14ac:dyDescent="0.2">
      <c r="A6283">
        <v>6222</v>
      </c>
      <c r="B6283" s="138">
        <f>'Acct Summary 7-8'!J83</f>
        <v>-2.8997062526227446</v>
      </c>
      <c r="D6283" s="2" t="str">
        <f t="shared" si="97"/>
        <v>Error?</v>
      </c>
      <c r="E6283" s="2" t="s">
        <v>190</v>
      </c>
    </row>
    <row r="6284" spans="1:5" x14ac:dyDescent="0.2">
      <c r="A6284">
        <v>6223</v>
      </c>
      <c r="B6284" s="138">
        <f>'Acct Summary 7-8'!K83</f>
        <v>0.49607631943375902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67150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494292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494292</v>
      </c>
      <c r="D6301" s="2" t="str">
        <f t="shared" si="97"/>
        <v>Error?</v>
      </c>
      <c r="E6301" s="2" t="s">
        <v>190</v>
      </c>
    </row>
    <row r="6302" spans="1:5" x14ac:dyDescent="0.2">
      <c r="A6302">
        <v>6241</v>
      </c>
      <c r="B6302" s="138">
        <f>'Revenues 9-14'!J14</f>
        <v>1032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1032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3840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496619</v>
      </c>
      <c r="D6352" s="2" t="str">
        <f t="shared" si="98"/>
        <v>Error?</v>
      </c>
      <c r="E6352" s="2" t="s">
        <v>190</v>
      </c>
    </row>
    <row r="6353" spans="1:5" x14ac:dyDescent="0.2">
      <c r="A6353">
        <v>6292</v>
      </c>
      <c r="B6353" s="138">
        <f>'Revenues 9-14'!J117</f>
        <v>8000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8000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12136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8000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59290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11210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26006</v>
      </c>
      <c r="D6880" s="2" t="str">
        <f t="shared" si="106"/>
        <v>Error?</v>
      </c>
    </row>
    <row r="6881" spans="1:4" x14ac:dyDescent="0.2">
      <c r="A6881">
        <v>6820</v>
      </c>
      <c r="B6881" s="138">
        <f>'Expenditures 15-22'!K22</f>
        <v>26006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4311</v>
      </c>
      <c r="D6981" s="2" t="str">
        <f t="shared" si="108"/>
        <v>Error?</v>
      </c>
    </row>
    <row r="6982" spans="1:4" x14ac:dyDescent="0.2">
      <c r="A6982">
        <v>6921</v>
      </c>
      <c r="B6982" s="138">
        <f>'Expenditures 15-22'!K85</f>
        <v>4311</v>
      </c>
      <c r="D6982" s="2" t="str">
        <f t="shared" si="108"/>
        <v>Error?</v>
      </c>
    </row>
    <row r="6983" spans="1:4" x14ac:dyDescent="0.2">
      <c r="A6983">
        <v>6922</v>
      </c>
      <c r="B6983" s="138">
        <f>'Expenditures 15-22'!H86</f>
        <v>212022</v>
      </c>
      <c r="D6983" s="2" t="str">
        <f t="shared" si="108"/>
        <v>Error?</v>
      </c>
    </row>
    <row r="6984" spans="1:4" x14ac:dyDescent="0.2">
      <c r="A6984">
        <v>6923</v>
      </c>
      <c r="B6984" s="138">
        <f>'Expenditures 15-22'!K86</f>
        <v>212022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8359</v>
      </c>
      <c r="D6993" s="2" t="str">
        <f t="shared" si="108"/>
        <v>Error?</v>
      </c>
    </row>
    <row r="6994" spans="1:4" x14ac:dyDescent="0.2">
      <c r="A6994">
        <v>6933</v>
      </c>
      <c r="B6994" s="138">
        <f>'Expenditures 15-22'!K91</f>
        <v>8359</v>
      </c>
      <c r="D6994" s="2" t="str">
        <f t="shared" si="108"/>
        <v>Error?</v>
      </c>
    </row>
    <row r="6995" spans="1:4" x14ac:dyDescent="0.2">
      <c r="A6995">
        <v>6934</v>
      </c>
      <c r="B6995" s="138">
        <f>'Expenditures 15-22'!H92</f>
        <v>224692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518439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504619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626</v>
      </c>
      <c r="D7067" s="2" t="str">
        <f t="shared" si="109"/>
        <v>Error?</v>
      </c>
    </row>
    <row r="7068" spans="1:4" x14ac:dyDescent="0.2">
      <c r="A7068">
        <v>7007</v>
      </c>
      <c r="B7068" s="138">
        <f>'Expenditures 15-22'!K205</f>
        <v>626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1857</v>
      </c>
      <c r="D7075" s="2" t="str">
        <f t="shared" si="109"/>
        <v>Error?</v>
      </c>
    </row>
    <row r="7076" spans="1:4" x14ac:dyDescent="0.2">
      <c r="A7076">
        <v>7015</v>
      </c>
      <c r="B7076" s="138">
        <f>'Expenditures 15-22'!K218</f>
        <v>1857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99</v>
      </c>
      <c r="D7079" s="2" t="str">
        <f t="shared" si="109"/>
        <v>Error?</v>
      </c>
    </row>
    <row r="7080" spans="1:4" x14ac:dyDescent="0.2">
      <c r="A7080">
        <v>7019</v>
      </c>
      <c r="B7080" s="138">
        <f>'Expenditures 15-22'!K226</f>
        <v>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37018</v>
      </c>
      <c r="D7089" s="2" t="str">
        <f t="shared" si="109"/>
        <v>Error?</v>
      </c>
    </row>
    <row r="7090" spans="1:4" x14ac:dyDescent="0.2">
      <c r="A7090">
        <v>7029</v>
      </c>
      <c r="B7090" s="138">
        <f>'Expenditures 15-22'!K252</f>
        <v>37018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35169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35169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64050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64050</v>
      </c>
      <c r="D7153" s="2" t="str">
        <f t="shared" si="110"/>
        <v>Error?</v>
      </c>
    </row>
    <row r="7154" spans="1:4" x14ac:dyDescent="0.2">
      <c r="A7154">
        <v>7093</v>
      </c>
      <c r="B7154" s="138">
        <f>'Expenditures 15-22'!C323</f>
        <v>385710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10209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395919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23301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23301</v>
      </c>
      <c r="D7198" s="2" t="str">
        <f t="shared" si="111"/>
        <v>Error?</v>
      </c>
    </row>
    <row r="7199" spans="1:4" x14ac:dyDescent="0.2">
      <c r="A7199">
        <v>7138</v>
      </c>
      <c r="B7199" s="138">
        <f>'Expenditures 15-22'!C330</f>
        <v>385710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132729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518439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385710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132729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518439</v>
      </c>
      <c r="D7224" s="2" t="str">
        <f t="shared" si="111"/>
        <v>Error?</v>
      </c>
    </row>
    <row r="7225" spans="1:4" x14ac:dyDescent="0.2">
      <c r="A7225">
        <v>7164</v>
      </c>
      <c r="B7225" s="138">
        <f>'Expenditures 15-22'!K343</f>
        <v>-13820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48826</v>
      </c>
      <c r="D7251" s="2" t="str">
        <f t="shared" si="112"/>
        <v>Error?</v>
      </c>
    </row>
    <row r="7252" spans="1:4" x14ac:dyDescent="0.2">
      <c r="A7252">
        <f t="shared" si="113"/>
        <v>7191</v>
      </c>
      <c r="B7252" s="138">
        <f>'Expenditures 15-22'!D9</f>
        <v>10464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6836</v>
      </c>
      <c r="D7263" s="2" t="str">
        <f t="shared" si="112"/>
        <v>Error?</v>
      </c>
    </row>
    <row r="7264" spans="1:4" x14ac:dyDescent="0.2">
      <c r="A7264">
        <f t="shared" si="113"/>
        <v>7203</v>
      </c>
      <c r="B7264" s="138">
        <f>'Expenditures 15-22'!D17</f>
        <v>489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3885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12482</v>
      </c>
      <c r="D7615" s="2" t="str">
        <f t="shared" ref="D7615:D7678" si="124">IF(ISBLANK(B7615),"OK",IF(A7615-B7615=0,"OK","Error?"))</f>
        <v>Error?</v>
      </c>
      <c r="E7615" s="2" t="s">
        <v>19</v>
      </c>
    </row>
    <row r="7616" spans="1:5" x14ac:dyDescent="0.2">
      <c r="A7616">
        <f t="shared" si="123"/>
        <v>7555</v>
      </c>
      <c r="B7616" s="138">
        <f>'Cap Outlay Deprec 26'!D14</f>
        <v>2936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15418</v>
      </c>
      <c r="D7618" s="2" t="str">
        <f t="shared" si="124"/>
        <v>Error?</v>
      </c>
      <c r="E7618" s="2" t="s">
        <v>19</v>
      </c>
    </row>
    <row r="7619" spans="1:5" x14ac:dyDescent="0.2">
      <c r="A7619">
        <f t="shared" si="123"/>
        <v>7558</v>
      </c>
      <c r="B7619" s="138">
        <f>'Cap Outlay Deprec 26'!H14</f>
        <v>8970</v>
      </c>
      <c r="D7619" s="2" t="str">
        <f t="shared" si="124"/>
        <v>Error?</v>
      </c>
      <c r="E7619" s="2" t="s">
        <v>19</v>
      </c>
    </row>
    <row r="7620" spans="1:5" x14ac:dyDescent="0.2">
      <c r="A7620">
        <f t="shared" si="123"/>
        <v>7559</v>
      </c>
      <c r="B7620" s="138">
        <f>'Cap Outlay Deprec 26'!I14</f>
        <v>3025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11995</v>
      </c>
      <c r="D7622" s="2" t="str">
        <f t="shared" si="124"/>
        <v>Error?</v>
      </c>
      <c r="E7622" s="2" t="s">
        <v>19</v>
      </c>
    </row>
    <row r="7623" spans="1:5" x14ac:dyDescent="0.2">
      <c r="A7623">
        <f t="shared" si="123"/>
        <v>7562</v>
      </c>
      <c r="B7623" s="138">
        <f>'Cap Outlay Deprec 26'!L14</f>
        <v>3423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626869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4852</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3840</v>
      </c>
      <c r="D7712" s="2" t="str">
        <f t="shared" si="126"/>
        <v>Error?</v>
      </c>
      <c r="E7712" s="2" t="s">
        <v>826</v>
      </c>
    </row>
    <row r="7713" spans="1:6" x14ac:dyDescent="0.2">
      <c r="A7713">
        <v>7652</v>
      </c>
      <c r="B7713" s="138">
        <f>'Rest Tax Levies-Tort Im 25'!J8</f>
        <v>32312</v>
      </c>
      <c r="D7713" s="2" t="str">
        <f t="shared" si="126"/>
        <v>Error?</v>
      </c>
      <c r="E7713" s="2" t="s">
        <v>826</v>
      </c>
    </row>
    <row r="7714" spans="1:6" x14ac:dyDescent="0.2">
      <c r="A7714">
        <v>7653</v>
      </c>
      <c r="B7714" s="138">
        <f>'Rest Tax Levies-Tort Im 25'!K9</f>
        <v>11024</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32312</v>
      </c>
      <c r="D7718" s="2" t="str">
        <f t="shared" si="126"/>
        <v>Error?</v>
      </c>
      <c r="E7718" s="2" t="s">
        <v>826</v>
      </c>
    </row>
    <row r="7719" spans="1:6" x14ac:dyDescent="0.2">
      <c r="A7719">
        <v>7658</v>
      </c>
      <c r="B7719" s="138">
        <f>'Rest Tax Levies-Tort Im 25'!K12</f>
        <v>14864</v>
      </c>
      <c r="D7719" s="2" t="str">
        <f t="shared" si="126"/>
        <v>Error?</v>
      </c>
      <c r="E7719" s="2" t="s">
        <v>826</v>
      </c>
    </row>
    <row r="7720" spans="1:6" x14ac:dyDescent="0.2">
      <c r="A7720">
        <v>7659</v>
      </c>
      <c r="B7720" s="138">
        <f>'Rest Tax Levies-Tort Im 25'!H14</f>
        <v>32499</v>
      </c>
      <c r="D7720" s="2" t="str">
        <f t="shared" si="126"/>
        <v>Error?</v>
      </c>
      <c r="E7720" s="2" t="s">
        <v>826</v>
      </c>
    </row>
    <row r="7721" spans="1:6" x14ac:dyDescent="0.2">
      <c r="A7721">
        <v>7660</v>
      </c>
      <c r="B7721" s="138">
        <f>'Rest Tax Levies-Tort Im 25'!K14</f>
        <v>11309</v>
      </c>
      <c r="D7721" s="2" t="str">
        <f t="shared" si="126"/>
        <v>Error?</v>
      </c>
      <c r="E7721" s="2" t="s">
        <v>826</v>
      </c>
    </row>
    <row r="7722" spans="1:6" x14ac:dyDescent="0.2">
      <c r="A7722">
        <v>7661</v>
      </c>
      <c r="B7722" s="138">
        <f>'Rest Tax Levies-Tort Im 25'!J15</f>
        <v>32312</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32312</v>
      </c>
      <c r="D7730" s="2" t="str">
        <f t="shared" si="126"/>
        <v>Error?</v>
      </c>
      <c r="E7730" s="2" t="s">
        <v>826</v>
      </c>
    </row>
    <row r="7731" spans="1:6" x14ac:dyDescent="0.2">
      <c r="A7731">
        <v>7670</v>
      </c>
      <c r="B7731" s="138">
        <f>'Revenues 9-14'!H103</f>
        <v>32312</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8407</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8407</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260512</v>
      </c>
      <c r="D7797" s="2" t="str">
        <f t="shared" si="127"/>
        <v>Error?</v>
      </c>
      <c r="E7797" s="4" t="s">
        <v>1902</v>
      </c>
    </row>
    <row r="7798" spans="1:5" x14ac:dyDescent="0.2">
      <c r="A7798">
        <v>7737</v>
      </c>
      <c r="B7798" s="138">
        <f>'Contracts Paid in CY 29'!F141</f>
        <v>2350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3"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1190</v>
      </c>
      <c r="B2" s="2380"/>
      <c r="C2" s="2380"/>
      <c r="D2" s="2380"/>
      <c r="E2" s="2380"/>
      <c r="F2" s="2380"/>
      <c r="G2" s="2380"/>
      <c r="H2" s="2380"/>
      <c r="I2" s="2380"/>
      <c r="J2" s="2380"/>
      <c r="K2" s="2380"/>
      <c r="L2" s="2380"/>
    </row>
    <row r="3" spans="1:29" ht="13.5" customHeight="1" x14ac:dyDescent="0.2">
      <c r="A3" s="2411" t="s">
        <v>1189</v>
      </c>
      <c r="B3" s="2411"/>
      <c r="C3" s="2411"/>
      <c r="D3" s="2411"/>
      <c r="E3" s="2411"/>
      <c r="F3" s="2411"/>
      <c r="G3" s="2411"/>
      <c r="H3" s="2411"/>
      <c r="I3" s="2411"/>
      <c r="J3" s="2411"/>
      <c r="K3" s="2411"/>
      <c r="L3" s="2411"/>
    </row>
    <row r="4" spans="1:29" ht="13.5" customHeight="1" x14ac:dyDescent="0.2">
      <c r="A4" s="2380" t="s">
        <v>1986</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2" t="str">
        <f>COVER!A17</f>
        <v>Casey-Westfield CUDS 4C</v>
      </c>
      <c r="B7" s="2403"/>
      <c r="C7" s="2403"/>
      <c r="D7" s="2404"/>
      <c r="E7" s="2405" t="str">
        <f>COVER!A13</f>
        <v>11012004C26</v>
      </c>
      <c r="F7" s="2406"/>
      <c r="G7" s="2412" t="str">
        <f>COVER!T23</f>
        <v>066-003998</v>
      </c>
      <c r="H7" s="2413"/>
      <c r="I7" s="2413"/>
      <c r="J7" s="2413"/>
      <c r="K7" s="2413"/>
      <c r="L7" s="2414"/>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5"/>
      <c r="B9" s="2416"/>
      <c r="C9" s="2416"/>
      <c r="D9" s="2416"/>
      <c r="E9" s="2416"/>
      <c r="F9" s="2417"/>
      <c r="G9" s="2386" t="str">
        <f>COVER!T13</f>
        <v>Kemper CPA Group LLP</v>
      </c>
      <c r="H9" s="2418"/>
      <c r="I9" s="2418"/>
      <c r="J9" s="2418"/>
      <c r="K9" s="2418"/>
      <c r="L9" s="2419"/>
    </row>
    <row r="10" spans="1:29" ht="13.5" customHeight="1" x14ac:dyDescent="0.2">
      <c r="A10" s="2392" t="str">
        <f>COVER!A38</f>
        <v>Dee Scott</v>
      </c>
      <c r="B10" s="2393"/>
      <c r="C10" s="2393"/>
      <c r="D10" s="2393"/>
      <c r="E10" s="2393"/>
      <c r="F10" s="2394"/>
      <c r="G10" s="2386" t="str">
        <f>COVER!T17</f>
        <v>P.O. Box 694</v>
      </c>
      <c r="H10" s="2387"/>
      <c r="I10" s="2387"/>
      <c r="J10" s="2387"/>
      <c r="K10" s="2387"/>
      <c r="L10" s="2388"/>
    </row>
    <row r="11" spans="1:29" ht="13.5" customHeight="1" x14ac:dyDescent="0.2">
      <c r="A11" s="1184" t="s">
        <v>1518</v>
      </c>
      <c r="B11" s="1185"/>
      <c r="C11" s="1186"/>
      <c r="D11" s="1191"/>
      <c r="E11" s="1186"/>
      <c r="F11" s="1190"/>
      <c r="G11" s="2386" t="str">
        <f>COVER!T19</f>
        <v>Robinson</v>
      </c>
      <c r="H11" s="2387"/>
      <c r="I11" s="2387"/>
      <c r="J11" s="2387"/>
      <c r="K11" s="2387"/>
      <c r="L11" s="2388"/>
    </row>
    <row r="12" spans="1:29" ht="13.5" customHeight="1" x14ac:dyDescent="0.2">
      <c r="A12" s="2395" t="s">
        <v>1517</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1519</v>
      </c>
      <c r="H13" s="2382"/>
      <c r="I13" s="2398" t="str">
        <f>COVER!T25</f>
        <v>bbradbury@kempercpa.com</v>
      </c>
      <c r="J13" s="2399"/>
      <c r="K13" s="2399"/>
      <c r="L13" s="2400"/>
    </row>
    <row r="14" spans="1:29" ht="13.5" customHeight="1" x14ac:dyDescent="0.2">
      <c r="A14" s="2386" t="str">
        <f>COVER!A19</f>
        <v>502 E. Delaware</v>
      </c>
      <c r="B14" s="2387"/>
      <c r="C14" s="2387"/>
      <c r="D14" s="2387"/>
      <c r="E14" s="2387"/>
      <c r="F14" s="2388"/>
      <c r="G14" s="1195" t="s">
        <v>1184</v>
      </c>
      <c r="H14" s="1193"/>
      <c r="I14" s="1193"/>
      <c r="J14" s="1193"/>
      <c r="K14" s="1193"/>
      <c r="L14" s="1194"/>
    </row>
    <row r="15" spans="1:29" ht="13.5" customHeight="1" x14ac:dyDescent="0.2">
      <c r="A15" s="2386" t="str">
        <f>COVER!A21</f>
        <v xml:space="preserve">Casey  </v>
      </c>
      <c r="B15" s="2387"/>
      <c r="C15" s="2387"/>
      <c r="D15" s="2387"/>
      <c r="E15" s="2387"/>
      <c r="F15" s="2388"/>
      <c r="G15" s="2383" t="str">
        <f>COVER!T15</f>
        <v>Brian S. Bradbury</v>
      </c>
      <c r="H15" s="2384"/>
      <c r="I15" s="2384"/>
      <c r="J15" s="2384"/>
      <c r="K15" s="2384"/>
      <c r="L15" s="2385"/>
    </row>
    <row r="16" spans="1:29" ht="12.2" customHeight="1" x14ac:dyDescent="0.2">
      <c r="A16" s="2408">
        <f>COVER!A25</f>
        <v>62420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1183</v>
      </c>
      <c r="H17" s="1193"/>
      <c r="I17" s="1193"/>
      <c r="J17" s="1193"/>
      <c r="K17" s="1197" t="s">
        <v>1182</v>
      </c>
      <c r="L17" s="1190"/>
      <c r="M17" s="1183"/>
    </row>
    <row r="18" spans="1:13" ht="12.2" customHeight="1" x14ac:dyDescent="0.2">
      <c r="A18" s="2392"/>
      <c r="B18" s="2393"/>
      <c r="C18" s="2393"/>
      <c r="D18" s="2393"/>
      <c r="E18" s="2393"/>
      <c r="F18" s="2394"/>
      <c r="G18" s="2402" t="str">
        <f>COVER!T21</f>
        <v>618-546-1502</v>
      </c>
      <c r="H18" s="2403"/>
      <c r="I18" s="2403"/>
      <c r="J18" s="2403"/>
      <c r="K18" s="2402" t="str">
        <f>COVER!X21</f>
        <v>618-544-2140</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Casey-Westfield CUDS 4C</v>
      </c>
      <c r="B1" s="2401"/>
      <c r="C1" s="2401"/>
      <c r="D1" s="2401"/>
    </row>
    <row r="2" spans="1:11" s="1212" customFormat="1" ht="12.75" x14ac:dyDescent="0.2">
      <c r="A2" s="2425" t="str">
        <f>'Single Audit Cover'!E7</f>
        <v>11012004C26</v>
      </c>
      <c r="B2" s="2426"/>
      <c r="C2" s="2426"/>
      <c r="D2" s="2426"/>
    </row>
    <row r="3" spans="1:11" s="1212" customFormat="1" ht="12.75" x14ac:dyDescent="0.2">
      <c r="A3" s="2424" t="s">
        <v>1512</v>
      </c>
      <c r="B3" s="2401"/>
      <c r="C3" s="2401"/>
      <c r="D3" s="240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Casey-Westfield CUDS 4C</v>
      </c>
      <c r="B1" s="2428"/>
      <c r="C1" s="2428"/>
      <c r="D1" s="2428"/>
      <c r="E1" s="2428"/>
    </row>
    <row r="2" spans="1:5" x14ac:dyDescent="0.2">
      <c r="A2" s="2429" t="str">
        <f>'Single Audit Cover'!E7</f>
        <v>11012004C26</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7" t="s">
        <v>1242</v>
      </c>
    </row>
    <row r="10" spans="1:5" x14ac:dyDescent="0.2">
      <c r="A10" s="1258" t="s">
        <v>1241</v>
      </c>
      <c r="B10" s="1259" t="s">
        <v>1240</v>
      </c>
      <c r="C10" s="1259"/>
      <c r="D10" s="1260">
        <f>SUM('Acct Summary 7-8'!C7:K7)</f>
        <v>678426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36751</v>
      </c>
    </row>
    <row r="15" spans="1:5" x14ac:dyDescent="0.2">
      <c r="A15" s="1258"/>
      <c r="B15" s="1259"/>
      <c r="C15" s="1259"/>
    </row>
    <row r="16" spans="1:5" x14ac:dyDescent="0.2">
      <c r="A16" s="1258" t="s">
        <v>1842</v>
      </c>
      <c r="B16" s="1259"/>
      <c r="C16" s="1259"/>
    </row>
    <row r="17" spans="1:4" x14ac:dyDescent="0.2">
      <c r="A17" s="1258" t="s">
        <v>2058</v>
      </c>
      <c r="B17" s="1259" t="s">
        <v>1235</v>
      </c>
      <c r="C17" s="1259"/>
      <c r="D17" s="1261">
        <f>-SUM('Revenues 9-14'!C264:D264,'Revenues 9-14'!F264:G264)</f>
        <v>-67370</v>
      </c>
    </row>
    <row r="19" spans="1:4" ht="13.5" thickBot="1" x14ac:dyDescent="0.25">
      <c r="A19" s="1262" t="s">
        <v>1234</v>
      </c>
      <c r="D19" s="1263">
        <f>SUM(D10:D17)</f>
        <v>647807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1232</v>
      </c>
      <c r="D32" s="1260">
        <f>SUM(D19:D30)</f>
        <v>647807</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1226</v>
      </c>
      <c r="C47" s="1269"/>
      <c r="D47" s="1270">
        <f>SUM(D35:D45)</f>
        <v>0</v>
      </c>
    </row>
    <row r="49" spans="2:4" x14ac:dyDescent="0.2">
      <c r="B49" s="1269" t="s">
        <v>1225</v>
      </c>
      <c r="C49" s="1269"/>
      <c r="D49" s="1270">
        <f>D32-D47</f>
        <v>647807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Casey-Westfield CUDS 4C</v>
      </c>
      <c r="C1" s="2432"/>
      <c r="D1" s="2432"/>
      <c r="E1" s="2432"/>
      <c r="F1" s="2432"/>
      <c r="G1" s="2432"/>
      <c r="H1" s="2432"/>
      <c r="I1" s="2432"/>
      <c r="J1" s="2432"/>
      <c r="K1" s="2432"/>
      <c r="L1" s="2432"/>
      <c r="M1" s="2432"/>
    </row>
    <row r="2" spans="2:14" ht="15" x14ac:dyDescent="0.2">
      <c r="B2" s="2433" t="str">
        <f>'Single Audit Cover'!E7</f>
        <v>11012004C26</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1987</v>
      </c>
      <c r="K8" s="1316" t="s">
        <v>1260</v>
      </c>
      <c r="L8" s="1317" t="s">
        <v>1256</v>
      </c>
      <c r="M8" s="1318" t="s">
        <v>30</v>
      </c>
    </row>
    <row r="9" spans="2:14" ht="14.25" x14ac:dyDescent="0.2">
      <c r="B9" s="1322" t="s">
        <v>1258</v>
      </c>
      <c r="C9" s="1310" t="s">
        <v>1734</v>
      </c>
      <c r="D9" s="1311" t="s">
        <v>1735</v>
      </c>
      <c r="E9" s="1319" t="s">
        <v>1838</v>
      </c>
      <c r="F9" s="1320" t="s">
        <v>1987</v>
      </c>
      <c r="G9" s="1321" t="s">
        <v>1838</v>
      </c>
      <c r="H9" s="1314" t="s">
        <v>1581</v>
      </c>
      <c r="I9" s="1316" t="s">
        <v>1987</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Casey-Westfield CUDS 4C</v>
      </c>
      <c r="B1" s="2445"/>
      <c r="C1" s="2445"/>
      <c r="D1" s="2445"/>
      <c r="E1" s="2445"/>
      <c r="F1" s="2445"/>
    </row>
    <row r="2" spans="1:7" ht="13.5" customHeight="1" x14ac:dyDescent="0.2">
      <c r="A2" s="2433" t="str">
        <f>'Single Audit Cover'!E7</f>
        <v>11012004C26</v>
      </c>
      <c r="B2" s="2433"/>
      <c r="C2" s="2433"/>
      <c r="D2" s="2433"/>
      <c r="E2" s="2433"/>
      <c r="F2" s="2433"/>
      <c r="G2" s="1272"/>
    </row>
    <row r="3" spans="1:7" ht="15.75" customHeight="1" x14ac:dyDescent="0.2">
      <c r="A3" s="2446" t="s">
        <v>1270</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1727</v>
      </c>
      <c r="C6" s="317"/>
      <c r="D6" s="317"/>
    </row>
    <row r="7" spans="1:7" ht="60.95" customHeight="1" x14ac:dyDescent="0.2">
      <c r="A7" s="2444" t="s">
        <v>1728</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4" t="s">
        <v>1730</v>
      </c>
      <c r="B13" s="2444"/>
      <c r="C13" s="2444"/>
      <c r="D13" s="2444"/>
      <c r="E13" s="2444"/>
      <c r="F13" s="2444"/>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8" t="s">
        <v>1731</v>
      </c>
      <c r="B32" s="2438"/>
      <c r="C32" s="2438"/>
      <c r="D32" s="2438"/>
      <c r="E32" s="2438"/>
      <c r="F32" s="2438"/>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39">
        <f>+C33+C34</f>
        <v>0</v>
      </c>
      <c r="F34" s="2440"/>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1589</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1550</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C116" sqref="C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1167</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7" t="s">
        <v>1632</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312</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2063</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2079</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1322</v>
      </c>
      <c r="B70" s="2070"/>
      <c r="C70" s="2070"/>
      <c r="D70" s="2070"/>
      <c r="E70" s="2071"/>
      <c r="F70" s="2071"/>
      <c r="G70" s="2071"/>
      <c r="H70" s="2071"/>
      <c r="I70" s="207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1319</v>
      </c>
      <c r="B83" s="2072"/>
      <c r="C83" s="2072"/>
      <c r="D83" s="207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1329</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Casey-Westfield CUDS 4C</v>
      </c>
      <c r="C1" s="2460"/>
      <c r="D1" s="2460"/>
      <c r="E1" s="2460"/>
      <c r="F1" s="2460"/>
      <c r="G1" s="2460"/>
      <c r="H1" s="2460"/>
      <c r="I1" s="2460"/>
      <c r="J1" s="1406"/>
    </row>
    <row r="2" spans="2:10" s="317" customFormat="1" ht="12.75" customHeight="1" x14ac:dyDescent="0.2">
      <c r="B2" s="2461" t="str">
        <f>'Single Audit Cover'!E7</f>
        <v>11012004C26</v>
      </c>
      <c r="C2" s="2462"/>
      <c r="D2" s="2462"/>
      <c r="E2" s="2462"/>
      <c r="F2" s="2462"/>
      <c r="G2" s="2462"/>
      <c r="H2" s="2462"/>
      <c r="I2" s="2462"/>
      <c r="J2" s="1406"/>
    </row>
    <row r="3" spans="2:10" s="317" customFormat="1" ht="12.75" customHeight="1" x14ac:dyDescent="0.2">
      <c r="B3" s="2463" t="s">
        <v>1284</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1283</v>
      </c>
      <c r="C7" s="2464"/>
      <c r="D7" s="2464"/>
      <c r="E7" s="2464"/>
      <c r="F7" s="2464"/>
      <c r="G7" s="2464"/>
      <c r="H7" s="2464"/>
      <c r="I7" s="2464"/>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5"/>
      <c r="D11" s="2465"/>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6"/>
      <c r="E29" s="2466"/>
      <c r="F29" s="2466"/>
      <c r="G29" s="2466"/>
      <c r="H29" s="2466"/>
      <c r="I29" s="2466"/>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7" t="s">
        <v>1750</v>
      </c>
      <c r="D37" s="2468"/>
      <c r="E37" s="2468"/>
      <c r="F37" s="2469"/>
      <c r="G37" s="2467" t="s">
        <v>1591</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1592</v>
      </c>
      <c r="D43" s="2449"/>
      <c r="E43" s="2449"/>
      <c r="F43" s="2450"/>
      <c r="G43" s="2451">
        <f>SUM(G38:I42)</f>
        <v>0</v>
      </c>
      <c r="H43" s="2451"/>
      <c r="I43" s="2451"/>
    </row>
    <row r="44" spans="2:9" ht="12.75" customHeight="1" x14ac:dyDescent="0.2"/>
    <row r="45" spans="2:9" ht="12.75" customHeight="1" x14ac:dyDescent="0.2">
      <c r="B45" s="1419" t="s">
        <v>2061</v>
      </c>
      <c r="D45" s="2452">
        <v>0</v>
      </c>
      <c r="E45" s="2453"/>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54"/>
      <c r="F49" s="2454"/>
      <c r="G49" s="2454"/>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Casey-Westfield CUDS 4C</v>
      </c>
      <c r="C1" s="2459"/>
      <c r="D1" s="2459"/>
      <c r="E1" s="2459"/>
      <c r="F1" s="2459"/>
      <c r="G1" s="2459"/>
      <c r="H1" s="2459"/>
      <c r="I1" s="2459"/>
      <c r="J1" s="2459"/>
      <c r="K1" s="2459"/>
      <c r="L1" s="1371"/>
      <c r="M1" s="1371"/>
    </row>
    <row r="2" spans="1:13" ht="12" customHeight="1" x14ac:dyDescent="0.2">
      <c r="B2" s="2461" t="str">
        <f>'Single Audit Cover'!E7</f>
        <v>11012004C26</v>
      </c>
      <c r="C2" s="2461"/>
      <c r="D2" s="2461"/>
      <c r="E2" s="2461"/>
      <c r="F2" s="2461"/>
      <c r="G2" s="2461"/>
      <c r="H2" s="2461"/>
      <c r="I2" s="2461"/>
      <c r="J2" s="2461"/>
      <c r="K2" s="2461"/>
      <c r="L2" s="1372"/>
      <c r="M2" s="1373"/>
    </row>
    <row r="3" spans="1:13" ht="10.35" customHeight="1" x14ac:dyDescent="0.2">
      <c r="B3" s="2475" t="s">
        <v>1284</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1</v>
      </c>
      <c r="E10" s="322"/>
      <c r="F10" s="1384" t="s">
        <v>1294</v>
      </c>
      <c r="G10" s="1385"/>
      <c r="H10" s="1386" t="s">
        <v>1293</v>
      </c>
      <c r="I10" s="1385" t="s">
        <v>2063</v>
      </c>
      <c r="J10" s="1387" t="s">
        <v>1292</v>
      </c>
      <c r="K10" s="322"/>
      <c r="L10" s="1378"/>
    </row>
    <row r="11" spans="1:13" ht="13.5" customHeight="1" x14ac:dyDescent="0.2">
      <c r="B11" s="322"/>
      <c r="C11" s="322"/>
      <c r="D11" s="322"/>
      <c r="E11" s="322"/>
      <c r="F11" s="322"/>
      <c r="G11" s="1380"/>
      <c r="H11" s="322"/>
      <c r="I11" s="1388" t="s">
        <v>1291</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t="s">
        <v>2095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4" t="s">
        <v>2096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t="s">
        <v>2097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t="s">
        <v>2098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t="s">
        <v>2099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3" t="s">
        <v>2100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3" t="s">
        <v>2101</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T29" sqref="T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Casey-Westfield CUDS 4C</v>
      </c>
      <c r="C1" s="2482"/>
      <c r="D1" s="2482"/>
      <c r="E1" s="2482"/>
      <c r="F1" s="2482"/>
      <c r="G1" s="2482"/>
      <c r="H1" s="2482"/>
      <c r="I1" s="2482"/>
      <c r="J1" s="2482"/>
      <c r="K1" s="2482"/>
      <c r="L1" s="1449"/>
    </row>
    <row r="2" spans="1:12" ht="12.75" customHeight="1" x14ac:dyDescent="0.2">
      <c r="B2" s="2483" t="str">
        <f>'Single Audit Cover'!E7</f>
        <v>11012004C26</v>
      </c>
      <c r="C2" s="2483"/>
      <c r="D2" s="2483"/>
      <c r="E2" s="2483"/>
      <c r="F2" s="2483"/>
      <c r="G2" s="2483"/>
      <c r="H2" s="2483"/>
      <c r="I2" s="2483"/>
      <c r="J2" s="2483"/>
      <c r="K2" s="2483"/>
      <c r="L2" s="1450"/>
    </row>
    <row r="3" spans="1:12" ht="12.75" customHeight="1" x14ac:dyDescent="0.2">
      <c r="B3" s="2475" t="s">
        <v>1284</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1168</v>
      </c>
      <c r="C5" s="1257"/>
      <c r="L5" s="322"/>
    </row>
    <row r="6" spans="1:12" ht="30.75" customHeight="1" x14ac:dyDescent="0.2">
      <c r="A6" s="322"/>
      <c r="B6" s="2484" t="s">
        <v>1307</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1988</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9"/>
      <c r="E14" s="2479"/>
      <c r="F14" s="2479"/>
      <c r="H14" s="1459" t="s">
        <v>1302</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0"/>
      <c r="E16" s="2480"/>
      <c r="F16" s="2480"/>
      <c r="G16" s="2480"/>
      <c r="H16" s="2480"/>
      <c r="I16" s="2480"/>
      <c r="J16" s="2480"/>
      <c r="K16" s="2480"/>
      <c r="L16" s="322"/>
    </row>
    <row r="17" spans="2:12" ht="13.5" customHeight="1" x14ac:dyDescent="0.2">
      <c r="B17" s="1384" t="s">
        <v>1300</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15" sqref="E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Casey-Westfield CUDS 4C</v>
      </c>
      <c r="C1" s="2459"/>
      <c r="D1" s="2459"/>
      <c r="E1" s="1469"/>
    </row>
    <row r="2" spans="2:5" s="1279" customFormat="1" ht="12.75" customHeight="1" x14ac:dyDescent="0.2">
      <c r="B2" s="2461" t="str">
        <f>'Single Audit Cover'!E7</f>
        <v>11012004C26</v>
      </c>
      <c r="C2" s="2461"/>
      <c r="D2" s="2461"/>
      <c r="E2" s="1470"/>
    </row>
    <row r="3" spans="2:5" ht="12.75" customHeight="1" x14ac:dyDescent="0.2">
      <c r="B3" s="2475" t="s">
        <v>1765</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t="s">
        <v>2102</v>
      </c>
      <c r="C7" s="324" t="s">
        <v>2103</v>
      </c>
      <c r="D7" s="324" t="s">
        <v>2106</v>
      </c>
      <c r="E7" s="324"/>
    </row>
    <row r="8" spans="2:5" ht="13.5" customHeight="1" x14ac:dyDescent="0.2">
      <c r="B8" s="1474"/>
      <c r="C8" s="324" t="s">
        <v>2104</v>
      </c>
      <c r="D8" s="324"/>
      <c r="E8" s="324"/>
    </row>
    <row r="9" spans="2:5" ht="13.5" customHeight="1" x14ac:dyDescent="0.2">
      <c r="B9" s="1475"/>
      <c r="C9" s="323" t="s">
        <v>2105</v>
      </c>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O15" sqref="O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385</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85159747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1.84E-2</v>
      </c>
      <c r="E10" s="356" t="s">
        <v>1004</v>
      </c>
      <c r="F10" s="355">
        <v>5.0000000000000001E-3</v>
      </c>
      <c r="G10" s="356" t="s">
        <v>1004</v>
      </c>
      <c r="H10" s="355">
        <v>2E-3</v>
      </c>
      <c r="I10" s="356" t="s">
        <v>1005</v>
      </c>
      <c r="J10" s="1732">
        <f>ROUND(D10+F10+H10,5)</f>
        <v>2.5399999999999999E-2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7990834</v>
      </c>
      <c r="E16" s="356"/>
      <c r="F16" s="1733">
        <f>SUM('Acct Summary 7-8'!C17,'Acct Summary 7-8'!D17,'Acct Summary 7-8'!F17)</f>
        <v>7935135</v>
      </c>
      <c r="G16" s="356"/>
      <c r="H16" s="1733">
        <f>SUM(D16-F16)</f>
        <v>55699</v>
      </c>
      <c r="I16" s="222"/>
      <c r="J16" s="1733">
        <f>SUM('Acct Summary 7-8'!C81,'Acct Summary 7-8'!D81,'Acct Summary 7-8'!F81,'Acct Summary 7-8'!I81)</f>
        <v>2441503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11752045.086000001</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5248874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F35" sqref="F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555</v>
      </c>
      <c r="B2" s="2102"/>
      <c r="C2" s="2102"/>
      <c r="D2" s="2102"/>
      <c r="E2" s="2102"/>
      <c r="F2" s="2102"/>
      <c r="G2" s="2102"/>
      <c r="H2" s="2102"/>
      <c r="I2" s="2102"/>
      <c r="J2" s="2102"/>
      <c r="K2" s="2102"/>
      <c r="L2" s="2102"/>
      <c r="M2" s="2102"/>
      <c r="N2" s="2102"/>
      <c r="O2" s="2102"/>
      <c r="P2" s="2102"/>
      <c r="Q2" s="2102"/>
      <c r="R2" s="2102"/>
    </row>
    <row r="3" spans="1:18" ht="12.75" x14ac:dyDescent="0.2">
      <c r="A3" s="2103" t="s">
        <v>1412</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Casey-Westfield CUDS 4C</v>
      </c>
      <c r="E7" s="391"/>
      <c r="G7" s="252"/>
      <c r="H7" s="387"/>
      <c r="I7" s="387"/>
      <c r="J7" s="387"/>
      <c r="K7" s="387"/>
      <c r="L7" s="329"/>
      <c r="M7" s="329"/>
      <c r="N7" s="329"/>
      <c r="O7" s="329"/>
      <c r="P7" s="329"/>
    </row>
    <row r="8" spans="1:18" ht="12.75" x14ac:dyDescent="0.2">
      <c r="A8" s="329"/>
      <c r="B8" s="329"/>
      <c r="C8" s="389" t="s">
        <v>1124</v>
      </c>
      <c r="D8" s="392" t="str">
        <f>COVER!A13</f>
        <v>11012004C26</v>
      </c>
      <c r="E8" s="393"/>
      <c r="G8" s="329"/>
      <c r="H8" s="329"/>
      <c r="I8" s="329"/>
      <c r="J8" s="329"/>
      <c r="K8" s="329"/>
      <c r="L8" s="329"/>
      <c r="M8" s="329"/>
      <c r="N8" s="329"/>
      <c r="O8" s="329"/>
      <c r="P8" s="329"/>
    </row>
    <row r="9" spans="1:18" ht="12.75" x14ac:dyDescent="0.2">
      <c r="A9" s="329"/>
      <c r="B9" s="329"/>
      <c r="C9" s="389" t="s">
        <v>712</v>
      </c>
      <c r="D9" s="394" t="str">
        <f>COVER!A15</f>
        <v>Clark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2441503</v>
      </c>
      <c r="I12" s="404"/>
      <c r="J12" s="404"/>
      <c r="K12" s="405">
        <f>TRUNC((H12/H13*100000),5)/100000</f>
        <v>0.30553794509999999</v>
      </c>
      <c r="L12" s="406"/>
      <c r="M12" s="360" t="s">
        <v>1143</v>
      </c>
      <c r="N12" s="360"/>
      <c r="O12" s="407">
        <v>0.35</v>
      </c>
      <c r="P12" s="218"/>
      <c r="Q12" s="218"/>
    </row>
    <row r="13" spans="1:18" s="408" customFormat="1" ht="12.75" x14ac:dyDescent="0.2">
      <c r="A13" s="218"/>
      <c r="B13" s="401"/>
      <c r="C13" s="2100" t="s">
        <v>1323</v>
      </c>
      <c r="D13" s="2101"/>
      <c r="E13" s="218"/>
      <c r="F13" s="409" t="s">
        <v>792</v>
      </c>
      <c r="G13" s="402"/>
      <c r="H13" s="403">
        <f>SUM('Acct Summary 7-8'!C8+'Acct Summary 7-8'!D8+'Acct Summary 7-8'!F8+'Acct Summary 7-8'!I8)+H14</f>
        <v>7990834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7935135</v>
      </c>
      <c r="I17" s="404"/>
      <c r="J17" s="416"/>
      <c r="K17" s="405">
        <f>TRUNC((H17/H18*100000),5)/100000</f>
        <v>0.99302963870000005</v>
      </c>
      <c r="L17" s="406"/>
      <c r="M17" s="417" t="s">
        <v>1170</v>
      </c>
      <c r="O17" s="418" t="str">
        <f>IF(AND(O16="2", J20 &gt; 2),"1",IF(AND(O16 = "1", J20 &gt; 2),"2",IF(AND(O16="1", J20 &gt;1),"1","0")))</f>
        <v>0</v>
      </c>
      <c r="P17" s="218"/>
    </row>
    <row r="18" spans="1:18" s="408" customFormat="1" ht="11.25" x14ac:dyDescent="0.2">
      <c r="A18" s="218"/>
      <c r="B18" s="401"/>
      <c r="C18" s="2100" t="s">
        <v>1316</v>
      </c>
      <c r="D18" s="2101"/>
      <c r="E18" s="218"/>
      <c r="F18" s="419" t="s">
        <v>793</v>
      </c>
      <c r="G18" s="402"/>
      <c r="H18" s="403">
        <f>SUM('Acct Summary 7-8'!C8+'Acct Summary 7-8'!D8+'Acct Summary 7-8'!F8+'Acct Summary 7-8'!I8)+H19</f>
        <v>7990834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7" t="s">
        <v>1411</v>
      </c>
      <c r="D24" s="2097"/>
      <c r="E24" s="218"/>
      <c r="F24" s="218" t="s">
        <v>444</v>
      </c>
      <c r="G24" s="402"/>
      <c r="H24" s="403">
        <f>SUM('Assets-Liab 5-6'!C4+'Assets-Liab 5-6'!D4+'Assets-Liab 5-6'!F4+'Assets-Liab 5-6'!I4+'Assets-Liab 5-6'!C5+'Assets-Liab 5-6'!D5+'Assets-Liab 5-6'!F5+'Assets-Liab 5-6'!I5)</f>
        <v>2447978</v>
      </c>
      <c r="I24" s="422"/>
      <c r="J24" s="422"/>
      <c r="K24" s="423">
        <f>TRUNC(((H24/H25*100000)/100000),2)</f>
        <v>111.05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22042.041669999999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1838598.9377299999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5248874</v>
      </c>
      <c r="I32" s="420"/>
      <c r="J32" s="420"/>
      <c r="K32" s="423">
        <f>TRUNC(100-((((H32/H33*100))*100)/100),2)</f>
        <v>55.33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11752045.086000001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0" colorId="8" zoomScale="110" zoomScaleNormal="110" workbookViewId="0">
      <selection activeCell="F33" sqref="F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7" t="s">
        <v>972</v>
      </c>
      <c r="B3" s="2108"/>
      <c r="C3" s="1559"/>
      <c r="D3" s="1560"/>
      <c r="E3" s="1560"/>
      <c r="F3" s="1560"/>
      <c r="G3" s="1560"/>
      <c r="H3" s="1560"/>
      <c r="I3" s="1560"/>
      <c r="J3" s="1560"/>
      <c r="K3" s="1560"/>
      <c r="L3" s="1560"/>
      <c r="M3" s="1561"/>
      <c r="N3" s="1562"/>
    </row>
    <row r="4" spans="1:14" ht="13.5" customHeight="1" x14ac:dyDescent="0.2">
      <c r="A4" s="463" t="s">
        <v>1650</v>
      </c>
      <c r="B4" s="464"/>
      <c r="C4" s="465">
        <v>783672</v>
      </c>
      <c r="D4" s="466">
        <v>140284</v>
      </c>
      <c r="E4" s="466">
        <v>6146</v>
      </c>
      <c r="F4" s="466">
        <v>296007</v>
      </c>
      <c r="G4" s="466">
        <v>148431</v>
      </c>
      <c r="H4" s="466">
        <v>6749</v>
      </c>
      <c r="I4" s="466">
        <v>466509</v>
      </c>
      <c r="J4" s="467">
        <v>4766</v>
      </c>
      <c r="K4" s="466">
        <v>6499</v>
      </c>
      <c r="L4" s="466">
        <v>206203</v>
      </c>
      <c r="M4" s="468"/>
      <c r="N4" s="469"/>
    </row>
    <row r="5" spans="1:14" x14ac:dyDescent="0.2">
      <c r="A5" s="463" t="s">
        <v>991</v>
      </c>
      <c r="B5" s="470">
        <v>120</v>
      </c>
      <c r="C5" s="465">
        <v>472150</v>
      </c>
      <c r="D5" s="466"/>
      <c r="E5" s="466"/>
      <c r="F5" s="466"/>
      <c r="G5" s="466"/>
      <c r="H5" s="466"/>
      <c r="I5" s="466">
        <v>289356</v>
      </c>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1255822</v>
      </c>
      <c r="D13" s="1737">
        <f t="shared" ref="D13:L13" si="0">SUM(D4:D12)</f>
        <v>140284</v>
      </c>
      <c r="E13" s="1737">
        <f t="shared" si="0"/>
        <v>6146</v>
      </c>
      <c r="F13" s="1737">
        <f t="shared" si="0"/>
        <v>296007</v>
      </c>
      <c r="G13" s="1737">
        <f t="shared" si="0"/>
        <v>148431</v>
      </c>
      <c r="H13" s="1737">
        <f t="shared" si="0"/>
        <v>6749</v>
      </c>
      <c r="I13" s="1737">
        <f t="shared" si="0"/>
        <v>755865</v>
      </c>
      <c r="J13" s="1737">
        <f t="shared" si="0"/>
        <v>4766</v>
      </c>
      <c r="K13" s="1737">
        <f t="shared" si="0"/>
        <v>6499</v>
      </c>
      <c r="L13" s="1737">
        <f t="shared" si="0"/>
        <v>206203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212469</v>
      </c>
      <c r="N16" s="484"/>
    </row>
    <row r="17" spans="1:14" s="485" customFormat="1" ht="12.75" customHeight="1" x14ac:dyDescent="0.2">
      <c r="A17" s="482" t="s">
        <v>1402</v>
      </c>
      <c r="B17" s="483">
        <v>230</v>
      </c>
      <c r="C17" s="477"/>
      <c r="D17" s="477"/>
      <c r="E17" s="477"/>
      <c r="F17" s="477"/>
      <c r="G17" s="477"/>
      <c r="H17" s="477"/>
      <c r="I17" s="477"/>
      <c r="J17" s="477"/>
      <c r="K17" s="477"/>
      <c r="L17" s="477"/>
      <c r="M17" s="467">
        <v>20639935</v>
      </c>
      <c r="N17" s="484"/>
    </row>
    <row r="18" spans="1:14" s="485" customFormat="1" ht="12.75" customHeight="1" x14ac:dyDescent="0.2">
      <c r="A18" s="482" t="s">
        <v>1403</v>
      </c>
      <c r="B18" s="483">
        <v>240</v>
      </c>
      <c r="C18" s="477"/>
      <c r="D18" s="477"/>
      <c r="E18" s="477"/>
      <c r="F18" s="477"/>
      <c r="G18" s="477"/>
      <c r="H18" s="477"/>
      <c r="I18" s="477"/>
      <c r="J18" s="477"/>
      <c r="K18" s="477"/>
      <c r="L18" s="477"/>
      <c r="M18" s="467">
        <v>1022268</v>
      </c>
      <c r="N18" s="484"/>
    </row>
    <row r="19" spans="1:14" s="485" customFormat="1" ht="12.75" customHeight="1" x14ac:dyDescent="0.2">
      <c r="A19" s="482" t="s">
        <v>1404</v>
      </c>
      <c r="B19" s="483">
        <v>250</v>
      </c>
      <c r="C19" s="477"/>
      <c r="D19" s="477"/>
      <c r="E19" s="477"/>
      <c r="F19" s="477"/>
      <c r="G19" s="477"/>
      <c r="H19" s="477"/>
      <c r="I19" s="477"/>
      <c r="J19" s="477"/>
      <c r="K19" s="477"/>
      <c r="L19" s="477"/>
      <c r="M19" s="467">
        <v>2308498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6146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5242728</v>
      </c>
    </row>
    <row r="23" spans="1:14" ht="13.5" customHeight="1" thickBot="1" x14ac:dyDescent="0.25">
      <c r="A23" s="1736" t="s">
        <v>642</v>
      </c>
      <c r="B23" s="1741"/>
      <c r="C23" s="468"/>
      <c r="D23" s="468"/>
      <c r="E23" s="468"/>
      <c r="F23" s="468"/>
      <c r="G23" s="468"/>
      <c r="H23" s="468"/>
      <c r="I23" s="468"/>
      <c r="J23" s="468"/>
      <c r="K23" s="468"/>
      <c r="L23" s="468"/>
      <c r="M23" s="1688">
        <f>SUM(M15:M22)</f>
        <v>24183170</v>
      </c>
      <c r="N23" s="1688">
        <f>SUM(N21:N22)</f>
        <v>5248874</v>
      </c>
    </row>
    <row r="24" spans="1:14" ht="18" customHeight="1" thickTop="1" x14ac:dyDescent="0.2">
      <c r="A24" s="2111" t="s">
        <v>597</v>
      </c>
      <c r="B24" s="2112"/>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5294</v>
      </c>
      <c r="D31" s="467">
        <v>642</v>
      </c>
      <c r="E31" s="467"/>
      <c r="F31" s="466">
        <v>539</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206203</v>
      </c>
      <c r="M33" s="468"/>
      <c r="N33" s="469"/>
    </row>
    <row r="34" spans="1:14" ht="13.5" customHeight="1" thickBot="1" x14ac:dyDescent="0.25">
      <c r="A34" s="1738" t="s">
        <v>653</v>
      </c>
      <c r="B34" s="1739"/>
      <c r="C34" s="1740">
        <f>SUM(C25:C33)</f>
        <v>5294</v>
      </c>
      <c r="D34" s="1740">
        <f t="shared" ref="D34:K34" si="1">SUM(D25:D33)</f>
        <v>642</v>
      </c>
      <c r="E34" s="1740">
        <f t="shared" si="1"/>
        <v>0</v>
      </c>
      <c r="F34" s="1740">
        <f t="shared" si="1"/>
        <v>539</v>
      </c>
      <c r="G34" s="1740">
        <f t="shared" si="1"/>
        <v>0</v>
      </c>
      <c r="H34" s="1740">
        <f t="shared" si="1"/>
        <v>0</v>
      </c>
      <c r="I34" s="1740">
        <f t="shared" si="1"/>
        <v>0</v>
      </c>
      <c r="J34" s="1740">
        <f t="shared" si="1"/>
        <v>0</v>
      </c>
      <c r="K34" s="1740">
        <f t="shared" si="1"/>
        <v>0</v>
      </c>
      <c r="L34" s="1721">
        <f>SUM(L33)</f>
        <v>206203</v>
      </c>
      <c r="M34" s="468"/>
      <c r="N34" s="480"/>
    </row>
    <row r="35" spans="1:14" ht="18" customHeight="1" thickTop="1" x14ac:dyDescent="0.2">
      <c r="A35" s="2113" t="s">
        <v>528</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5248874</v>
      </c>
    </row>
    <row r="37" spans="1:14" ht="13.5" thickBot="1" x14ac:dyDescent="0.25">
      <c r="A37" s="1736" t="s">
        <v>652</v>
      </c>
      <c r="B37" s="1741"/>
      <c r="C37" s="477"/>
      <c r="D37" s="477"/>
      <c r="E37" s="477"/>
      <c r="F37" s="477"/>
      <c r="G37" s="477"/>
      <c r="H37" s="477"/>
      <c r="I37" s="477"/>
      <c r="J37" s="477"/>
      <c r="K37" s="477"/>
      <c r="L37" s="480"/>
      <c r="M37" s="468"/>
      <c r="N37" s="1688">
        <f>SUM(N36:N36)</f>
        <v>5248874</v>
      </c>
    </row>
    <row r="38" spans="1:14" s="329" customFormat="1" ht="13.5" customHeight="1" thickTop="1" x14ac:dyDescent="0.2">
      <c r="A38" s="496" t="s">
        <v>419</v>
      </c>
      <c r="B38" s="483">
        <v>714</v>
      </c>
      <c r="C38" s="466">
        <v>8407</v>
      </c>
      <c r="D38" s="466"/>
      <c r="E38" s="466"/>
      <c r="F38" s="466"/>
      <c r="G38" s="466">
        <v>46211</v>
      </c>
      <c r="H38" s="466"/>
      <c r="I38" s="466"/>
      <c r="J38" s="467"/>
      <c r="K38" s="466"/>
      <c r="L38" s="481"/>
      <c r="M38" s="497"/>
      <c r="N38" s="497"/>
    </row>
    <row r="39" spans="1:14" s="329" customFormat="1" ht="13.5" customHeight="1" x14ac:dyDescent="0.2">
      <c r="A39" s="496" t="s">
        <v>341</v>
      </c>
      <c r="B39" s="483">
        <v>730</v>
      </c>
      <c r="C39" s="466">
        <v>1242121</v>
      </c>
      <c r="D39" s="466">
        <v>139642</v>
      </c>
      <c r="E39" s="466">
        <v>6146</v>
      </c>
      <c r="F39" s="466">
        <v>295468</v>
      </c>
      <c r="G39" s="466">
        <v>102220</v>
      </c>
      <c r="H39" s="466">
        <v>6749</v>
      </c>
      <c r="I39" s="466">
        <v>755865</v>
      </c>
      <c r="J39" s="467">
        <v>4766</v>
      </c>
      <c r="K39" s="466">
        <v>6499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24183170</v>
      </c>
      <c r="N40" s="497"/>
    </row>
    <row r="41" spans="1:14" ht="13.5" customHeight="1" thickBot="1" x14ac:dyDescent="0.25">
      <c r="A41" s="1736" t="s">
        <v>654</v>
      </c>
      <c r="B41" s="1706"/>
      <c r="C41" s="1688">
        <f>(SUM(C34,C37,C38,C39))</f>
        <v>1255822</v>
      </c>
      <c r="D41" s="1688">
        <f t="shared" ref="D41:L41" si="2">SUM(D34,D37,D38:D39)</f>
        <v>140284</v>
      </c>
      <c r="E41" s="1688">
        <f t="shared" si="2"/>
        <v>6146</v>
      </c>
      <c r="F41" s="1688">
        <f t="shared" si="2"/>
        <v>296007</v>
      </c>
      <c r="G41" s="1688">
        <f t="shared" si="2"/>
        <v>148431</v>
      </c>
      <c r="H41" s="1688">
        <f t="shared" si="2"/>
        <v>6749</v>
      </c>
      <c r="I41" s="1688">
        <f t="shared" si="2"/>
        <v>755865</v>
      </c>
      <c r="J41" s="1688">
        <f t="shared" si="2"/>
        <v>4766</v>
      </c>
      <c r="K41" s="1688">
        <f t="shared" si="2"/>
        <v>6499</v>
      </c>
      <c r="L41" s="1688">
        <f t="shared" si="2"/>
        <v>206203</v>
      </c>
      <c r="M41" s="1688">
        <f>SUM(M40)</f>
        <v>24183170</v>
      </c>
      <c r="N41" s="1688">
        <f>SUM(N37)</f>
        <v>5248874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50" activePane="bottomLeft" state="frozen"/>
      <selection pane="bottomLeft" activeCell="C78" sqref="C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5" t="s">
        <v>1174</v>
      </c>
      <c r="B3" s="2136"/>
      <c r="C3" s="1573"/>
      <c r="D3" s="1574"/>
      <c r="E3" s="1574"/>
      <c r="F3" s="1574"/>
      <c r="G3" s="1574"/>
      <c r="H3" s="1574"/>
      <c r="I3" s="1574"/>
      <c r="J3" s="1574"/>
      <c r="K3" s="1575"/>
      <c r="L3" s="506"/>
    </row>
    <row r="4" spans="1:13" ht="15.75" customHeight="1" x14ac:dyDescent="0.2">
      <c r="A4" s="1928" t="s">
        <v>1498</v>
      </c>
      <c r="B4" s="1929">
        <v>1000</v>
      </c>
      <c r="C4" s="1742">
        <f>'Revenues 9-14'!C109</f>
        <v>2055706</v>
      </c>
      <c r="D4" s="1742">
        <f>'Revenues 9-14'!D109</f>
        <v>494070</v>
      </c>
      <c r="E4" s="1742">
        <f>'Revenues 9-14'!E109</f>
        <v>672707</v>
      </c>
      <c r="F4" s="1742">
        <f>'Revenues 9-14'!F109</f>
        <v>213006</v>
      </c>
      <c r="G4" s="1742">
        <f>'Revenues 9-14'!G109</f>
        <v>366575</v>
      </c>
      <c r="H4" s="1742">
        <f>'Revenues 9-14'!H109</f>
        <v>32344</v>
      </c>
      <c r="I4" s="1742">
        <f>'Revenues 9-14'!I109</f>
        <v>52018</v>
      </c>
      <c r="J4" s="1742">
        <f>'Revenues 9-14'!J109</f>
        <v>496619</v>
      </c>
      <c r="K4" s="1742">
        <f>'Revenues 9-14'!K109</f>
        <v>40763</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3408049</v>
      </c>
      <c r="D6" s="1743">
        <f>'Revenues 9-14'!D170</f>
        <v>627924</v>
      </c>
      <c r="E6" s="1743">
        <f>'Revenues 9-14'!E170</f>
        <v>80000</v>
      </c>
      <c r="F6" s="1743">
        <f>'Revenues 9-14'!F170</f>
        <v>461635</v>
      </c>
      <c r="G6" s="1743">
        <f>'Revenues 9-14'!G170</f>
        <v>0</v>
      </c>
      <c r="H6" s="1743">
        <f>'Revenues 9-14'!H170</f>
        <v>0</v>
      </c>
      <c r="I6" s="1743">
        <f>'Revenues 9-14'!I170</f>
        <v>0</v>
      </c>
      <c r="J6" s="1743">
        <f>'Revenues 9-14'!J170</f>
        <v>8000</v>
      </c>
      <c r="K6" s="1743">
        <f>'Revenues 9-14'!K170</f>
        <v>0</v>
      </c>
      <c r="L6" s="347"/>
      <c r="M6" s="513"/>
    </row>
    <row r="7" spans="1:13" ht="15.75" customHeight="1" x14ac:dyDescent="0.2">
      <c r="A7" s="1576" t="s">
        <v>1501</v>
      </c>
      <c r="B7" s="1578">
        <v>4000</v>
      </c>
      <c r="C7" s="1743">
        <f>'Revenues 9-14'!C267</f>
        <v>678426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6142181</v>
      </c>
      <c r="D8" s="1688">
        <f t="shared" ref="D8:K8" si="0">SUM(D4:D7)</f>
        <v>1121994</v>
      </c>
      <c r="E8" s="1688">
        <f t="shared" si="0"/>
        <v>752707</v>
      </c>
      <c r="F8" s="1688">
        <f t="shared" si="0"/>
        <v>674641</v>
      </c>
      <c r="G8" s="1688">
        <f t="shared" si="0"/>
        <v>366575</v>
      </c>
      <c r="H8" s="1688">
        <f t="shared" si="0"/>
        <v>32344</v>
      </c>
      <c r="I8" s="1688">
        <f t="shared" si="0"/>
        <v>52018</v>
      </c>
      <c r="J8" s="1688">
        <f t="shared" si="0"/>
        <v>504619</v>
      </c>
      <c r="K8" s="1688">
        <f t="shared" si="0"/>
        <v>40763</v>
      </c>
      <c r="L8" s="347"/>
    </row>
    <row r="9" spans="1:13" ht="15.75" thickTop="1" x14ac:dyDescent="0.2">
      <c r="A9" s="514" t="s">
        <v>1652</v>
      </c>
      <c r="B9" s="515">
        <v>3998</v>
      </c>
      <c r="C9" s="481">
        <v>2772812</v>
      </c>
      <c r="D9" s="516"/>
      <c r="E9" s="481"/>
      <c r="F9" s="481"/>
      <c r="G9" s="517"/>
      <c r="H9" s="481"/>
      <c r="I9" s="509" t="s">
        <v>1168</v>
      </c>
      <c r="J9" s="478"/>
      <c r="K9" s="481"/>
      <c r="L9" s="347"/>
    </row>
    <row r="10" spans="1:13" s="519" customFormat="1" ht="13.5" thickBot="1" x14ac:dyDescent="0.25">
      <c r="A10" s="1736" t="s">
        <v>1172</v>
      </c>
      <c r="B10" s="1709"/>
      <c r="C10" s="1688">
        <f>SUM(C8:C9)</f>
        <v>8914993</v>
      </c>
      <c r="D10" s="1688">
        <f t="shared" ref="D10:K10" si="1">SUM(D8:D9)</f>
        <v>1121994</v>
      </c>
      <c r="E10" s="1688">
        <f t="shared" si="1"/>
        <v>752707</v>
      </c>
      <c r="F10" s="1688">
        <f t="shared" si="1"/>
        <v>674641</v>
      </c>
      <c r="G10" s="1688">
        <f t="shared" si="1"/>
        <v>366575</v>
      </c>
      <c r="H10" s="1688">
        <f t="shared" si="1"/>
        <v>32344</v>
      </c>
      <c r="I10" s="1688">
        <f t="shared" si="1"/>
        <v>52018</v>
      </c>
      <c r="J10" s="1688">
        <f t="shared" si="1"/>
        <v>504619</v>
      </c>
      <c r="K10" s="1688">
        <f t="shared" si="1"/>
        <v>40763</v>
      </c>
      <c r="L10" s="518"/>
    </row>
    <row r="11" spans="1:13" s="519" customFormat="1" ht="16.7" customHeight="1" thickTop="1" x14ac:dyDescent="0.2">
      <c r="A11" s="2109" t="s">
        <v>1175</v>
      </c>
      <c r="B11" s="2110"/>
      <c r="C11" s="1570"/>
      <c r="D11" s="1571"/>
      <c r="E11" s="1571"/>
      <c r="F11" s="1571"/>
      <c r="G11" s="1571"/>
      <c r="H11" s="1571"/>
      <c r="I11" s="1571"/>
      <c r="J11" s="1571"/>
      <c r="K11" s="1572"/>
      <c r="L11" s="518"/>
    </row>
    <row r="12" spans="1:13" ht="15.75" customHeight="1" x14ac:dyDescent="0.2">
      <c r="A12" s="1576" t="s">
        <v>455</v>
      </c>
      <c r="B12" s="1578">
        <v>1000</v>
      </c>
      <c r="C12" s="1742">
        <f>'Expenditures 15-22'!K33</f>
        <v>4216321</v>
      </c>
      <c r="D12" s="520" t="s">
        <v>1168</v>
      </c>
      <c r="E12" s="468" t="s">
        <v>1168</v>
      </c>
      <c r="F12" s="468" t="s">
        <v>1168</v>
      </c>
      <c r="G12" s="1742">
        <f>'Expenditures 15-22'!K229</f>
        <v>96427</v>
      </c>
      <c r="H12" s="521"/>
      <c r="I12" s="468" t="s">
        <v>1168</v>
      </c>
      <c r="J12" s="468" t="s">
        <v>1168</v>
      </c>
      <c r="K12" s="521" t="s">
        <v>1168</v>
      </c>
      <c r="L12" s="347"/>
    </row>
    <row r="13" spans="1:13" ht="15.75" customHeight="1" x14ac:dyDescent="0.2">
      <c r="A13" s="1576" t="s">
        <v>456</v>
      </c>
      <c r="B13" s="1578">
        <v>2000</v>
      </c>
      <c r="C13" s="1743">
        <f>'Expenditures 15-22'!K74</f>
        <v>1579937</v>
      </c>
      <c r="D13" s="1743">
        <f>'Expenditures 15-22'!K129</f>
        <v>1079449</v>
      </c>
      <c r="E13" s="469" t="s">
        <v>1168</v>
      </c>
      <c r="F13" s="1743">
        <f>'Expenditures 15-22'!K184</f>
        <v>745971</v>
      </c>
      <c r="G13" s="1743">
        <f>'Expenditures 15-22'!K279</f>
        <v>241873</v>
      </c>
      <c r="H13" s="1743">
        <f>'Expenditures 15-22'!K303</f>
        <v>32516</v>
      </c>
      <c r="I13" s="468" t="s">
        <v>1168</v>
      </c>
      <c r="J13" s="1743">
        <f>'Expenditures 15-22'!K330</f>
        <v>518439</v>
      </c>
      <c r="K13" s="1747">
        <f>'Expenditures 15-22'!K352</f>
        <v>37539</v>
      </c>
      <c r="L13" s="347"/>
    </row>
    <row r="14" spans="1:13" ht="15.75" customHeight="1" x14ac:dyDescent="0.2">
      <c r="A14" s="1576" t="s">
        <v>448</v>
      </c>
      <c r="B14" s="1578">
        <v>3000</v>
      </c>
      <c r="C14" s="1743">
        <f>'Expenditures 15-22'!K75</f>
        <v>9475</v>
      </c>
      <c r="D14" s="1743">
        <f>'Expenditures 15-22'!K130</f>
        <v>0</v>
      </c>
      <c r="E14" s="520" t="s">
        <v>1168</v>
      </c>
      <c r="F14" s="1743">
        <f>'Expenditures 15-22'!K185</f>
        <v>0</v>
      </c>
      <c r="G14" s="1743">
        <f>'Expenditures 15-22'!K280</f>
        <v>827</v>
      </c>
      <c r="H14" s="512"/>
      <c r="I14" s="468" t="s">
        <v>1168</v>
      </c>
      <c r="J14" s="468" t="s">
        <v>1168</v>
      </c>
      <c r="K14" s="512" t="s">
        <v>1168</v>
      </c>
      <c r="L14" s="347"/>
    </row>
    <row r="15" spans="1:13" ht="15.75" customHeight="1" x14ac:dyDescent="0.2">
      <c r="A15" s="1576" t="s">
        <v>107</v>
      </c>
      <c r="B15" s="1578">
        <v>4000</v>
      </c>
      <c r="C15" s="1743">
        <f>'Expenditures 15-22'!K102</f>
        <v>250058</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753214</v>
      </c>
      <c r="F16" s="1743">
        <f>'Expenditures 15-22'!K208</f>
        <v>53924</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6055791</v>
      </c>
      <c r="D17" s="1688">
        <f t="shared" si="2"/>
        <v>1079449</v>
      </c>
      <c r="E17" s="1688">
        <f t="shared" si="2"/>
        <v>753214</v>
      </c>
      <c r="F17" s="1688">
        <f t="shared" si="2"/>
        <v>799895</v>
      </c>
      <c r="G17" s="1688">
        <f t="shared" si="2"/>
        <v>339127</v>
      </c>
      <c r="H17" s="1688">
        <f t="shared" si="2"/>
        <v>32516</v>
      </c>
      <c r="I17" s="468"/>
      <c r="J17" s="1688">
        <f>SUM(J12:J16)</f>
        <v>518439</v>
      </c>
      <c r="K17" s="1688">
        <f>SUM(K12:K16)</f>
        <v>37539</v>
      </c>
      <c r="L17" s="347"/>
    </row>
    <row r="18" spans="1:12" ht="15" customHeight="1" thickTop="1" x14ac:dyDescent="0.2">
      <c r="A18" s="1744" t="s">
        <v>1653</v>
      </c>
      <c r="B18" s="1745">
        <v>4180</v>
      </c>
      <c r="C18" s="1742">
        <f t="shared" ref="C18:H18" si="3">C9</f>
        <v>2772812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8828603</v>
      </c>
      <c r="D19" s="1688">
        <f t="shared" si="4"/>
        <v>1079449</v>
      </c>
      <c r="E19" s="1688">
        <f t="shared" si="4"/>
        <v>753214</v>
      </c>
      <c r="F19" s="1688">
        <f t="shared" si="4"/>
        <v>799895</v>
      </c>
      <c r="G19" s="1688">
        <f t="shared" si="4"/>
        <v>339127</v>
      </c>
      <c r="H19" s="1688">
        <f t="shared" si="4"/>
        <v>32516</v>
      </c>
      <c r="I19" s="468"/>
      <c r="J19" s="1688">
        <f>SUM(J17:J18)</f>
        <v>518439</v>
      </c>
      <c r="K19" s="1688">
        <f>SUM(K17:K18)</f>
        <v>37539</v>
      </c>
      <c r="L19" s="347"/>
    </row>
    <row r="20" spans="1:12" ht="16.5" thickTop="1" thickBot="1" x14ac:dyDescent="0.25">
      <c r="A20" s="2125" t="s">
        <v>1654</v>
      </c>
      <c r="B20" s="2126"/>
      <c r="C20" s="1746">
        <f>C8-C17</f>
        <v>86390</v>
      </c>
      <c r="D20" s="1746">
        <f t="shared" ref="D20:K20" si="5">D8-D17</f>
        <v>42545</v>
      </c>
      <c r="E20" s="1746">
        <f t="shared" si="5"/>
        <v>-507</v>
      </c>
      <c r="F20" s="1746">
        <f t="shared" si="5"/>
        <v>-125254</v>
      </c>
      <c r="G20" s="1746">
        <f t="shared" si="5"/>
        <v>27448</v>
      </c>
      <c r="H20" s="1746">
        <f t="shared" si="5"/>
        <v>-172</v>
      </c>
      <c r="I20" s="1746">
        <f t="shared" si="5"/>
        <v>52018</v>
      </c>
      <c r="J20" s="1746">
        <f t="shared" si="5"/>
        <v>-13820</v>
      </c>
      <c r="K20" s="1746">
        <f t="shared" si="5"/>
        <v>3224</v>
      </c>
      <c r="L20" s="347"/>
    </row>
    <row r="21" spans="1:12" ht="16.7" customHeight="1" thickTop="1" x14ac:dyDescent="0.2">
      <c r="A21" s="2137" t="s">
        <v>594</v>
      </c>
      <c r="B21" s="2138"/>
      <c r="C21" s="1570"/>
      <c r="D21" s="1571"/>
      <c r="E21" s="1571"/>
      <c r="F21" s="1571"/>
      <c r="G21" s="1571"/>
      <c r="H21" s="1571"/>
      <c r="I21" s="1571"/>
      <c r="J21" s="1571"/>
      <c r="K21" s="1572"/>
      <c r="L21" s="524"/>
    </row>
    <row r="22" spans="1:12" ht="15.75" customHeight="1" collapsed="1" x14ac:dyDescent="0.2">
      <c r="A22" s="2133" t="s">
        <v>595</v>
      </c>
      <c r="B22" s="2134"/>
      <c r="C22" s="477"/>
      <c r="D22" s="477"/>
      <c r="E22" s="477"/>
      <c r="F22" s="477"/>
      <c r="G22" s="477"/>
      <c r="H22" s="477"/>
      <c r="I22" s="477"/>
      <c r="J22" s="477"/>
      <c r="K22" s="477"/>
      <c r="L22" s="347"/>
    </row>
    <row r="23" spans="1:12" s="485" customFormat="1" ht="15.75" customHeight="1" x14ac:dyDescent="0.2">
      <c r="A23" s="2129" t="s">
        <v>292</v>
      </c>
      <c r="B23" s="213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1" t="s">
        <v>980</v>
      </c>
      <c r="B32" s="2132"/>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v>67150</v>
      </c>
      <c r="D42" s="467"/>
      <c r="E42" s="467"/>
      <c r="F42" s="467"/>
      <c r="G42" s="467"/>
      <c r="H42" s="467"/>
      <c r="I42" s="480"/>
      <c r="J42" s="480"/>
      <c r="K42" s="467"/>
      <c r="L42" s="524"/>
    </row>
    <row r="43" spans="1:12" s="485" customFormat="1" ht="13.5" customHeight="1" x14ac:dyDescent="0.2">
      <c r="A43" s="1489" t="s">
        <v>372</v>
      </c>
      <c r="B43" s="483">
        <v>7990</v>
      </c>
      <c r="C43" s="467"/>
      <c r="D43" s="467"/>
      <c r="E43" s="467"/>
      <c r="F43" s="467">
        <v>152376</v>
      </c>
      <c r="G43" s="467"/>
      <c r="H43" s="467"/>
      <c r="I43" s="467"/>
      <c r="J43" s="467"/>
      <c r="K43" s="467"/>
      <c r="L43" s="524"/>
    </row>
    <row r="44" spans="1:12" s="485" customFormat="1" ht="13.5" customHeight="1" thickBot="1" x14ac:dyDescent="0.25">
      <c r="A44" s="2139" t="s">
        <v>373</v>
      </c>
      <c r="B44" s="2140"/>
      <c r="C44" s="1703">
        <f>SUM(C24:C43)</f>
        <v>67150</v>
      </c>
      <c r="D44" s="1703">
        <f t="shared" ref="D44:K44" si="6">SUM(D24:D43)</f>
        <v>0</v>
      </c>
      <c r="E44" s="1703">
        <f t="shared" si="6"/>
        <v>0</v>
      </c>
      <c r="F44" s="1703">
        <f t="shared" si="6"/>
        <v>152376</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5" t="s">
        <v>439</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1176</v>
      </c>
      <c r="B77" s="2118"/>
      <c r="C77" s="1703">
        <f t="shared" ref="C77:K77" si="8">C44-C76</f>
        <v>67150</v>
      </c>
      <c r="D77" s="1703">
        <f t="shared" si="8"/>
        <v>0</v>
      </c>
      <c r="E77" s="1703">
        <f t="shared" si="8"/>
        <v>0</v>
      </c>
      <c r="F77" s="1703">
        <f t="shared" si="8"/>
        <v>152376</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596</v>
      </c>
      <c r="B78" s="2122"/>
      <c r="C78" s="1702">
        <f t="shared" ref="C78:K78" si="9">C20+C77</f>
        <v>153540</v>
      </c>
      <c r="D78" s="1702">
        <f t="shared" si="9"/>
        <v>42545</v>
      </c>
      <c r="E78" s="1702">
        <f t="shared" si="9"/>
        <v>-507</v>
      </c>
      <c r="F78" s="1702">
        <f t="shared" si="9"/>
        <v>27122</v>
      </c>
      <c r="G78" s="1702">
        <f t="shared" si="9"/>
        <v>27448</v>
      </c>
      <c r="H78" s="1702">
        <f t="shared" si="9"/>
        <v>-172</v>
      </c>
      <c r="I78" s="1702">
        <f t="shared" si="9"/>
        <v>52018</v>
      </c>
      <c r="J78" s="1702">
        <f t="shared" si="9"/>
        <v>-13820</v>
      </c>
      <c r="K78" s="1702">
        <f t="shared" si="9"/>
        <v>3224</v>
      </c>
      <c r="L78" s="533"/>
    </row>
    <row r="79" spans="1:12" ht="13.5" thickTop="1" x14ac:dyDescent="0.2">
      <c r="A79" s="1494" t="s">
        <v>1946</v>
      </c>
      <c r="B79" s="534"/>
      <c r="C79" s="478">
        <v>1096988</v>
      </c>
      <c r="D79" s="535">
        <v>97097</v>
      </c>
      <c r="E79" s="535">
        <v>6653</v>
      </c>
      <c r="F79" s="535">
        <v>268346</v>
      </c>
      <c r="G79" s="535">
        <v>120983</v>
      </c>
      <c r="H79" s="535">
        <v>6921</v>
      </c>
      <c r="I79" s="535">
        <v>703847</v>
      </c>
      <c r="J79" s="535">
        <v>18586</v>
      </c>
      <c r="K79" s="535">
        <v>3275</v>
      </c>
      <c r="L79" s="347"/>
    </row>
    <row r="80" spans="1:12" x14ac:dyDescent="0.2">
      <c r="A80" s="2127" t="s">
        <v>1794</v>
      </c>
      <c r="B80" s="2128"/>
      <c r="C80" s="467"/>
      <c r="D80" s="467"/>
      <c r="E80" s="467"/>
      <c r="F80" s="467"/>
      <c r="G80" s="467"/>
      <c r="H80" s="467"/>
      <c r="I80" s="467"/>
      <c r="J80" s="467"/>
      <c r="K80" s="467"/>
      <c r="L80" s="347"/>
    </row>
    <row r="81" spans="1:12" ht="13.5" thickBot="1" x14ac:dyDescent="0.25">
      <c r="A81" s="2119" t="s">
        <v>1947</v>
      </c>
      <c r="B81" s="2120"/>
      <c r="C81" s="1688">
        <f>(SUM(C78:C80))</f>
        <v>1250528</v>
      </c>
      <c r="D81" s="1688">
        <f>SUM(D78:D80)</f>
        <v>139642</v>
      </c>
      <c r="E81" s="1688">
        <f t="shared" ref="E81:K81" si="10">SUM(E78:E80)</f>
        <v>6146</v>
      </c>
      <c r="F81" s="1688">
        <f t="shared" si="10"/>
        <v>295468</v>
      </c>
      <c r="G81" s="1688">
        <f t="shared" si="10"/>
        <v>148431</v>
      </c>
      <c r="H81" s="1688">
        <f t="shared" si="10"/>
        <v>6749</v>
      </c>
      <c r="I81" s="1688">
        <f t="shared" si="10"/>
        <v>755865</v>
      </c>
      <c r="J81" s="1688">
        <f t="shared" si="10"/>
        <v>4766</v>
      </c>
      <c r="K81" s="1688">
        <f t="shared" si="10"/>
        <v>6499</v>
      </c>
      <c r="L81" s="347"/>
    </row>
    <row r="82" spans="1:12" ht="0.75" customHeight="1" thickTop="1" thickBot="1" x14ac:dyDescent="0.25">
      <c r="A82" s="536" t="s">
        <v>342</v>
      </c>
      <c r="B82" s="537"/>
      <c r="C82" s="538">
        <f>(C81-C79)</f>
        <v>153540</v>
      </c>
      <c r="D82" s="538">
        <f t="shared" ref="D82:K82" si="11">(D81-D79)</f>
        <v>42545</v>
      </c>
      <c r="E82" s="538">
        <f t="shared" si="11"/>
        <v>-507</v>
      </c>
      <c r="F82" s="538">
        <f t="shared" si="11"/>
        <v>27122</v>
      </c>
      <c r="G82" s="538">
        <f t="shared" si="11"/>
        <v>27448</v>
      </c>
      <c r="H82" s="538">
        <f t="shared" si="11"/>
        <v>-172</v>
      </c>
      <c r="I82" s="538">
        <f t="shared" si="11"/>
        <v>52018</v>
      </c>
      <c r="J82" s="538">
        <f t="shared" si="11"/>
        <v>-13820</v>
      </c>
      <c r="K82" s="538">
        <f t="shared" si="11"/>
        <v>3224</v>
      </c>
    </row>
    <row r="83" spans="1:12" ht="14.25" hidden="1" thickTop="1" thickBot="1" x14ac:dyDescent="0.25">
      <c r="A83" s="539" t="s">
        <v>343</v>
      </c>
      <c r="B83" s="464"/>
      <c r="C83" s="540">
        <f>C82/C81</f>
        <v>0.12278013766984826</v>
      </c>
      <c r="D83" s="540">
        <f t="shared" ref="D83:K83" si="12">D82/D81</f>
        <v>0.30467194683547932</v>
      </c>
      <c r="E83" s="540">
        <f t="shared" si="12"/>
        <v>-8.2492678164659938E-2</v>
      </c>
      <c r="F83" s="540">
        <f t="shared" si="12"/>
        <v>9.1793358333220512E-2</v>
      </c>
      <c r="G83" s="540">
        <f t="shared" si="12"/>
        <v>0.18492093969588563</v>
      </c>
      <c r="H83" s="540">
        <f t="shared" si="12"/>
        <v>-2.5485257075122239E-2</v>
      </c>
      <c r="I83" s="540">
        <f t="shared" si="12"/>
        <v>6.8819167443921858E-2</v>
      </c>
      <c r="J83" s="540">
        <f t="shared" si="12"/>
        <v>-2.8997062526227446</v>
      </c>
      <c r="K83" s="540">
        <f t="shared" si="12"/>
        <v>0.49607631943375902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view="pageBreakPreview" colorId="8" zoomScale="115" zoomScaleNormal="110" zoomScaleSheetLayoutView="115" workbookViewId="0">
      <pane ySplit="2" topLeftCell="A93" activePane="bottomLeft" state="frozen"/>
      <selection pane="bottomLeft" activeCell="D117" sqref="D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1801</v>
      </c>
      <c r="B1" s="452"/>
      <c r="C1" s="453" t="s">
        <v>424</v>
      </c>
      <c r="D1" s="453" t="s">
        <v>425</v>
      </c>
      <c r="E1" s="453" t="s">
        <v>426</v>
      </c>
      <c r="F1" s="453" t="s">
        <v>427</v>
      </c>
      <c r="G1" s="453" t="s">
        <v>428</v>
      </c>
      <c r="H1" s="453" t="s">
        <v>429</v>
      </c>
      <c r="I1" s="453" t="s">
        <v>430</v>
      </c>
      <c r="J1" s="453" t="s">
        <v>431</v>
      </c>
      <c r="K1" s="453" t="s">
        <v>755</v>
      </c>
    </row>
    <row r="2" spans="1:12" ht="36" x14ac:dyDescent="0.2">
      <c r="A2" s="212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1484998</v>
      </c>
      <c r="D5" s="481">
        <v>406233</v>
      </c>
      <c r="E5" s="466">
        <v>669969</v>
      </c>
      <c r="F5" s="548">
        <v>162494</v>
      </c>
      <c r="G5" s="466">
        <v>176291</v>
      </c>
      <c r="H5" s="466"/>
      <c r="I5" s="466">
        <v>40624</v>
      </c>
      <c r="J5" s="467">
        <v>494292</v>
      </c>
      <c r="K5" s="466">
        <v>40624</v>
      </c>
    </row>
    <row r="6" spans="1:12" ht="15" x14ac:dyDescent="0.2">
      <c r="A6" s="463" t="s">
        <v>1661</v>
      </c>
      <c r="B6" s="470">
        <v>1130</v>
      </c>
      <c r="C6" s="466">
        <v>40624</v>
      </c>
      <c r="D6" s="466"/>
      <c r="E6" s="475"/>
      <c r="F6" s="475"/>
      <c r="G6" s="468"/>
      <c r="H6" s="468"/>
      <c r="I6" s="468"/>
      <c r="J6" s="468"/>
      <c r="K6" s="468"/>
    </row>
    <row r="7" spans="1:12" x14ac:dyDescent="0.2">
      <c r="A7" s="463" t="s">
        <v>110</v>
      </c>
      <c r="B7" s="549">
        <v>1140</v>
      </c>
      <c r="C7" s="466">
        <v>32499</v>
      </c>
      <c r="D7" s="466"/>
      <c r="E7" s="468"/>
      <c r="F7" s="467"/>
      <c r="G7" s="467"/>
      <c r="H7" s="467"/>
      <c r="I7" s="468"/>
      <c r="J7" s="468"/>
      <c r="K7" s="468"/>
    </row>
    <row r="8" spans="1:12" x14ac:dyDescent="0.2">
      <c r="A8" s="463" t="s">
        <v>412</v>
      </c>
      <c r="B8" s="470">
        <v>1150</v>
      </c>
      <c r="C8" s="475"/>
      <c r="D8" s="475"/>
      <c r="E8" s="477"/>
      <c r="F8" s="477"/>
      <c r="G8" s="481">
        <v>176384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1558121</v>
      </c>
      <c r="D12" s="1707">
        <f t="shared" si="0"/>
        <v>406233</v>
      </c>
      <c r="E12" s="1707">
        <f t="shared" si="0"/>
        <v>669969</v>
      </c>
      <c r="F12" s="1707">
        <f t="shared" si="0"/>
        <v>162494</v>
      </c>
      <c r="G12" s="1707">
        <f t="shared" si="0"/>
        <v>352675</v>
      </c>
      <c r="H12" s="1707">
        <f t="shared" si="0"/>
        <v>0</v>
      </c>
      <c r="I12" s="1707">
        <f t="shared" si="0"/>
        <v>40624</v>
      </c>
      <c r="J12" s="1707">
        <f t="shared" si="0"/>
        <v>494292</v>
      </c>
      <c r="K12" s="1688">
        <f t="shared" si="0"/>
        <v>40624</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3306</v>
      </c>
      <c r="D14" s="466">
        <v>858</v>
      </c>
      <c r="E14" s="466">
        <v>1400</v>
      </c>
      <c r="F14" s="466">
        <v>343</v>
      </c>
      <c r="G14" s="466">
        <v>737</v>
      </c>
      <c r="H14" s="466"/>
      <c r="I14" s="466">
        <v>86</v>
      </c>
      <c r="J14" s="467">
        <v>1032</v>
      </c>
      <c r="K14" s="466">
        <v>86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207309</v>
      </c>
      <c r="D16" s="466"/>
      <c r="E16" s="466"/>
      <c r="F16" s="466"/>
      <c r="G16" s="466">
        <v>10911</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210615</v>
      </c>
      <c r="D18" s="1710">
        <f t="shared" ref="D18:K18" si="1">SUM(D14:D17)</f>
        <v>858</v>
      </c>
      <c r="E18" s="1710">
        <f t="shared" si="1"/>
        <v>1400</v>
      </c>
      <c r="F18" s="1710">
        <f t="shared" si="1"/>
        <v>343</v>
      </c>
      <c r="G18" s="1710">
        <f t="shared" si="1"/>
        <v>11648</v>
      </c>
      <c r="H18" s="1710">
        <f t="shared" si="1"/>
        <v>0</v>
      </c>
      <c r="I18" s="1710">
        <f t="shared" si="1"/>
        <v>86</v>
      </c>
      <c r="J18" s="1710">
        <f t="shared" si="1"/>
        <v>1032</v>
      </c>
      <c r="K18" s="1711">
        <f t="shared" si="1"/>
        <v>86</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31059</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v>12970</v>
      </c>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44029</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17825</v>
      </c>
      <c r="D65" s="466">
        <v>2262</v>
      </c>
      <c r="E65" s="466">
        <v>1338</v>
      </c>
      <c r="F65" s="467">
        <v>2320</v>
      </c>
      <c r="G65" s="466">
        <v>2252</v>
      </c>
      <c r="H65" s="466">
        <v>32</v>
      </c>
      <c r="I65" s="466">
        <v>11308</v>
      </c>
      <c r="J65" s="467">
        <v>1295</v>
      </c>
      <c r="K65" s="466">
        <v>53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17825</v>
      </c>
      <c r="D67" s="1688">
        <f t="shared" ref="D67:K67" si="2">SUM(D65:D66)</f>
        <v>2262</v>
      </c>
      <c r="E67" s="1688">
        <f t="shared" si="2"/>
        <v>1338</v>
      </c>
      <c r="F67" s="1688">
        <f t="shared" si="2"/>
        <v>2320</v>
      </c>
      <c r="G67" s="1688">
        <f t="shared" si="2"/>
        <v>2252</v>
      </c>
      <c r="H67" s="1688">
        <f t="shared" si="2"/>
        <v>32</v>
      </c>
      <c r="I67" s="1688">
        <f t="shared" si="2"/>
        <v>11308</v>
      </c>
      <c r="J67" s="1688">
        <f t="shared" si="2"/>
        <v>1295</v>
      </c>
      <c r="K67" s="1688">
        <f t="shared" si="2"/>
        <v>53</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89463</v>
      </c>
      <c r="D69" s="468"/>
      <c r="E69" s="468"/>
      <c r="F69" s="468"/>
      <c r="G69" s="468"/>
      <c r="H69" s="468"/>
      <c r="I69" s="468"/>
      <c r="J69" s="468"/>
      <c r="K69" s="468"/>
    </row>
    <row r="70" spans="1:11" ht="12.75" customHeight="1" x14ac:dyDescent="0.2">
      <c r="A70" s="463" t="s">
        <v>996</v>
      </c>
      <c r="B70" s="470">
        <v>1612</v>
      </c>
      <c r="C70" s="551">
        <v>11318</v>
      </c>
      <c r="D70" s="468"/>
      <c r="E70" s="468"/>
      <c r="F70" s="468"/>
      <c r="G70" s="468"/>
      <c r="H70" s="468"/>
      <c r="I70" s="468"/>
      <c r="J70" s="468"/>
      <c r="K70" s="468"/>
    </row>
    <row r="71" spans="1:11" ht="12.75" customHeight="1" x14ac:dyDescent="0.2">
      <c r="A71" s="463" t="s">
        <v>272</v>
      </c>
      <c r="B71" s="470">
        <v>1613</v>
      </c>
      <c r="C71" s="551">
        <v>14998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6874</v>
      </c>
      <c r="D73" s="468"/>
      <c r="E73" s="468"/>
      <c r="F73" s="468"/>
      <c r="G73" s="468"/>
      <c r="H73" s="468"/>
      <c r="I73" s="468"/>
      <c r="J73" s="468"/>
      <c r="K73" s="468"/>
    </row>
    <row r="74" spans="1:11" ht="12.75" customHeight="1" x14ac:dyDescent="0.2">
      <c r="A74" s="463" t="s">
        <v>25</v>
      </c>
      <c r="B74" s="470">
        <v>1690</v>
      </c>
      <c r="C74" s="551">
        <v>1145</v>
      </c>
      <c r="D74" s="468"/>
      <c r="E74" s="468"/>
      <c r="F74" s="468"/>
      <c r="G74" s="468"/>
      <c r="H74" s="468"/>
      <c r="I74" s="468"/>
      <c r="J74" s="468"/>
      <c r="K74" s="468"/>
    </row>
    <row r="75" spans="1:11" ht="12.75" customHeight="1" thickBot="1" x14ac:dyDescent="0.25">
      <c r="A75" s="1708" t="s">
        <v>547</v>
      </c>
      <c r="B75" s="1709"/>
      <c r="C75" s="1688">
        <f>SUM(C69:C74)</f>
        <v>123798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27131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32652</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59783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18680</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18680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270</v>
      </c>
      <c r="E95" s="521"/>
      <c r="F95" s="521"/>
      <c r="G95" s="521"/>
      <c r="H95" s="521"/>
      <c r="I95" s="521"/>
      <c r="J95" s="521"/>
      <c r="K95" s="521"/>
    </row>
    <row r="96" spans="1:11" ht="12.75" customHeight="1" x14ac:dyDescent="0.2">
      <c r="A96" s="463" t="s">
        <v>390</v>
      </c>
      <c r="B96" s="470">
        <v>1920</v>
      </c>
      <c r="C96" s="551">
        <v>300</v>
      </c>
      <c r="D96" s="551">
        <v>4697</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45957</v>
      </c>
      <c r="D98" s="466"/>
      <c r="E98" s="512"/>
      <c r="F98" s="466"/>
      <c r="G98" s="512"/>
      <c r="H98" s="512"/>
      <c r="I98" s="510"/>
      <c r="J98" s="512"/>
      <c r="K98" s="512"/>
    </row>
    <row r="99" spans="1:12" ht="12.75" customHeight="1" x14ac:dyDescent="0.2">
      <c r="A99" s="463" t="s">
        <v>820</v>
      </c>
      <c r="B99" s="470">
        <v>1950</v>
      </c>
      <c r="C99" s="489">
        <v>1101</v>
      </c>
      <c r="D99" s="466">
        <v>74602</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3840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32312</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4470</v>
      </c>
      <c r="D106" s="489"/>
      <c r="E106" s="467"/>
      <c r="F106" s="467"/>
      <c r="G106" s="467"/>
      <c r="H106" s="467"/>
      <c r="I106" s="521"/>
      <c r="J106" s="467"/>
      <c r="K106" s="467"/>
    </row>
    <row r="107" spans="1:12" ht="12.75" customHeight="1" x14ac:dyDescent="0.2">
      <c r="A107" s="463" t="s">
        <v>78</v>
      </c>
      <c r="B107" s="470">
        <v>1999</v>
      </c>
      <c r="C107" s="551">
        <v>11216</v>
      </c>
      <c r="D107" s="466">
        <v>5148</v>
      </c>
      <c r="E107" s="466"/>
      <c r="F107" s="466">
        <v>3820</v>
      </c>
      <c r="G107" s="466"/>
      <c r="H107" s="466"/>
      <c r="I107" s="466"/>
      <c r="J107" s="467"/>
      <c r="K107" s="466"/>
    </row>
    <row r="108" spans="1:12" ht="12.75" customHeight="1" thickBot="1" x14ac:dyDescent="0.25">
      <c r="A108" s="1708" t="s">
        <v>486</v>
      </c>
      <c r="B108" s="1712"/>
      <c r="C108" s="1707">
        <f>SUM(C95:C107)</f>
        <v>66884</v>
      </c>
      <c r="D108" s="1707">
        <f t="shared" ref="D108:K108" si="3">SUM(D95:D107)</f>
        <v>84717</v>
      </c>
      <c r="E108" s="1707">
        <f t="shared" si="3"/>
        <v>0</v>
      </c>
      <c r="F108" s="1707">
        <f t="shared" si="3"/>
        <v>3820</v>
      </c>
      <c r="G108" s="1707">
        <f t="shared" si="3"/>
        <v>0</v>
      </c>
      <c r="H108" s="1707">
        <f t="shared" si="3"/>
        <v>32312</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2055706</v>
      </c>
      <c r="D109" s="1715">
        <f t="shared" si="4"/>
        <v>494070</v>
      </c>
      <c r="E109" s="1715">
        <f t="shared" si="4"/>
        <v>672707</v>
      </c>
      <c r="F109" s="1715">
        <f t="shared" si="4"/>
        <v>213006</v>
      </c>
      <c r="G109" s="1715">
        <f t="shared" si="4"/>
        <v>366575</v>
      </c>
      <c r="H109" s="1715">
        <f t="shared" si="4"/>
        <v>32344</v>
      </c>
      <c r="I109" s="1715">
        <f t="shared" si="4"/>
        <v>52018</v>
      </c>
      <c r="J109" s="1715">
        <f t="shared" si="4"/>
        <v>496619</v>
      </c>
      <c r="K109" s="1702">
        <f t="shared" si="4"/>
        <v>40763</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3320000</v>
      </c>
      <c r="D117" s="481">
        <v>627924</v>
      </c>
      <c r="E117" s="466">
        <v>80000</v>
      </c>
      <c r="F117" s="481">
        <v>148091</v>
      </c>
      <c r="G117" s="481"/>
      <c r="H117" s="466"/>
      <c r="I117" s="468"/>
      <c r="J117" s="467">
        <v>8000</v>
      </c>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3320000</v>
      </c>
      <c r="D122" s="1707">
        <f t="shared" si="5"/>
        <v>627924</v>
      </c>
      <c r="E122" s="1707">
        <f t="shared" si="5"/>
        <v>80000</v>
      </c>
      <c r="F122" s="1707">
        <f t="shared" si="5"/>
        <v>148091</v>
      </c>
      <c r="G122" s="1707">
        <f t="shared" si="5"/>
        <v>0</v>
      </c>
      <c r="H122" s="1707">
        <f t="shared" si="5"/>
        <v>0</v>
      </c>
      <c r="I122" s="468"/>
      <c r="J122" s="1707">
        <f>SUM(J117:J121)</f>
        <v>8000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15474</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15848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31322</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18983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12136</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v>6478</v>
      </c>
      <c r="D140" s="466"/>
      <c r="E140" s="561"/>
      <c r="F140" s="477"/>
      <c r="G140" s="467"/>
      <c r="H140" s="468"/>
      <c r="I140" s="468"/>
      <c r="J140" s="468"/>
      <c r="K140" s="468"/>
    </row>
    <row r="141" spans="1:11" ht="12.75" customHeight="1" thickBot="1" x14ac:dyDescent="0.25">
      <c r="A141" s="1708" t="s">
        <v>602</v>
      </c>
      <c r="B141" s="1720"/>
      <c r="C141" s="1707">
        <f>SUM(C134:C140)</f>
        <v>37597</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5973</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11024</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190727</v>
      </c>
      <c r="G152" s="467"/>
      <c r="H152" s="468"/>
      <c r="I152" s="468"/>
      <c r="J152" s="468"/>
      <c r="K152" s="468"/>
    </row>
    <row r="153" spans="1:11" ht="12.75" customHeight="1" x14ac:dyDescent="0.2">
      <c r="A153" s="463" t="s">
        <v>1056</v>
      </c>
      <c r="B153" s="562">
        <v>3510</v>
      </c>
      <c r="C153" s="551"/>
      <c r="D153" s="466"/>
      <c r="E153" s="561"/>
      <c r="F153" s="466">
        <v>122817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313544</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2133</v>
      </c>
      <c r="D168" s="580"/>
      <c r="E168" s="580"/>
      <c r="F168" s="580"/>
      <c r="G168" s="581"/>
      <c r="H168" s="582"/>
      <c r="I168" s="581"/>
      <c r="J168" s="581"/>
      <c r="K168" s="582"/>
    </row>
    <row r="169" spans="1:11" ht="12.75" customHeight="1" thickTop="1" thickBot="1" x14ac:dyDescent="0.25">
      <c r="A169" s="2143" t="s">
        <v>397</v>
      </c>
      <c r="B169" s="2144"/>
      <c r="C169" s="1722">
        <f t="shared" ref="C169:K169" si="6">SUM(C132,C141,C145,C146:C150,C155,C156:C167,C168)</f>
        <v>88049</v>
      </c>
      <c r="D169" s="1722">
        <f t="shared" si="6"/>
        <v>0</v>
      </c>
      <c r="E169" s="1722">
        <f t="shared" si="6"/>
        <v>0</v>
      </c>
      <c r="F169" s="1722">
        <f t="shared" si="6"/>
        <v>313544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3408049</v>
      </c>
      <c r="D170" s="1715">
        <f t="shared" si="7"/>
        <v>627924</v>
      </c>
      <c r="E170" s="1715">
        <f t="shared" si="7"/>
        <v>80000</v>
      </c>
      <c r="F170" s="1715">
        <f t="shared" si="7"/>
        <v>461635</v>
      </c>
      <c r="G170" s="1715">
        <f t="shared" si="7"/>
        <v>0</v>
      </c>
      <c r="H170" s="1715">
        <f t="shared" si="7"/>
        <v>0</v>
      </c>
      <c r="I170" s="1715">
        <f t="shared" si="7"/>
        <v>0</v>
      </c>
      <c r="J170" s="1715">
        <f t="shared" si="7"/>
        <v>8000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5" t="s">
        <v>1491</v>
      </c>
      <c r="B172" s="2146"/>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9" t="s">
        <v>1664</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1663</v>
      </c>
      <c r="B176" s="215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1" t="s">
        <v>784</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1802</v>
      </c>
      <c r="B182" s="214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195019</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61409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256428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210751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210751</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23029</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23029</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69000</v>
      </c>
      <c r="D213" s="466"/>
      <c r="E213" s="468"/>
      <c r="F213" s="466"/>
      <c r="G213" s="466"/>
      <c r="H213" s="468"/>
      <c r="I213" s="468"/>
      <c r="J213" s="468"/>
      <c r="K213" s="468"/>
    </row>
    <row r="214" spans="1:11" ht="12.75" customHeight="1" x14ac:dyDescent="0.2">
      <c r="A214" s="463" t="s">
        <v>1053</v>
      </c>
      <c r="B214" s="470">
        <v>4625</v>
      </c>
      <c r="C214" s="551">
        <v>5907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74907</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33257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12684</v>
      </c>
      <c r="D263" s="576"/>
      <c r="E263" s="468"/>
      <c r="F263" s="576"/>
      <c r="G263" s="576"/>
      <c r="H263" s="468"/>
      <c r="I263" s="468"/>
      <c r="J263" s="468"/>
      <c r="K263" s="468"/>
    </row>
    <row r="264" spans="1:11" ht="12.75" customHeight="1" thickTop="1" thickBot="1" x14ac:dyDescent="0.25">
      <c r="A264" s="463" t="s">
        <v>376</v>
      </c>
      <c r="B264" s="470">
        <v>4992</v>
      </c>
      <c r="C264" s="575">
        <v>67370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678426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678426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6142181</v>
      </c>
      <c r="D268" s="1715">
        <f t="shared" si="12"/>
        <v>1121994</v>
      </c>
      <c r="E268" s="1715">
        <f t="shared" si="12"/>
        <v>752707</v>
      </c>
      <c r="F268" s="1715">
        <f t="shared" si="12"/>
        <v>674641</v>
      </c>
      <c r="G268" s="1715">
        <f t="shared" si="12"/>
        <v>366575</v>
      </c>
      <c r="H268" s="1715">
        <f t="shared" si="12"/>
        <v>32344</v>
      </c>
      <c r="I268" s="1715">
        <f t="shared" si="12"/>
        <v>52018</v>
      </c>
      <c r="J268" s="1715">
        <f t="shared" si="12"/>
        <v>504619</v>
      </c>
      <c r="K268" s="1702">
        <f t="shared" si="12"/>
        <v>40763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80" zoomScaleNormal="110" zoomScaleSheetLayoutView="80" workbookViewId="0">
      <pane ySplit="2" topLeftCell="A315" activePane="bottomLeft" state="frozen"/>
      <selection pane="bottomLeft" activeCell="H357" sqref="H35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5"/>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1" t="s">
        <v>296</v>
      </c>
      <c r="B3" s="2162"/>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2093486</v>
      </c>
      <c r="D5" s="466">
        <v>393357</v>
      </c>
      <c r="E5" s="466">
        <v>105878</v>
      </c>
      <c r="F5" s="466">
        <v>104717</v>
      </c>
      <c r="G5" s="466">
        <v>96834</v>
      </c>
      <c r="H5" s="466"/>
      <c r="I5" s="467"/>
      <c r="J5" s="467"/>
      <c r="K5" s="1671">
        <f>SUM(C5:J5)</f>
        <v>2794272</v>
      </c>
      <c r="L5" s="466">
        <v>2822336</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646758</v>
      </c>
      <c r="D8" s="466">
        <v>122102</v>
      </c>
      <c r="E8" s="466">
        <v>1120</v>
      </c>
      <c r="F8" s="466">
        <v>1385</v>
      </c>
      <c r="G8" s="466"/>
      <c r="H8" s="466"/>
      <c r="I8" s="467"/>
      <c r="J8" s="467"/>
      <c r="K8" s="1671">
        <f t="shared" si="0"/>
        <v>771365</v>
      </c>
      <c r="L8" s="466">
        <v>770573</v>
      </c>
    </row>
    <row r="9" spans="1:14" x14ac:dyDescent="0.2">
      <c r="A9" s="1504" t="s">
        <v>720</v>
      </c>
      <c r="B9" s="614" t="s">
        <v>967</v>
      </c>
      <c r="C9" s="467">
        <v>48826</v>
      </c>
      <c r="D9" s="467">
        <v>10464</v>
      </c>
      <c r="E9" s="467"/>
      <c r="F9" s="467"/>
      <c r="G9" s="467"/>
      <c r="H9" s="467"/>
      <c r="I9" s="467"/>
      <c r="J9" s="467"/>
      <c r="K9" s="1671">
        <f t="shared" si="0"/>
        <v>59290</v>
      </c>
      <c r="L9" s="466">
        <v>59290</v>
      </c>
    </row>
    <row r="10" spans="1:14" x14ac:dyDescent="0.2">
      <c r="A10" s="1504" t="s">
        <v>721</v>
      </c>
      <c r="B10" s="614">
        <v>1250</v>
      </c>
      <c r="C10" s="466">
        <v>117039</v>
      </c>
      <c r="D10" s="466">
        <v>12381</v>
      </c>
      <c r="E10" s="466"/>
      <c r="F10" s="466">
        <v>32908</v>
      </c>
      <c r="G10" s="466"/>
      <c r="H10" s="466"/>
      <c r="I10" s="467"/>
      <c r="J10" s="467"/>
      <c r="K10" s="1671">
        <f t="shared" si="0"/>
        <v>162328</v>
      </c>
      <c r="L10" s="466">
        <v>162330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186555</v>
      </c>
      <c r="D13" s="466">
        <v>33987</v>
      </c>
      <c r="E13" s="466"/>
      <c r="F13" s="466">
        <v>7272</v>
      </c>
      <c r="G13" s="466">
        <v>2619</v>
      </c>
      <c r="H13" s="466"/>
      <c r="I13" s="467"/>
      <c r="J13" s="467"/>
      <c r="K13" s="1671">
        <f t="shared" si="0"/>
        <v>230433</v>
      </c>
      <c r="L13" s="466">
        <v>227958</v>
      </c>
    </row>
    <row r="14" spans="1:14" x14ac:dyDescent="0.2">
      <c r="A14" s="1504" t="s">
        <v>962</v>
      </c>
      <c r="B14" s="614">
        <v>1500</v>
      </c>
      <c r="C14" s="466">
        <v>128600</v>
      </c>
      <c r="D14" s="466">
        <v>8463</v>
      </c>
      <c r="E14" s="466">
        <v>18969</v>
      </c>
      <c r="F14" s="466">
        <v>5385</v>
      </c>
      <c r="G14" s="466"/>
      <c r="H14" s="466"/>
      <c r="I14" s="467"/>
      <c r="J14" s="467"/>
      <c r="K14" s="1671">
        <f t="shared" si="0"/>
        <v>161417</v>
      </c>
      <c r="L14" s="466">
        <v>157709</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6836</v>
      </c>
      <c r="D17" s="467">
        <v>489</v>
      </c>
      <c r="E17" s="467"/>
      <c r="F17" s="467">
        <v>3885</v>
      </c>
      <c r="G17" s="467"/>
      <c r="H17" s="467"/>
      <c r="I17" s="467"/>
      <c r="J17" s="467"/>
      <c r="K17" s="1671">
        <f t="shared" si="0"/>
        <v>11210</v>
      </c>
      <c r="L17" s="466">
        <v>7520</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26006</v>
      </c>
      <c r="I22" s="616"/>
      <c r="J22" s="477"/>
      <c r="K22" s="1671">
        <f t="shared" si="0"/>
        <v>26006</v>
      </c>
      <c r="L22" s="471">
        <v>25398</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3228100</v>
      </c>
      <c r="D33" s="1670">
        <f t="shared" ref="D33:L33" si="1">SUM(D5:D32)</f>
        <v>581243</v>
      </c>
      <c r="E33" s="1670">
        <f t="shared" si="1"/>
        <v>125967</v>
      </c>
      <c r="F33" s="1670">
        <f t="shared" si="1"/>
        <v>155552</v>
      </c>
      <c r="G33" s="1670">
        <f t="shared" si="1"/>
        <v>99453</v>
      </c>
      <c r="H33" s="1670">
        <f t="shared" si="1"/>
        <v>26006</v>
      </c>
      <c r="I33" s="1670">
        <f t="shared" si="1"/>
        <v>0</v>
      </c>
      <c r="J33" s="1670">
        <f t="shared" si="1"/>
        <v>0</v>
      </c>
      <c r="K33" s="1670">
        <f t="shared" si="1"/>
        <v>4216321</v>
      </c>
      <c r="L33" s="1670">
        <f t="shared" si="1"/>
        <v>4233114</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c r="D36" s="481"/>
      <c r="E36" s="481"/>
      <c r="F36" s="481"/>
      <c r="G36" s="481"/>
      <c r="H36" s="481"/>
      <c r="I36" s="467"/>
      <c r="J36" s="467"/>
      <c r="K36" s="1671">
        <f t="shared" ref="K36:K41" si="2">SUM(C36:J36)</f>
        <v>0</v>
      </c>
      <c r="L36" s="466"/>
    </row>
    <row r="37" spans="1:14" x14ac:dyDescent="0.2">
      <c r="A37" s="1504" t="s">
        <v>1089</v>
      </c>
      <c r="B37" s="614">
        <v>2120</v>
      </c>
      <c r="C37" s="466">
        <v>117623</v>
      </c>
      <c r="D37" s="466">
        <v>19412</v>
      </c>
      <c r="E37" s="466"/>
      <c r="F37" s="466"/>
      <c r="G37" s="466"/>
      <c r="H37" s="466"/>
      <c r="I37" s="467"/>
      <c r="J37" s="467"/>
      <c r="K37" s="1671">
        <f t="shared" si="2"/>
        <v>137035</v>
      </c>
      <c r="L37" s="466">
        <v>137505</v>
      </c>
    </row>
    <row r="38" spans="1:14" x14ac:dyDescent="0.2">
      <c r="A38" s="1504" t="s">
        <v>198</v>
      </c>
      <c r="B38" s="614">
        <v>2130</v>
      </c>
      <c r="C38" s="466">
        <v>30699</v>
      </c>
      <c r="D38" s="466">
        <v>10592</v>
      </c>
      <c r="E38" s="466">
        <v>295</v>
      </c>
      <c r="F38" s="466">
        <v>2203</v>
      </c>
      <c r="G38" s="466"/>
      <c r="H38" s="466"/>
      <c r="I38" s="467"/>
      <c r="J38" s="467"/>
      <c r="K38" s="1671">
        <f t="shared" si="2"/>
        <v>43789</v>
      </c>
      <c r="L38" s="466">
        <v>42840</v>
      </c>
    </row>
    <row r="39" spans="1:14" x14ac:dyDescent="0.2">
      <c r="A39" s="1504" t="s">
        <v>199</v>
      </c>
      <c r="B39" s="614">
        <v>2140</v>
      </c>
      <c r="C39" s="466">
        <v>63887</v>
      </c>
      <c r="D39" s="466">
        <v>6862</v>
      </c>
      <c r="E39" s="466">
        <v>1342</v>
      </c>
      <c r="F39" s="466">
        <v>681</v>
      </c>
      <c r="G39" s="466"/>
      <c r="H39" s="466"/>
      <c r="I39" s="467"/>
      <c r="J39" s="467"/>
      <c r="K39" s="1671">
        <f t="shared" si="2"/>
        <v>72772</v>
      </c>
      <c r="L39" s="466">
        <v>73096</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v>3540</v>
      </c>
      <c r="D41" s="466"/>
      <c r="E41" s="466">
        <v>5401</v>
      </c>
      <c r="F41" s="466"/>
      <c r="G41" s="466"/>
      <c r="H41" s="466"/>
      <c r="I41" s="467"/>
      <c r="J41" s="467"/>
      <c r="K41" s="1671">
        <f t="shared" si="2"/>
        <v>8941</v>
      </c>
      <c r="L41" s="466">
        <v>8941</v>
      </c>
    </row>
    <row r="42" spans="1:14" ht="12.75" customHeight="1" thickBot="1" x14ac:dyDescent="0.25">
      <c r="A42" s="1668" t="s">
        <v>559</v>
      </c>
      <c r="B42" s="1669" t="s">
        <v>715</v>
      </c>
      <c r="C42" s="1670">
        <f>SUM(C36:C41)</f>
        <v>215749</v>
      </c>
      <c r="D42" s="1670">
        <f t="shared" ref="D42:L42" si="3">SUM(D36:D41)</f>
        <v>36866</v>
      </c>
      <c r="E42" s="1670">
        <f t="shared" si="3"/>
        <v>7038</v>
      </c>
      <c r="F42" s="1670">
        <f t="shared" si="3"/>
        <v>2884</v>
      </c>
      <c r="G42" s="1670">
        <f t="shared" si="3"/>
        <v>0</v>
      </c>
      <c r="H42" s="1670">
        <f t="shared" si="3"/>
        <v>0</v>
      </c>
      <c r="I42" s="1670">
        <f t="shared" si="3"/>
        <v>0</v>
      </c>
      <c r="J42" s="1670">
        <f t="shared" si="3"/>
        <v>0</v>
      </c>
      <c r="K42" s="1670">
        <f t="shared" si="3"/>
        <v>262537</v>
      </c>
      <c r="L42" s="1670">
        <f t="shared" si="3"/>
        <v>262382</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56286</v>
      </c>
      <c r="D44" s="481"/>
      <c r="E44" s="481">
        <v>16779</v>
      </c>
      <c r="F44" s="481"/>
      <c r="G44" s="481"/>
      <c r="H44" s="481"/>
      <c r="I44" s="467"/>
      <c r="J44" s="467"/>
      <c r="K44" s="1672">
        <f>SUM(C44:J44)</f>
        <v>73065</v>
      </c>
      <c r="L44" s="481">
        <v>73095</v>
      </c>
    </row>
    <row r="45" spans="1:14" x14ac:dyDescent="0.2">
      <c r="A45" s="1504" t="s">
        <v>814</v>
      </c>
      <c r="B45" s="614">
        <v>2220</v>
      </c>
      <c r="C45" s="466">
        <v>115018</v>
      </c>
      <c r="D45" s="466">
        <v>15413</v>
      </c>
      <c r="E45" s="466"/>
      <c r="F45" s="466">
        <v>2500</v>
      </c>
      <c r="G45" s="466"/>
      <c r="H45" s="466"/>
      <c r="I45" s="467"/>
      <c r="J45" s="467"/>
      <c r="K45" s="1672">
        <f>SUM(C45:J45)</f>
        <v>132931</v>
      </c>
      <c r="L45" s="466">
        <v>131534</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171304</v>
      </c>
      <c r="D47" s="1670">
        <f t="shared" ref="D47:K47" si="4">SUM(D44:D46)</f>
        <v>15413</v>
      </c>
      <c r="E47" s="1670">
        <f t="shared" si="4"/>
        <v>16779</v>
      </c>
      <c r="F47" s="1670">
        <f t="shared" si="4"/>
        <v>2500</v>
      </c>
      <c r="G47" s="1670">
        <f t="shared" si="4"/>
        <v>0</v>
      </c>
      <c r="H47" s="1670">
        <f t="shared" si="4"/>
        <v>0</v>
      </c>
      <c r="I47" s="1670">
        <f t="shared" si="4"/>
        <v>0</v>
      </c>
      <c r="J47" s="1670">
        <f t="shared" si="4"/>
        <v>0</v>
      </c>
      <c r="K47" s="1670">
        <f t="shared" si="4"/>
        <v>205996</v>
      </c>
      <c r="L47" s="1670">
        <f>SUM(L44:L46)</f>
        <v>204629</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30038</v>
      </c>
      <c r="F49" s="481"/>
      <c r="G49" s="481"/>
      <c r="H49" s="481"/>
      <c r="I49" s="467"/>
      <c r="J49" s="467"/>
      <c r="K49" s="1672">
        <f>SUM(C49:J49)</f>
        <v>30038</v>
      </c>
      <c r="L49" s="481">
        <v>29721</v>
      </c>
    </row>
    <row r="50" spans="1:14" x14ac:dyDescent="0.2">
      <c r="A50" s="1504" t="s">
        <v>817</v>
      </c>
      <c r="B50" s="614">
        <v>2320</v>
      </c>
      <c r="C50" s="466">
        <v>109738</v>
      </c>
      <c r="D50" s="466">
        <v>17686</v>
      </c>
      <c r="E50" s="466">
        <v>1133</v>
      </c>
      <c r="F50" s="466"/>
      <c r="G50" s="466"/>
      <c r="H50" s="466"/>
      <c r="I50" s="467"/>
      <c r="J50" s="467"/>
      <c r="K50" s="1672">
        <f>SUM(C50:J50)</f>
        <v>128557</v>
      </c>
      <c r="L50" s="466">
        <v>128581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109738</v>
      </c>
      <c r="D53" s="1670">
        <f t="shared" ref="D53:L53" si="5">SUM(D49:D52)</f>
        <v>17686</v>
      </c>
      <c r="E53" s="1670">
        <f t="shared" si="5"/>
        <v>31171</v>
      </c>
      <c r="F53" s="1670">
        <f t="shared" si="5"/>
        <v>0</v>
      </c>
      <c r="G53" s="1670">
        <f t="shared" si="5"/>
        <v>0</v>
      </c>
      <c r="H53" s="1670">
        <f t="shared" si="5"/>
        <v>0</v>
      </c>
      <c r="I53" s="1670">
        <f t="shared" si="5"/>
        <v>0</v>
      </c>
      <c r="J53" s="1670">
        <f t="shared" si="5"/>
        <v>0</v>
      </c>
      <c r="K53" s="1670">
        <f t="shared" si="5"/>
        <v>158595</v>
      </c>
      <c r="L53" s="1670">
        <f t="shared" si="5"/>
        <v>158302</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412106</v>
      </c>
      <c r="D55" s="481">
        <v>64093</v>
      </c>
      <c r="E55" s="481">
        <v>844</v>
      </c>
      <c r="F55" s="481"/>
      <c r="G55" s="481"/>
      <c r="H55" s="481">
        <v>1198</v>
      </c>
      <c r="I55" s="467"/>
      <c r="J55" s="467"/>
      <c r="K55" s="1672">
        <f>SUM(C55:J55)</f>
        <v>478241</v>
      </c>
      <c r="L55" s="481">
        <v>480724</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412106</v>
      </c>
      <c r="D57" s="1674">
        <f t="shared" ref="D57:K57" si="6">SUM(D55:D56)</f>
        <v>64093</v>
      </c>
      <c r="E57" s="1674">
        <f t="shared" si="6"/>
        <v>844</v>
      </c>
      <c r="F57" s="1674">
        <f t="shared" si="6"/>
        <v>0</v>
      </c>
      <c r="G57" s="1674">
        <f t="shared" si="6"/>
        <v>0</v>
      </c>
      <c r="H57" s="1674">
        <f t="shared" si="6"/>
        <v>1198</v>
      </c>
      <c r="I57" s="1674">
        <f t="shared" si="6"/>
        <v>0</v>
      </c>
      <c r="J57" s="1674">
        <f t="shared" si="6"/>
        <v>0</v>
      </c>
      <c r="K57" s="1674">
        <f t="shared" si="6"/>
        <v>478241</v>
      </c>
      <c r="L57" s="1670">
        <f>SUM(L55:L56)</f>
        <v>480724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62970</v>
      </c>
      <c r="D60" s="466">
        <v>23</v>
      </c>
      <c r="E60" s="466">
        <v>13004</v>
      </c>
      <c r="F60" s="466">
        <v>3487</v>
      </c>
      <c r="G60" s="466"/>
      <c r="H60" s="466">
        <v>6932</v>
      </c>
      <c r="I60" s="467"/>
      <c r="J60" s="467"/>
      <c r="K60" s="1672">
        <f t="shared" si="7"/>
        <v>86416</v>
      </c>
      <c r="L60" s="466">
        <v>86645</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143605</v>
      </c>
      <c r="D63" s="466">
        <v>19750</v>
      </c>
      <c r="E63" s="466"/>
      <c r="F63" s="466">
        <v>224797</v>
      </c>
      <c r="G63" s="466"/>
      <c r="H63" s="466"/>
      <c r="I63" s="467"/>
      <c r="J63" s="467"/>
      <c r="K63" s="1672">
        <f t="shared" si="7"/>
        <v>388152</v>
      </c>
      <c r="L63" s="466">
        <v>388252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206575</v>
      </c>
      <c r="D65" s="1670">
        <f t="shared" ref="D65:L65" si="8">SUM(D59:D64)</f>
        <v>19773</v>
      </c>
      <c r="E65" s="1670">
        <f t="shared" si="8"/>
        <v>13004</v>
      </c>
      <c r="F65" s="1670">
        <f t="shared" si="8"/>
        <v>228284</v>
      </c>
      <c r="G65" s="1670">
        <f t="shared" si="8"/>
        <v>0</v>
      </c>
      <c r="H65" s="1670">
        <f t="shared" si="8"/>
        <v>6932</v>
      </c>
      <c r="I65" s="1670">
        <f t="shared" si="8"/>
        <v>0</v>
      </c>
      <c r="J65" s="1670">
        <f t="shared" si="8"/>
        <v>0</v>
      </c>
      <c r="K65" s="1670">
        <f t="shared" si="8"/>
        <v>474568</v>
      </c>
      <c r="L65" s="1670">
        <f t="shared" si="8"/>
        <v>474897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1115472</v>
      </c>
      <c r="D74" s="1677">
        <f t="shared" ref="D74:K74" si="10">SUM(D42,D47,D53,D57,D65,D72,D73)</f>
        <v>153831</v>
      </c>
      <c r="E74" s="1677">
        <f t="shared" si="10"/>
        <v>68836</v>
      </c>
      <c r="F74" s="1677">
        <f t="shared" si="10"/>
        <v>233668</v>
      </c>
      <c r="G74" s="1677">
        <f t="shared" si="10"/>
        <v>0</v>
      </c>
      <c r="H74" s="1677">
        <f t="shared" si="10"/>
        <v>8130</v>
      </c>
      <c r="I74" s="1677">
        <f t="shared" si="10"/>
        <v>0</v>
      </c>
      <c r="J74" s="1677">
        <f t="shared" si="10"/>
        <v>0</v>
      </c>
      <c r="K74" s="1677">
        <f t="shared" si="10"/>
        <v>1579937</v>
      </c>
      <c r="L74" s="1677">
        <f>SUM(L42,L47,L53,L57,L65,L72,L73)</f>
        <v>1580934</v>
      </c>
    </row>
    <row r="75" spans="1:14" s="259" customFormat="1" ht="15.75" customHeight="1" thickTop="1" thickBot="1" x14ac:dyDescent="0.25">
      <c r="A75" s="1610" t="s">
        <v>47</v>
      </c>
      <c r="B75" s="1611" t="s">
        <v>574</v>
      </c>
      <c r="C75" s="573">
        <v>9022</v>
      </c>
      <c r="D75" s="573">
        <v>453</v>
      </c>
      <c r="E75" s="573"/>
      <c r="F75" s="573"/>
      <c r="G75" s="573"/>
      <c r="H75" s="573"/>
      <c r="I75" s="531"/>
      <c r="J75" s="531"/>
      <c r="K75" s="1670">
        <f>SUM(C75:J75)</f>
        <v>9475</v>
      </c>
      <c r="L75" s="576">
        <v>9475</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v>697</v>
      </c>
      <c r="I78" s="477"/>
      <c r="J78" s="477"/>
      <c r="K78" s="1671">
        <f t="shared" ref="K78:K83" si="11">SUM(C78:J78)</f>
        <v>697</v>
      </c>
      <c r="L78" s="481">
        <v>697</v>
      </c>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v>20721</v>
      </c>
      <c r="F83" s="616"/>
      <c r="G83" s="616"/>
      <c r="H83" s="466">
        <v>3948</v>
      </c>
      <c r="I83" s="477"/>
      <c r="J83" s="477"/>
      <c r="K83" s="1671">
        <f t="shared" si="11"/>
        <v>24669</v>
      </c>
      <c r="L83" s="466">
        <v>24669</v>
      </c>
    </row>
    <row r="84" spans="1:12" ht="13.5" thickBot="1" x14ac:dyDescent="0.25">
      <c r="A84" s="1668" t="s">
        <v>1484</v>
      </c>
      <c r="B84" s="1678">
        <v>4100</v>
      </c>
      <c r="C84" s="616"/>
      <c r="D84" s="616"/>
      <c r="E84" s="1670">
        <f>SUM(E78:E83)</f>
        <v>20721</v>
      </c>
      <c r="F84" s="616"/>
      <c r="G84" s="616"/>
      <c r="H84" s="1670">
        <f>SUM(H78:H83)</f>
        <v>4645</v>
      </c>
      <c r="I84" s="477"/>
      <c r="J84" s="477"/>
      <c r="K84" s="1670">
        <f>SUM(K78:K83)</f>
        <v>25366</v>
      </c>
      <c r="L84" s="1670">
        <f>SUM(L78:L83)</f>
        <v>25366</v>
      </c>
    </row>
    <row r="85" spans="1:12" ht="12.75" customHeight="1" thickTop="1" thickBot="1" x14ac:dyDescent="0.25">
      <c r="A85" s="1511" t="s">
        <v>255</v>
      </c>
      <c r="B85" s="635">
        <v>4210</v>
      </c>
      <c r="C85" s="616"/>
      <c r="D85" s="616"/>
      <c r="E85" s="636"/>
      <c r="F85" s="616"/>
      <c r="G85" s="616"/>
      <c r="H85" s="535">
        <v>4311</v>
      </c>
      <c r="I85" s="477"/>
      <c r="J85" s="477"/>
      <c r="K85" s="1677">
        <f>H85</f>
        <v>4311</v>
      </c>
      <c r="L85" s="530">
        <v>4311</v>
      </c>
    </row>
    <row r="86" spans="1:12" ht="12.75" customHeight="1" thickTop="1" thickBot="1" x14ac:dyDescent="0.25">
      <c r="A86" s="1512" t="s">
        <v>698</v>
      </c>
      <c r="B86" s="637">
        <v>4220</v>
      </c>
      <c r="C86" s="616"/>
      <c r="D86" s="616"/>
      <c r="E86" s="638"/>
      <c r="F86" s="616"/>
      <c r="G86" s="616"/>
      <c r="H86" s="467">
        <v>212022</v>
      </c>
      <c r="I86" s="477"/>
      <c r="J86" s="477"/>
      <c r="K86" s="1677">
        <f t="shared" ref="K86:K98" si="12">H86</f>
        <v>212022</v>
      </c>
      <c r="L86" s="530">
        <v>212022</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v>8359</v>
      </c>
      <c r="I91" s="477"/>
      <c r="J91" s="477"/>
      <c r="K91" s="1677">
        <f t="shared" si="12"/>
        <v>8359</v>
      </c>
      <c r="L91" s="530">
        <v>8359</v>
      </c>
    </row>
    <row r="92" spans="1:12" ht="14.25" thickTop="1" thickBot="1" x14ac:dyDescent="0.25">
      <c r="A92" s="1680" t="s">
        <v>1559</v>
      </c>
      <c r="B92" s="1678">
        <v>4200</v>
      </c>
      <c r="C92" s="616"/>
      <c r="D92" s="616"/>
      <c r="E92" s="638"/>
      <c r="F92" s="616"/>
      <c r="G92" s="616"/>
      <c r="H92" s="1670">
        <f>SUM(H85:H91)</f>
        <v>224692</v>
      </c>
      <c r="I92" s="477"/>
      <c r="J92" s="477"/>
      <c r="K92" s="1677">
        <f t="shared" si="12"/>
        <v>224692</v>
      </c>
      <c r="L92" s="1670">
        <f>SUM(L85:L91)</f>
        <v>224692</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20721</v>
      </c>
      <c r="F102" s="616"/>
      <c r="G102" s="616"/>
      <c r="H102" s="1677">
        <f>SUM(H84,H92,H100,H101)</f>
        <v>229337</v>
      </c>
      <c r="I102" s="477"/>
      <c r="J102" s="477"/>
      <c r="K102" s="1677">
        <f>SUM(K84,K92,K100,K101)</f>
        <v>250058</v>
      </c>
      <c r="L102" s="1677">
        <f>SUM(L84,L92,L100,L101)</f>
        <v>250058</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4352594</v>
      </c>
      <c r="D114" s="1670">
        <f t="shared" ref="D114:K114" si="13">SUM(D33,D74,D75,D102,D112,D113)</f>
        <v>735527</v>
      </c>
      <c r="E114" s="1670">
        <f t="shared" si="13"/>
        <v>215524</v>
      </c>
      <c r="F114" s="1670">
        <f t="shared" si="13"/>
        <v>389220</v>
      </c>
      <c r="G114" s="1670">
        <f t="shared" si="13"/>
        <v>99453</v>
      </c>
      <c r="H114" s="1670">
        <f>SUM(H33,H74,H75,H102,H112,H113)</f>
        <v>263473</v>
      </c>
      <c r="I114" s="1670">
        <f t="shared" si="13"/>
        <v>0</v>
      </c>
      <c r="J114" s="1670">
        <f t="shared" si="13"/>
        <v>0</v>
      </c>
      <c r="K114" s="1670">
        <f t="shared" si="13"/>
        <v>6055791</v>
      </c>
      <c r="L114" s="1670">
        <f>SUM(L33,L74,L75,L102,L112,L113)</f>
        <v>6073581</v>
      </c>
    </row>
    <row r="115" spans="1:14" ht="13.5" thickTop="1" x14ac:dyDescent="0.2">
      <c r="A115" s="2180" t="s">
        <v>995</v>
      </c>
      <c r="B115" s="2181"/>
      <c r="C115" s="618"/>
      <c r="D115" s="618"/>
      <c r="E115" s="618"/>
      <c r="F115" s="618"/>
      <c r="G115" s="618"/>
      <c r="H115" s="618"/>
      <c r="I115" s="618"/>
      <c r="J115" s="618"/>
      <c r="K115" s="1684">
        <f>'Revenues 9-14'!C268-'Expenditures 15-22'!K114</f>
        <v>86390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295</v>
      </c>
      <c r="B117" s="2159"/>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2057</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30510</v>
      </c>
      <c r="H123" s="466"/>
      <c r="I123" s="467"/>
      <c r="J123" s="467"/>
      <c r="K123" s="1670">
        <f>SUM(C123:J123)</f>
        <v>30510</v>
      </c>
      <c r="L123" s="466">
        <v>32650</v>
      </c>
    </row>
    <row r="124" spans="1:14" ht="14.25" thickTop="1" thickBot="1" x14ac:dyDescent="0.25">
      <c r="A124" s="1504" t="s">
        <v>197</v>
      </c>
      <c r="B124" s="614">
        <v>2540</v>
      </c>
      <c r="C124" s="466">
        <v>323572</v>
      </c>
      <c r="D124" s="466">
        <v>29532</v>
      </c>
      <c r="E124" s="466">
        <v>119865</v>
      </c>
      <c r="F124" s="466">
        <v>444659</v>
      </c>
      <c r="G124" s="466">
        <v>131311</v>
      </c>
      <c r="H124" s="466"/>
      <c r="I124" s="467"/>
      <c r="J124" s="467"/>
      <c r="K124" s="1670">
        <f>SUM(C124:J124)</f>
        <v>1048939</v>
      </c>
      <c r="L124" s="466">
        <v>1064483</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323572</v>
      </c>
      <c r="D127" s="1670">
        <f t="shared" ref="D127:L127" si="14">SUM(D122:D126)</f>
        <v>29532</v>
      </c>
      <c r="E127" s="1670">
        <f t="shared" si="14"/>
        <v>119865</v>
      </c>
      <c r="F127" s="1670">
        <f t="shared" si="14"/>
        <v>444659</v>
      </c>
      <c r="G127" s="1670">
        <f t="shared" si="14"/>
        <v>161821</v>
      </c>
      <c r="H127" s="1670">
        <f t="shared" si="14"/>
        <v>0</v>
      </c>
      <c r="I127" s="1670">
        <f t="shared" si="14"/>
        <v>0</v>
      </c>
      <c r="J127" s="1670">
        <f t="shared" si="14"/>
        <v>0</v>
      </c>
      <c r="K127" s="1670">
        <f t="shared" si="14"/>
        <v>1079449</v>
      </c>
      <c r="L127" s="1670">
        <f t="shared" si="14"/>
        <v>1097133</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323572</v>
      </c>
      <c r="D129" s="1677">
        <f t="shared" ref="D129:L129" si="15">SUM(D120,D127,D128)</f>
        <v>29532</v>
      </c>
      <c r="E129" s="1677">
        <f t="shared" si="15"/>
        <v>119865</v>
      </c>
      <c r="F129" s="1677">
        <f t="shared" si="15"/>
        <v>444659</v>
      </c>
      <c r="G129" s="1677">
        <f t="shared" si="15"/>
        <v>161821</v>
      </c>
      <c r="H129" s="1677">
        <f t="shared" si="15"/>
        <v>0</v>
      </c>
      <c r="I129" s="1677">
        <f t="shared" si="15"/>
        <v>0</v>
      </c>
      <c r="J129" s="1677">
        <f t="shared" si="15"/>
        <v>0</v>
      </c>
      <c r="K129" s="1677">
        <f t="shared" si="15"/>
        <v>1079449</v>
      </c>
      <c r="L129" s="1677">
        <f t="shared" si="15"/>
        <v>1097133</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1843</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0" t="s">
        <v>619</v>
      </c>
      <c r="B151" s="2152"/>
      <c r="C151" s="1670">
        <f>SUM(C129,C130,C139,C149,C150)</f>
        <v>323572</v>
      </c>
      <c r="D151" s="1670">
        <f t="shared" ref="D151:K151" si="16">SUM(D129,D130,D139,D149,D150)</f>
        <v>29532</v>
      </c>
      <c r="E151" s="1670">
        <f t="shared" si="16"/>
        <v>119865</v>
      </c>
      <c r="F151" s="1670">
        <f t="shared" si="16"/>
        <v>444659</v>
      </c>
      <c r="G151" s="1670">
        <f t="shared" si="16"/>
        <v>161821</v>
      </c>
      <c r="H151" s="1670">
        <f t="shared" si="16"/>
        <v>0</v>
      </c>
      <c r="I151" s="1670">
        <f t="shared" si="16"/>
        <v>0</v>
      </c>
      <c r="J151" s="1670">
        <f t="shared" si="16"/>
        <v>0</v>
      </c>
      <c r="K151" s="1670">
        <f t="shared" si="16"/>
        <v>1079449</v>
      </c>
      <c r="L151" s="1670">
        <f>SUM(L129,L130,L139,L149,L150)</f>
        <v>1097133</v>
      </c>
    </row>
    <row r="152" spans="1:14" ht="12.75" customHeight="1" thickTop="1" x14ac:dyDescent="0.2">
      <c r="A152" s="2173" t="s">
        <v>1177</v>
      </c>
      <c r="B152" s="2174"/>
      <c r="C152" s="618"/>
      <c r="D152" s="618"/>
      <c r="E152" s="618"/>
      <c r="F152" s="618"/>
      <c r="G152" s="618"/>
      <c r="H152" s="618"/>
      <c r="I152" s="618"/>
      <c r="J152" s="616"/>
      <c r="K152" s="1684">
        <f>'Revenues 9-14'!D268-'Expenditures 15-22'!K151</f>
        <v>42545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620</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165910</v>
      </c>
      <c r="I169" s="616"/>
      <c r="J169" s="616"/>
      <c r="K169" s="1671">
        <f>SUM(C169:H169)</f>
        <v>165910</v>
      </c>
      <c r="L169" s="656">
        <v>165911</v>
      </c>
    </row>
    <row r="170" spans="1:14" ht="33.75" customHeight="1" x14ac:dyDescent="0.2">
      <c r="A170" s="669" t="s">
        <v>1669</v>
      </c>
      <c r="B170" s="671" t="s">
        <v>31</v>
      </c>
      <c r="C170" s="616"/>
      <c r="D170" s="616"/>
      <c r="E170" s="616"/>
      <c r="F170" s="616"/>
      <c r="G170" s="616"/>
      <c r="H170" s="569">
        <v>585904</v>
      </c>
      <c r="I170" s="616"/>
      <c r="J170" s="616"/>
      <c r="K170" s="1671">
        <f>SUM(C170:J170)</f>
        <v>585904</v>
      </c>
      <c r="L170" s="569">
        <v>585902</v>
      </c>
    </row>
    <row r="171" spans="1:14" ht="15.75" customHeight="1" x14ac:dyDescent="0.2">
      <c r="A171" s="621" t="s">
        <v>765</v>
      </c>
      <c r="B171" s="672" t="s">
        <v>84</v>
      </c>
      <c r="C171" s="616"/>
      <c r="D171" s="616"/>
      <c r="E171" s="466"/>
      <c r="F171" s="616"/>
      <c r="G171" s="616"/>
      <c r="H171" s="569">
        <v>1400</v>
      </c>
      <c r="I171" s="477"/>
      <c r="J171" s="616"/>
      <c r="K171" s="1671">
        <f>SUM(C171:J171)</f>
        <v>1400</v>
      </c>
      <c r="L171" s="569">
        <v>1400</v>
      </c>
    </row>
    <row r="172" spans="1:14" ht="12.75" customHeight="1" thickBot="1" x14ac:dyDescent="0.25">
      <c r="A172" s="1668" t="s">
        <v>637</v>
      </c>
      <c r="B172" s="1669" t="s">
        <v>491</v>
      </c>
      <c r="C172" s="616"/>
      <c r="D172" s="616"/>
      <c r="E172" s="1677">
        <f>SUM(E168,E169,E170,E171)</f>
        <v>0</v>
      </c>
      <c r="F172" s="616"/>
      <c r="G172" s="616"/>
      <c r="H172" s="1677">
        <f>SUM(H168,H169,H170,H171)</f>
        <v>753214</v>
      </c>
      <c r="I172" s="638"/>
      <c r="J172" s="616"/>
      <c r="K172" s="1677">
        <f>SUM(K168,K169,K170,K171)</f>
        <v>753214</v>
      </c>
      <c r="L172" s="1677">
        <f>SUM(L168,L169,L170,L171)</f>
        <v>753213</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753214</v>
      </c>
      <c r="I174" s="638"/>
      <c r="J174" s="616"/>
      <c r="K174" s="1677">
        <f>SUM(K160,K172,K173)</f>
        <v>753214</v>
      </c>
      <c r="L174" s="1677">
        <f>SUM(L160,L172,L173)</f>
        <v>753213</v>
      </c>
    </row>
    <row r="175" spans="1:14" ht="13.5" thickTop="1" x14ac:dyDescent="0.2">
      <c r="A175" s="2180" t="s">
        <v>995</v>
      </c>
      <c r="B175" s="2181"/>
      <c r="C175" s="616"/>
      <c r="D175" s="616"/>
      <c r="E175" s="616"/>
      <c r="F175" s="616"/>
      <c r="G175" s="616"/>
      <c r="H175" s="618"/>
      <c r="I175" s="616"/>
      <c r="J175" s="616"/>
      <c r="K175" s="1684">
        <f>'Revenues 9-14'!E268-'Expenditures 15-22'!K174</f>
        <v>-507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2057</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323872</v>
      </c>
      <c r="D182" s="466">
        <v>36767</v>
      </c>
      <c r="E182" s="466">
        <v>21466</v>
      </c>
      <c r="F182" s="466">
        <v>83239</v>
      </c>
      <c r="G182" s="466">
        <v>155312</v>
      </c>
      <c r="H182" s="466">
        <v>125315</v>
      </c>
      <c r="I182" s="467"/>
      <c r="J182" s="467"/>
      <c r="K182" s="1671">
        <f>SUM(C182:J182)</f>
        <v>745971</v>
      </c>
      <c r="L182" s="466">
        <v>585427</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323872</v>
      </c>
      <c r="D184" s="1677">
        <f t="shared" ref="D184:J184" si="17">SUM(D180,D182,D183)</f>
        <v>36767</v>
      </c>
      <c r="E184" s="1677">
        <f t="shared" si="17"/>
        <v>21466</v>
      </c>
      <c r="F184" s="1677">
        <f t="shared" si="17"/>
        <v>83239</v>
      </c>
      <c r="G184" s="1677">
        <f t="shared" si="17"/>
        <v>155312</v>
      </c>
      <c r="H184" s="1677">
        <f t="shared" si="17"/>
        <v>125315</v>
      </c>
      <c r="I184" s="1677">
        <f t="shared" si="17"/>
        <v>0</v>
      </c>
      <c r="J184" s="1677">
        <f t="shared" si="17"/>
        <v>0</v>
      </c>
      <c r="K184" s="1677">
        <f>SUM(K180,K182,K183)</f>
        <v>745971</v>
      </c>
      <c r="L184" s="1677">
        <f>SUM(L180, L182:L183)</f>
        <v>585427</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626</v>
      </c>
      <c r="I205" s="616"/>
      <c r="J205" s="616"/>
      <c r="K205" s="1685">
        <f>SUM(H205)</f>
        <v>626</v>
      </c>
      <c r="L205" s="535">
        <v>624</v>
      </c>
    </row>
    <row r="206" spans="1:14" ht="30" customHeight="1" x14ac:dyDescent="0.2">
      <c r="A206" s="681" t="s">
        <v>1670</v>
      </c>
      <c r="B206" s="672" t="s">
        <v>31</v>
      </c>
      <c r="C206" s="616"/>
      <c r="D206" s="616"/>
      <c r="E206" s="616"/>
      <c r="F206" s="616"/>
      <c r="G206" s="616"/>
      <c r="H206" s="466">
        <v>53298</v>
      </c>
      <c r="I206" s="616"/>
      <c r="J206" s="616"/>
      <c r="K206" s="1671">
        <f>SUM(H206)</f>
        <v>53298</v>
      </c>
      <c r="L206" s="466">
        <v>53298</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53924</v>
      </c>
      <c r="I208" s="616"/>
      <c r="J208" s="616"/>
      <c r="K208" s="1677">
        <f>SUM(K204,K205,K206,K207)</f>
        <v>53924</v>
      </c>
      <c r="L208" s="1677">
        <f>SUM(L204,L205,L206,L207)</f>
        <v>53922</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323872</v>
      </c>
      <c r="D210" s="1670">
        <f>SUM(D184,D185)</f>
        <v>36767</v>
      </c>
      <c r="E210" s="1670">
        <f>SUM(E184,E185,E196)</f>
        <v>21466</v>
      </c>
      <c r="F210" s="1670">
        <f>SUM(F184,F185)</f>
        <v>83239</v>
      </c>
      <c r="G210" s="1670">
        <f>SUM(G184,G185)</f>
        <v>155312</v>
      </c>
      <c r="H210" s="1670">
        <f>SUM(H184,H185,H196,H208,H209)</f>
        <v>179239</v>
      </c>
      <c r="I210" s="1670">
        <f>SUM(I184,I185)</f>
        <v>0</v>
      </c>
      <c r="J210" s="1670">
        <f>SUM(J184,J185)</f>
        <v>0</v>
      </c>
      <c r="K210" s="1671">
        <f>SUM(K184,K185,K196,K208,K209)</f>
        <v>799895</v>
      </c>
      <c r="L210" s="1670">
        <f>SUM(L184,L185,L196,L208,L209)</f>
        <v>639349</v>
      </c>
    </row>
    <row r="211" spans="1:14" ht="13.5" thickTop="1" x14ac:dyDescent="0.2">
      <c r="A211" s="2180" t="s">
        <v>995</v>
      </c>
      <c r="B211" s="2181"/>
      <c r="C211" s="618"/>
      <c r="D211" s="618"/>
      <c r="E211" s="618"/>
      <c r="F211" s="618"/>
      <c r="G211" s="618"/>
      <c r="H211" s="618"/>
      <c r="I211" s="616"/>
      <c r="J211" s="616"/>
      <c r="K211" s="1684">
        <f>'Revenues 9-14'!F268-'Expenditures 15-22'!K210</f>
        <v>-125254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964</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36538</v>
      </c>
      <c r="E215" s="616"/>
      <c r="F215" s="616"/>
      <c r="G215" s="616"/>
      <c r="H215" s="616"/>
      <c r="I215" s="616"/>
      <c r="J215" s="616"/>
      <c r="K215" s="1671">
        <f>D215</f>
        <v>36538</v>
      </c>
      <c r="L215" s="466">
        <v>40678</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25700</v>
      </c>
      <c r="E217" s="616"/>
      <c r="F217" s="616"/>
      <c r="G217" s="616"/>
      <c r="H217" s="616"/>
      <c r="I217" s="616"/>
      <c r="J217" s="616"/>
      <c r="K217" s="1671">
        <f t="shared" si="19"/>
        <v>25700</v>
      </c>
      <c r="L217" s="466">
        <v>28972</v>
      </c>
    </row>
    <row r="218" spans="1:14" x14ac:dyDescent="0.2">
      <c r="A218" s="1504" t="s">
        <v>277</v>
      </c>
      <c r="B218" s="614" t="s">
        <v>967</v>
      </c>
      <c r="C218" s="616"/>
      <c r="D218" s="467">
        <v>1857</v>
      </c>
      <c r="E218" s="616"/>
      <c r="F218" s="616"/>
      <c r="G218" s="616"/>
      <c r="H218" s="616"/>
      <c r="I218" s="616"/>
      <c r="J218" s="616"/>
      <c r="K218" s="1671">
        <f t="shared" si="19"/>
        <v>1857</v>
      </c>
      <c r="L218" s="466">
        <v>2280</v>
      </c>
    </row>
    <row r="219" spans="1:14" x14ac:dyDescent="0.2">
      <c r="A219" s="1504" t="s">
        <v>278</v>
      </c>
      <c r="B219" s="614">
        <v>1250</v>
      </c>
      <c r="C219" s="616"/>
      <c r="D219" s="466">
        <v>17558</v>
      </c>
      <c r="E219" s="616"/>
      <c r="F219" s="616"/>
      <c r="G219" s="616"/>
      <c r="H219" s="616"/>
      <c r="I219" s="616"/>
      <c r="J219" s="616"/>
      <c r="K219" s="1671">
        <f t="shared" si="19"/>
        <v>17558</v>
      </c>
      <c r="L219" s="466">
        <v>21697</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8002</v>
      </c>
      <c r="E222" s="616"/>
      <c r="F222" s="616"/>
      <c r="G222" s="616"/>
      <c r="H222" s="616"/>
      <c r="I222" s="616"/>
      <c r="J222" s="616"/>
      <c r="K222" s="1671">
        <f t="shared" si="19"/>
        <v>8002</v>
      </c>
      <c r="L222" s="466">
        <v>8400</v>
      </c>
    </row>
    <row r="223" spans="1:14" x14ac:dyDescent="0.2">
      <c r="A223" s="1504" t="s">
        <v>962</v>
      </c>
      <c r="B223" s="614">
        <v>1500</v>
      </c>
      <c r="C223" s="616"/>
      <c r="D223" s="466">
        <v>6673</v>
      </c>
      <c r="E223" s="616"/>
      <c r="F223" s="616"/>
      <c r="G223" s="616"/>
      <c r="H223" s="616"/>
      <c r="I223" s="616"/>
      <c r="J223" s="616"/>
      <c r="K223" s="1671">
        <f t="shared" si="19"/>
        <v>6673</v>
      </c>
      <c r="L223" s="466">
        <v>6640</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99</v>
      </c>
      <c r="E226" s="616"/>
      <c r="F226" s="616"/>
      <c r="G226" s="616"/>
      <c r="H226" s="616"/>
      <c r="I226" s="616"/>
      <c r="J226" s="616"/>
      <c r="K226" s="1671">
        <f t="shared" si="19"/>
        <v>99</v>
      </c>
      <c r="L226" s="466">
        <v>100</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96427</v>
      </c>
      <c r="E229" s="616"/>
      <c r="F229" s="616"/>
      <c r="G229" s="616"/>
      <c r="H229" s="616"/>
      <c r="I229" s="616"/>
      <c r="J229" s="616"/>
      <c r="K229" s="1670">
        <f>SUM(K215:K228)</f>
        <v>96427</v>
      </c>
      <c r="L229" s="1670">
        <f>SUM(L215:L228)</f>
        <v>108767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c r="E232" s="616"/>
      <c r="F232" s="616"/>
      <c r="G232" s="616"/>
      <c r="H232" s="616"/>
      <c r="I232" s="616"/>
      <c r="J232" s="616"/>
      <c r="K232" s="1671">
        <f t="shared" ref="K232:K237" si="20">D232</f>
        <v>0</v>
      </c>
      <c r="L232" s="466"/>
    </row>
    <row r="233" spans="1:12" x14ac:dyDescent="0.2">
      <c r="A233" s="1504" t="s">
        <v>1089</v>
      </c>
      <c r="B233" s="614">
        <v>2120</v>
      </c>
      <c r="C233" s="616"/>
      <c r="D233" s="466">
        <v>1472</v>
      </c>
      <c r="E233" s="616"/>
      <c r="F233" s="616"/>
      <c r="G233" s="616"/>
      <c r="H233" s="616"/>
      <c r="I233" s="616"/>
      <c r="J233" s="616"/>
      <c r="K233" s="1671">
        <f t="shared" si="20"/>
        <v>1472</v>
      </c>
      <c r="L233" s="466">
        <v>1407</v>
      </c>
    </row>
    <row r="234" spans="1:12" x14ac:dyDescent="0.2">
      <c r="A234" s="1504" t="s">
        <v>198</v>
      </c>
      <c r="B234" s="614">
        <v>2130</v>
      </c>
      <c r="C234" s="616"/>
      <c r="D234" s="466">
        <v>2079</v>
      </c>
      <c r="E234" s="616"/>
      <c r="F234" s="616"/>
      <c r="G234" s="616"/>
      <c r="H234" s="616"/>
      <c r="I234" s="616"/>
      <c r="J234" s="616"/>
      <c r="K234" s="1671">
        <f t="shared" si="20"/>
        <v>2079</v>
      </c>
      <c r="L234" s="466">
        <v>2401</v>
      </c>
    </row>
    <row r="235" spans="1:12" x14ac:dyDescent="0.2">
      <c r="A235" s="1504" t="s">
        <v>199</v>
      </c>
      <c r="B235" s="614">
        <v>2140</v>
      </c>
      <c r="C235" s="616"/>
      <c r="D235" s="466">
        <v>794</v>
      </c>
      <c r="E235" s="616"/>
      <c r="F235" s="616"/>
      <c r="G235" s="616"/>
      <c r="H235" s="616"/>
      <c r="I235" s="616"/>
      <c r="J235" s="616"/>
      <c r="K235" s="1671">
        <f t="shared" si="20"/>
        <v>794</v>
      </c>
      <c r="L235" s="466">
        <v>800</v>
      </c>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620</v>
      </c>
      <c r="E237" s="616"/>
      <c r="F237" s="616"/>
      <c r="G237" s="616"/>
      <c r="H237" s="616"/>
      <c r="I237" s="616"/>
      <c r="J237" s="616"/>
      <c r="K237" s="1671">
        <f t="shared" si="20"/>
        <v>620</v>
      </c>
      <c r="L237" s="466">
        <v>652</v>
      </c>
    </row>
    <row r="238" spans="1:12" ht="12.75" customHeight="1" thickBot="1" x14ac:dyDescent="0.25">
      <c r="A238" s="1668" t="s">
        <v>559</v>
      </c>
      <c r="B238" s="1675" t="s">
        <v>715</v>
      </c>
      <c r="C238" s="616"/>
      <c r="D238" s="1670">
        <f>SUM(D232:D237)</f>
        <v>4965</v>
      </c>
      <c r="E238" s="616"/>
      <c r="F238" s="616"/>
      <c r="G238" s="616"/>
      <c r="H238" s="616"/>
      <c r="I238" s="616"/>
      <c r="J238" s="616"/>
      <c r="K238" s="1670">
        <f>SUM(K232:K237)</f>
        <v>4965</v>
      </c>
      <c r="L238" s="1670">
        <f>SUM(L232:L237)</f>
        <v>5260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3484</v>
      </c>
      <c r="E240" s="616"/>
      <c r="F240" s="616"/>
      <c r="G240" s="616"/>
      <c r="H240" s="616"/>
      <c r="I240" s="616"/>
      <c r="J240" s="616"/>
      <c r="K240" s="1672">
        <f>D240</f>
        <v>3484</v>
      </c>
      <c r="L240" s="481">
        <v>4218</v>
      </c>
    </row>
    <row r="241" spans="1:12" x14ac:dyDescent="0.2">
      <c r="A241" s="1504" t="s">
        <v>814</v>
      </c>
      <c r="B241" s="614">
        <v>2220</v>
      </c>
      <c r="C241" s="616"/>
      <c r="D241" s="466">
        <v>24525</v>
      </c>
      <c r="E241" s="616"/>
      <c r="F241" s="616"/>
      <c r="G241" s="616"/>
      <c r="H241" s="616"/>
      <c r="I241" s="616"/>
      <c r="J241" s="616"/>
      <c r="K241" s="1672">
        <f>D241</f>
        <v>24525</v>
      </c>
      <c r="L241" s="466">
        <v>24519</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28009</v>
      </c>
      <c r="E243" s="616"/>
      <c r="F243" s="616"/>
      <c r="G243" s="616"/>
      <c r="H243" s="616"/>
      <c r="I243" s="616"/>
      <c r="J243" s="616"/>
      <c r="K243" s="1670">
        <f>SUM(K240:K242)</f>
        <v>28009</v>
      </c>
      <c r="L243" s="1670">
        <f>SUM(L240:L242)</f>
        <v>28737</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1560</v>
      </c>
      <c r="E246" s="616"/>
      <c r="F246" s="616"/>
      <c r="G246" s="616"/>
      <c r="H246" s="616"/>
      <c r="I246" s="616"/>
      <c r="J246" s="616"/>
      <c r="K246" s="1672">
        <f t="shared" ref="K246:K256" si="21">D246</f>
        <v>1560</v>
      </c>
      <c r="L246" s="466">
        <v>1615</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v>37018</v>
      </c>
      <c r="E252" s="616"/>
      <c r="F252" s="616"/>
      <c r="G252" s="616"/>
      <c r="H252" s="616"/>
      <c r="I252" s="616"/>
      <c r="J252" s="616"/>
      <c r="K252" s="1672">
        <f t="shared" si="21"/>
        <v>37018</v>
      </c>
      <c r="L252" s="466">
        <v>43800</v>
      </c>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38578</v>
      </c>
      <c r="E257" s="616"/>
      <c r="F257" s="616"/>
      <c r="G257" s="616"/>
      <c r="H257" s="616"/>
      <c r="I257" s="616"/>
      <c r="J257" s="616"/>
      <c r="K257" s="1670">
        <f>SUM(K245:K256)</f>
        <v>38578</v>
      </c>
      <c r="L257" s="1670">
        <f>SUM(L245:L256)</f>
        <v>45415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31399</v>
      </c>
      <c r="E259" s="616"/>
      <c r="F259" s="616"/>
      <c r="G259" s="616"/>
      <c r="H259" s="616"/>
      <c r="I259" s="616"/>
      <c r="J259" s="616"/>
      <c r="K259" s="1672">
        <f>D259</f>
        <v>31399</v>
      </c>
      <c r="L259" s="481">
        <v>32381</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31399</v>
      </c>
      <c r="E261" s="616"/>
      <c r="F261" s="616"/>
      <c r="G261" s="616"/>
      <c r="H261" s="616"/>
      <c r="I261" s="616"/>
      <c r="J261" s="616"/>
      <c r="K261" s="1670">
        <f>SUM(K259:K260)</f>
        <v>31399</v>
      </c>
      <c r="L261" s="1670">
        <f>SUM(L259:L260)</f>
        <v>32381</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10916</v>
      </c>
      <c r="E264" s="616"/>
      <c r="F264" s="616"/>
      <c r="G264" s="616"/>
      <c r="H264" s="616"/>
      <c r="I264" s="616"/>
      <c r="J264" s="616"/>
      <c r="K264" s="1672">
        <f t="shared" ref="K264:K269" si="22">D264</f>
        <v>10916</v>
      </c>
      <c r="L264" s="466">
        <v>11400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52942</v>
      </c>
      <c r="E266" s="616"/>
      <c r="F266" s="616"/>
      <c r="G266" s="616"/>
      <c r="H266" s="616"/>
      <c r="I266" s="616"/>
      <c r="J266" s="616"/>
      <c r="K266" s="1672">
        <f t="shared" si="22"/>
        <v>52942</v>
      </c>
      <c r="L266" s="466">
        <v>56777</v>
      </c>
    </row>
    <row r="267" spans="1:14" x14ac:dyDescent="0.2">
      <c r="A267" s="1504" t="s">
        <v>952</v>
      </c>
      <c r="B267" s="614">
        <v>2550</v>
      </c>
      <c r="C267" s="616"/>
      <c r="D267" s="466">
        <v>53676</v>
      </c>
      <c r="E267" s="616"/>
      <c r="F267" s="616"/>
      <c r="G267" s="616"/>
      <c r="H267" s="616"/>
      <c r="I267" s="616"/>
      <c r="J267" s="616"/>
      <c r="K267" s="1672">
        <f t="shared" si="22"/>
        <v>53676</v>
      </c>
      <c r="L267" s="466">
        <v>53752</v>
      </c>
    </row>
    <row r="268" spans="1:14" x14ac:dyDescent="0.2">
      <c r="A268" s="1504" t="s">
        <v>100</v>
      </c>
      <c r="B268" s="614">
        <v>2560</v>
      </c>
      <c r="C268" s="616"/>
      <c r="D268" s="466">
        <v>21388</v>
      </c>
      <c r="E268" s="616"/>
      <c r="F268" s="616"/>
      <c r="G268" s="616"/>
      <c r="H268" s="616"/>
      <c r="I268" s="616"/>
      <c r="J268" s="616"/>
      <c r="K268" s="1672">
        <f t="shared" si="22"/>
        <v>21388</v>
      </c>
      <c r="L268" s="466">
        <v>21447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138922</v>
      </c>
      <c r="E270" s="616"/>
      <c r="F270" s="616"/>
      <c r="G270" s="616"/>
      <c r="H270" s="616"/>
      <c r="I270" s="616"/>
      <c r="J270" s="616"/>
      <c r="K270" s="1670">
        <f>SUM(K263:K269)</f>
        <v>138922</v>
      </c>
      <c r="L270" s="1670">
        <f>SUM(L263:L269)</f>
        <v>143376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241873</v>
      </c>
      <c r="E279" s="616"/>
      <c r="F279" s="616"/>
      <c r="G279" s="616"/>
      <c r="H279" s="616"/>
      <c r="I279" s="616"/>
      <c r="J279" s="616"/>
      <c r="K279" s="1677">
        <f>SUM(K238,K243,K257,K261,K270,K277,K278)</f>
        <v>241873</v>
      </c>
      <c r="L279" s="1677">
        <f>SUM(L238,L243,L257,L261,L270,L277,L278)</f>
        <v>255169</v>
      </c>
    </row>
    <row r="280" spans="1:12" ht="15.75" customHeight="1" thickTop="1" thickBot="1" x14ac:dyDescent="0.25">
      <c r="A280" s="1624" t="s">
        <v>874</v>
      </c>
      <c r="B280" s="1613">
        <v>3000</v>
      </c>
      <c r="C280" s="616"/>
      <c r="D280" s="576">
        <v>827</v>
      </c>
      <c r="E280" s="616"/>
      <c r="F280" s="616"/>
      <c r="G280" s="616"/>
      <c r="H280" s="616"/>
      <c r="I280" s="616"/>
      <c r="J280" s="616"/>
      <c r="K280" s="1679">
        <f>D280</f>
        <v>827</v>
      </c>
      <c r="L280" s="576">
        <v>826</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1843</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1" t="s">
        <v>504</v>
      </c>
      <c r="B295" s="2172"/>
      <c r="C295" s="616"/>
      <c r="D295" s="1670">
        <f>SUM(D229,D279,D280,D285)</f>
        <v>339127</v>
      </c>
      <c r="E295" s="616"/>
      <c r="F295" s="616"/>
      <c r="G295" s="616"/>
      <c r="H295" s="1670">
        <f>H293</f>
        <v>0</v>
      </c>
      <c r="I295" s="616"/>
      <c r="J295" s="616"/>
      <c r="K295" s="1670">
        <f>SUM(K229,K279,K280,K285,K293,K294)</f>
        <v>339127</v>
      </c>
      <c r="L295" s="1670">
        <f>SUM(L229,L279,L280,L285,L293,L294)</f>
        <v>364762</v>
      </c>
    </row>
    <row r="296" spans="1:14" ht="13.5" thickTop="1" x14ac:dyDescent="0.2">
      <c r="A296" s="2180" t="s">
        <v>995</v>
      </c>
      <c r="B296" s="2181"/>
      <c r="C296" s="616"/>
      <c r="D296" s="618"/>
      <c r="E296" s="616"/>
      <c r="F296" s="616"/>
      <c r="G296" s="616"/>
      <c r="H296" s="687"/>
      <c r="I296" s="616"/>
      <c r="J296" s="616"/>
      <c r="K296" s="1684">
        <f>'Revenues 9-14'!G268-'Expenditures 15-22'!K295</f>
        <v>27448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10095</v>
      </c>
      <c r="F301" s="466"/>
      <c r="G301" s="466">
        <v>22421</v>
      </c>
      <c r="H301" s="466"/>
      <c r="I301" s="467"/>
      <c r="J301" s="467"/>
      <c r="K301" s="1671">
        <f>SUM(C301:J301)</f>
        <v>32516</v>
      </c>
      <c r="L301" s="467">
        <v>32516</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10095</v>
      </c>
      <c r="F303" s="1677">
        <f t="shared" si="23"/>
        <v>0</v>
      </c>
      <c r="G303" s="1677">
        <f t="shared" si="23"/>
        <v>22421</v>
      </c>
      <c r="H303" s="1677">
        <f t="shared" si="23"/>
        <v>0</v>
      </c>
      <c r="I303" s="1677">
        <f t="shared" si="23"/>
        <v>0</v>
      </c>
      <c r="J303" s="1677">
        <f t="shared" si="23"/>
        <v>0</v>
      </c>
      <c r="K303" s="1677">
        <f t="shared" si="23"/>
        <v>32516</v>
      </c>
      <c r="L303" s="1677">
        <f t="shared" si="23"/>
        <v>32516</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8" t="s">
        <v>276</v>
      </c>
      <c r="B312" s="2169"/>
      <c r="C312" s="1670">
        <f>SUM(C303)</f>
        <v>0</v>
      </c>
      <c r="D312" s="1670">
        <f>SUM(D303)</f>
        <v>0</v>
      </c>
      <c r="E312" s="1670">
        <f>SUM(E303,E310)</f>
        <v>10095</v>
      </c>
      <c r="F312" s="1670">
        <f>SUM(F303)</f>
        <v>0</v>
      </c>
      <c r="G312" s="1670">
        <f>SUM(G303)</f>
        <v>22421</v>
      </c>
      <c r="H312" s="1670">
        <f>SUM(H303,H310)</f>
        <v>0</v>
      </c>
      <c r="I312" s="1670">
        <f>SUM(I303)</f>
        <v>0</v>
      </c>
      <c r="J312" s="1670">
        <f>SUM(J303)</f>
        <v>0</v>
      </c>
      <c r="K312" s="1670">
        <f>SUM(K303,K310,K311)</f>
        <v>32516</v>
      </c>
      <c r="L312" s="1670">
        <f>SUM(L303,L310,L311)</f>
        <v>32516</v>
      </c>
      <c r="M312" s="665"/>
      <c r="N312" s="665"/>
    </row>
    <row r="313" spans="1:14" ht="13.5" thickTop="1" x14ac:dyDescent="0.2">
      <c r="A313" s="2164" t="s">
        <v>995</v>
      </c>
      <c r="B313" s="2165"/>
      <c r="C313" s="626"/>
      <c r="D313" s="626"/>
      <c r="E313" s="626"/>
      <c r="F313" s="626"/>
      <c r="G313" s="626"/>
      <c r="H313" s="626"/>
      <c r="I313" s="626"/>
      <c r="J313" s="626"/>
      <c r="K313" s="1685">
        <f>'Revenues 9-14'!H268-'Expenditures 15-22'!K312</f>
        <v>-172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897</v>
      </c>
      <c r="B317" s="2178"/>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35169</v>
      </c>
      <c r="F320" s="467"/>
      <c r="G320" s="467"/>
      <c r="H320" s="467"/>
      <c r="I320" s="467"/>
      <c r="J320" s="467"/>
      <c r="K320" s="1671">
        <f t="shared" ref="K320:K327" si="24">SUM(C320:J320)</f>
        <v>35169</v>
      </c>
      <c r="L320" s="467">
        <v>35169</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v>64050</v>
      </c>
      <c r="F322" s="467"/>
      <c r="G322" s="467"/>
      <c r="H322" s="467"/>
      <c r="I322" s="467"/>
      <c r="J322" s="467"/>
      <c r="K322" s="1671">
        <f t="shared" si="24"/>
        <v>64050</v>
      </c>
      <c r="L322" s="467">
        <v>64042</v>
      </c>
      <c r="M322" s="665"/>
      <c r="N322" s="665"/>
    </row>
    <row r="323" spans="1:14" s="674" customFormat="1" x14ac:dyDescent="0.2">
      <c r="A323" s="1519" t="s">
        <v>701</v>
      </c>
      <c r="B323" s="697" t="s">
        <v>284</v>
      </c>
      <c r="C323" s="467">
        <v>385710</v>
      </c>
      <c r="D323" s="467"/>
      <c r="E323" s="467">
        <v>10209</v>
      </c>
      <c r="F323" s="467"/>
      <c r="G323" s="467"/>
      <c r="H323" s="467"/>
      <c r="I323" s="467"/>
      <c r="J323" s="467"/>
      <c r="K323" s="1671">
        <f t="shared" si="24"/>
        <v>395919</v>
      </c>
      <c r="L323" s="467">
        <v>395919</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23301</v>
      </c>
      <c r="F327" s="467"/>
      <c r="G327" s="467"/>
      <c r="H327" s="467"/>
      <c r="I327" s="467"/>
      <c r="J327" s="467"/>
      <c r="K327" s="1671">
        <f t="shared" si="24"/>
        <v>23301</v>
      </c>
      <c r="L327" s="467">
        <v>23301</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385710</v>
      </c>
      <c r="D330" s="1670">
        <f t="shared" ref="D330:J330" si="25">SUM(D319:D329)</f>
        <v>0</v>
      </c>
      <c r="E330" s="1670">
        <f t="shared" si="25"/>
        <v>132729</v>
      </c>
      <c r="F330" s="1670">
        <f t="shared" si="25"/>
        <v>0</v>
      </c>
      <c r="G330" s="1670">
        <f t="shared" si="25"/>
        <v>0</v>
      </c>
      <c r="H330" s="1670">
        <f t="shared" si="25"/>
        <v>0</v>
      </c>
      <c r="I330" s="1670">
        <f t="shared" si="25"/>
        <v>0</v>
      </c>
      <c r="J330" s="1670">
        <f t="shared" si="25"/>
        <v>0</v>
      </c>
      <c r="K330" s="1670">
        <f>SUM(K319:K329)</f>
        <v>518439</v>
      </c>
      <c r="L330" s="1670">
        <f>SUM(L319:L329)</f>
        <v>518431</v>
      </c>
      <c r="M330" s="665"/>
      <c r="N330" s="665"/>
    </row>
    <row r="331" spans="1:14" s="674" customFormat="1" ht="12.75" customHeight="1" thickTop="1" x14ac:dyDescent="0.2">
      <c r="A331" s="1831" t="s">
        <v>1849</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385710</v>
      </c>
      <c r="D342" s="1670">
        <f>SUM(D330)</f>
        <v>0</v>
      </c>
      <c r="E342" s="1670">
        <f>SUM(E330)</f>
        <v>132729</v>
      </c>
      <c r="F342" s="1670">
        <f>SUM(F330)</f>
        <v>0</v>
      </c>
      <c r="G342" s="1670">
        <f>SUM(G330)</f>
        <v>0</v>
      </c>
      <c r="H342" s="1670">
        <f>SUM(H330,H334,H340)</f>
        <v>0</v>
      </c>
      <c r="I342" s="1670">
        <f>SUM(I330)</f>
        <v>0</v>
      </c>
      <c r="J342" s="1670">
        <f>SUM(J330)</f>
        <v>0</v>
      </c>
      <c r="K342" s="1670">
        <f>SUM(K330,K334,K340)</f>
        <v>518439</v>
      </c>
      <c r="L342" s="1677">
        <f>SUM(L330,L340,L341)</f>
        <v>518431</v>
      </c>
    </row>
    <row r="343" spans="1:14" ht="12.75" customHeight="1" thickTop="1" x14ac:dyDescent="0.2">
      <c r="A343" s="2166" t="s">
        <v>995</v>
      </c>
      <c r="B343" s="2167"/>
      <c r="C343" s="616"/>
      <c r="D343" s="616"/>
      <c r="E343" s="616"/>
      <c r="F343" s="616"/>
      <c r="G343" s="616"/>
      <c r="H343" s="616"/>
      <c r="I343" s="616"/>
      <c r="J343" s="616"/>
      <c r="K343" s="1684">
        <f>'Revenues 9-14'!J268-'Expenditures 15-22'!K342</f>
        <v>-13820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965</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37539</v>
      </c>
      <c r="F349" s="466"/>
      <c r="G349" s="466"/>
      <c r="H349" s="466"/>
      <c r="I349" s="467"/>
      <c r="J349" s="467"/>
      <c r="K349" s="1671">
        <f>SUM(C349:J349)</f>
        <v>37539</v>
      </c>
      <c r="L349" s="466">
        <v>37539</v>
      </c>
    </row>
    <row r="350" spans="1:14" ht="12.75" customHeight="1" thickBot="1" x14ac:dyDescent="0.25">
      <c r="A350" s="1668" t="s">
        <v>718</v>
      </c>
      <c r="B350" s="1669" t="s">
        <v>35</v>
      </c>
      <c r="C350" s="1670">
        <f>SUM(C348:C349)</f>
        <v>0</v>
      </c>
      <c r="D350" s="1670">
        <f t="shared" ref="D350:L350" si="26">SUM(D348:D349)</f>
        <v>0</v>
      </c>
      <c r="E350" s="1670">
        <f t="shared" si="26"/>
        <v>37539</v>
      </c>
      <c r="F350" s="1670">
        <f t="shared" si="26"/>
        <v>0</v>
      </c>
      <c r="G350" s="1670">
        <f t="shared" si="26"/>
        <v>0</v>
      </c>
      <c r="H350" s="1670">
        <f t="shared" si="26"/>
        <v>0</v>
      </c>
      <c r="I350" s="1670">
        <f t="shared" si="26"/>
        <v>0</v>
      </c>
      <c r="J350" s="1670">
        <f t="shared" si="26"/>
        <v>0</v>
      </c>
      <c r="K350" s="1670">
        <f t="shared" si="26"/>
        <v>37539</v>
      </c>
      <c r="L350" s="1670">
        <f t="shared" si="26"/>
        <v>37539</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37539</v>
      </c>
      <c r="F352" s="1670">
        <f t="shared" si="27"/>
        <v>0</v>
      </c>
      <c r="G352" s="1670">
        <f t="shared" si="27"/>
        <v>0</v>
      </c>
      <c r="H352" s="1670">
        <f t="shared" si="27"/>
        <v>0</v>
      </c>
      <c r="I352" s="1670">
        <f t="shared" si="27"/>
        <v>0</v>
      </c>
      <c r="J352" s="1670">
        <f t="shared" si="27"/>
        <v>0</v>
      </c>
      <c r="K352" s="1670">
        <f t="shared" si="27"/>
        <v>37539</v>
      </c>
      <c r="L352" s="1670">
        <f t="shared" si="27"/>
        <v>37539</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37539</v>
      </c>
      <c r="F367" s="1670">
        <f t="shared" si="28"/>
        <v>0</v>
      </c>
      <c r="G367" s="1670">
        <f t="shared" si="28"/>
        <v>0</v>
      </c>
      <c r="H367" s="1670">
        <f t="shared" si="28"/>
        <v>0</v>
      </c>
      <c r="I367" s="1670">
        <f t="shared" si="28"/>
        <v>0</v>
      </c>
      <c r="J367" s="1670">
        <f t="shared" si="28"/>
        <v>0</v>
      </c>
      <c r="K367" s="1670">
        <f t="shared" si="28"/>
        <v>37539</v>
      </c>
      <c r="L367" s="1670">
        <f t="shared" si="28"/>
        <v>37539</v>
      </c>
    </row>
    <row r="368" spans="1:14" ht="13.5" thickTop="1" x14ac:dyDescent="0.2">
      <c r="A368" s="2180" t="s">
        <v>995</v>
      </c>
      <c r="B368" s="2181"/>
      <c r="C368" s="654"/>
      <c r="D368" s="654"/>
      <c r="E368" s="626"/>
      <c r="F368" s="626"/>
      <c r="G368" s="626"/>
      <c r="H368" s="626"/>
      <c r="I368" s="626"/>
      <c r="J368" s="623"/>
      <c r="K368" s="1671">
        <f>'Revenues 9-14'!K268-'Expenditures 15-22'!K367</f>
        <v>3224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schemas.openxmlformats.org/package/2006/metadata/core-properties"/>
    <ds:schemaRef ds:uri="http://purl.org/dc/terms/"/>
    <ds:schemaRef ds:uri="4d435f69-8686-490b-bd6d-b153bf22ab50"/>
    <ds:schemaRef ds:uri="http://purl.org/dc/elements/1.1/"/>
    <ds:schemaRef ds:uri="http://schemas.microsoft.com/office/2006/metadata/properties"/>
    <ds:schemaRef ds:uri="http://purl.org/dc/dcmitype/"/>
    <ds:schemaRef ds:uri="http://schemas.microsoft.com/sharepoint/v3"/>
    <ds:schemaRef ds:uri="http://schemas.microsoft.com/office/infopath/2007/PartnerControl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HOPKINS CONSTANCE</cp:lastModifiedBy>
  <cp:lastPrinted>2019-10-17T18:32:25Z</cp:lastPrinted>
  <dcterms:created xsi:type="dcterms:W3CDTF">2003-10-29T19:06:34Z</dcterms:created>
  <dcterms:modified xsi:type="dcterms:W3CDTF">2019-11-25T21:21:22Z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