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3)" sheetId="184" r:id="rId29"/>
    <sheet name=" SEFA" sheetId="179"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9">' SEFA'!$B$1:$M$46</definedName>
    <definedName name="_xlnm.Print_Area" localSheetId="27">' SEFA (2)'!$B$1:$M$46</definedName>
    <definedName name="_xlnm.Print_Area" localSheetId="28">'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9">#REF!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9">#REF!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9">#REF!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9">#REF!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7" i="184" l="1"/>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46" i="34" l="1"/>
  <c r="L342" i="29"/>
  <c r="I129" i="29"/>
  <c r="B7037" i="106" s="1"/>
  <c r="D7037" i="106" s="1"/>
  <c r="C342" i="29"/>
  <c r="B7216" i="106" s="1"/>
  <c r="D7216" i="106" s="1"/>
  <c r="H28" i="118"/>
  <c r="F77" i="4"/>
  <c r="B3255" i="106" s="1"/>
  <c r="D3255"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365" i="29" l="1"/>
  <c r="D7251" i="106"/>
  <c r="L16" i="11"/>
  <c r="B2061" i="106" s="1"/>
  <c r="D2061" i="106" s="1"/>
  <c r="B2031" i="106"/>
  <c r="D2031" i="106" s="1"/>
  <c r="N23" i="3"/>
  <c r="B284" i="106" s="1"/>
  <c r="D284" i="106" s="1"/>
  <c r="B5527" i="106"/>
  <c r="D5527"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<sst xmlns="http://schemas.openxmlformats.org/spreadsheetml/2006/main" count="5238" uniqueCount="2145">
  <si>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</si>
  <si>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</si>
  <si>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</si>
  <si>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</si>
  <si>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</si>
  <si>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</si>
  <si>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</si>
  <si>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</si>
  <si>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</si>
  <si>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</si>
  <si>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</si>
  <si>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</si>
  <si>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</si>
  <si>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</si>
  <si>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</si>
  <si>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</si>
  <si>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</si>
  <si>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</si>
  <si>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</si>
  <si>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</si>
  <si>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</si>
  <si>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</si>
  <si>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</si>
  <si>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</si>
  <si>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</si>
  <si>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</si>
  <si>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</si>
  <si>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</si>
  <si>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</si>
  <si>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</si>
  <si>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</si>
  <si>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</si>
  <si>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</si>
  <si>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</si>
  <si>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</si>
  <si>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</si>
  <si>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</si>
  <si>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</si>
  <si>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</si>
  <si>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</si>
  <si>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</si>
  <si>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</si>
  <si>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</si>
  <si>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</si>
  <si>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</si>
  <si>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</si>
  <si>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</si>
  <si>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</si>
  <si>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</si>
  <si>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</si>
  <si>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</si>
  <si>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</si>
  <si>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</si>
  <si>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</si>
  <si>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</si>
  <si>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</si>
  <si>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</si>
  <si>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</si>
  <si>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</si>
  <si>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</si>
  <si>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</si>
  <si>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</si>
  <si>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</si>
  <si>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</si>
  <si>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</si>
  <si>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</si>
  <si>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</si>
  <si>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</si>
  <si>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</si>
  <si>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</si>
  <si>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</si>
  <si>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</si>
  <si>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</si>
  <si>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</si>
  <si>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</si>
  <si>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</si>
  <si>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</si>
  <si>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</si>
  <si>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</si>
  <si>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</si>
  <si>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</si>
  <si>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</si>
  <si>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</si>
  <si>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</si>
  <si>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</si>
  <si>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</si>
  <si>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</si>
  <si>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</si>
  <si>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</si>
  <si>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</si>
  <si>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</si>
  <si>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</si>
  <si>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</si>
  <si>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</si>
  <si>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</si>
  <si>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</si>
  <si>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</si>
  <si>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</si>
  <si>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</si>
  <si>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</si>
  <si>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</si>
  <si>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</si>
  <si>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</si>
  <si>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</si>
  <si>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</si>
  <si>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</si>
  <si>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</si>
  <si>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</si>
  <si>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</si>
  <si>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</si>
  <si>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</si>
  <si>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</si>
  <si>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</si>
  <si>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</si>
  <si>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</si>
  <si>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</si>
  <si>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</si>
  <si>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</si>
  <si>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</si>
  <si>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</si>
  <si>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</si>
  <si>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</si>
  <si>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</si>
  <si>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</si>
  <si>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</si>
  <si>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</si>
  <si>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</si>
  <si>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</si>
  <si>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</si>
  <si>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</si>
  <si>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</si>
  <si>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</si>
  <si>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</si>
  <si>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</si>
  <si>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</si>
  <si>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</si>
  <si>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</si>
  <si>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</si>
  <si>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</si>
  <si>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</si>
  <si>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</si>
  <si>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</si>
  <si>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</si>
  <si>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</si>
  <si>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</si>
  <si>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</si>
  <si>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</si>
  <si>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</si>
  <si>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</si>
  <si>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</si>
  <si>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</si>
  <si>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</si>
  <si>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</si>
  <si>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</si>
  <si>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</si>
  <si>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</si>
  <si>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</si>
  <si>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</si>
  <si>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</si>
  <si>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</si>
  <si>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</si>
  <si>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</si>
  <si>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</si>
  <si>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</si>
  <si>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</si>
  <si>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</si>
  <si>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</si>
  <si>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</si>
  <si>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</si>
  <si>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</si>
  <si>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</si>
  <si>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</si>
  <si>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</si>
  <si>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</si>
  <si>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</si>
  <si>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</si>
  <si>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</si>
  <si>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</si>
  <si>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</si>
  <si>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</si>
  <si>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</si>
  <si>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</si>
  <si>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</si>
  <si>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</si>
  <si>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</si>
  <si>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</si>
  <si>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</si>
  <si>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</si>
  <si>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</si>
  <si>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</si>
  <si>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</si>
  <si>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</si>
  <si>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</si>
  <si>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</si>
  <si>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</si>
  <si>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</si>
  <si>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</si>
  <si>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</si>
  <si>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</si>
  <si>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</si>
  <si>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</si>
  <si>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</si>
  <si>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</si>
  <si>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</si>
  <si>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</si>
  <si>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</si>
  <si>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</si>
  <si>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</si>
  <si>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</si>
  <si>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</si>
  <si>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</si>
  <si>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</si>
  <si>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</si>
  <si>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</si>
  <si>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</si>
  <si>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</si>
  <si>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</si>
  <si>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</si>
  <si>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</si>
  <si>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</si>
  <si>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</si>
  <si>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</si>
  <si>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</si>
  <si>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</si>
  <si>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</si>
  <si>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</si>
  <si>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</si>
  <si>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</si>
  <si>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</si>
  <si>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</si>
  <si>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</si>
  <si>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</si>
  <si>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</si>
  <si>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</si>
  <si>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</si>
  <si>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</si>
  <si>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</si>
  <si>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</si>
  <si>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</si>
  <si>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</si>
  <si>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</si>
  <si>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</si>
  <si>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</si>
  <si>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</si>
  <si>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</si>
  <si>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</si>
  <si>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</si>
  <si>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</si>
  <si>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</si>
  <si>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</si>
  <si>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</si>
  <si>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</si>
  <si>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</si>
  <si>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</si>
  <si>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</si>
  <si>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</si>
  <si>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</si>
  <si>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</si>
  <si>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</si>
  <si>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</si>
  <si>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</si>
  <si>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</si>
  <si>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</si>
  <si>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</si>
  <si>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</si>
  <si>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</si>
  <si>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</si>
  <si>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</si>
  <si>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</si>
  <si>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</si>
  <si>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</si>
  <si>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</si>
  <si>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</si>
  <si>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</si>
  <si>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</si>
  <si>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</si>
  <si>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</si>
  <si>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</si>
  <si>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</si>
  <si>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</si>
  <si>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</si>
  <si>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</si>
  <si>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</si>
  <si>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</si>
  <si>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</si>
  <si>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</si>
  <si>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</si>
  <si>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</si>
  <si>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</si>
  <si>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</si>
  <si>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</si>
  <si>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</si>
  <si>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</si>
  <si>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</si>
  <si>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</si>
  <si>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</si>
  <si>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</si>
  <si>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</si>
  <si>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</si>
  <si>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</si>
  <si>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</si>
  <si>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</si>
  <si>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</si>
  <si>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</si>
  <si>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</si>
  <si>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</si>
  <si>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</si>
  <si>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</si>
  <si>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</si>
  <si>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</si>
  <si>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</si>
  <si>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</si>
  <si>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</si>
  <si>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</si>
  <si>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</si>
  <si>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</si>
  <si>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</si>
  <si>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</si>
  <si>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</si>
  <si>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</si>
  <si>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</si>
  <si>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</si>
  <si>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</si>
  <si>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</si>
  <si>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</si>
  <si>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</si>
  <si>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</si>
  <si>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</si>
  <si>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</si>
  <si>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</si>
  <si>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</si>
  <si>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</si>
  <si>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</si>
  <si>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</si>
  <si>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</si>
  <si>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</si>
  <si>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</si>
  <si>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</si>
  <si>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</si>
  <si>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</si>
  <si>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</si>
  <si>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</si>
  <si>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</si>
  <si>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</si>
  <si>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</si>
  <si>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</si>
  <si>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</si>
  <si>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</si>
  <si>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</si>
  <si>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</si>
  <si>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</si>
  <si>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</si>
  <si>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</si>
  <si>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</si>
  <si>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</si>
  <si>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</si>
  <si>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</si>
  <si>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</si>
  <si>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</si>
  <si>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</si>
  <si>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</si>
  <si>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</si>
  <si>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</si>
  <si>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</si>
  <si>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</si>
  <si>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</si>
  <si>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</si>
  <si>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</si>
  <si>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</si>
  <si>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</si>
  <si>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</si>
  <si>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</si>
  <si>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</si>
  <si>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</si>
  <si>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</si>
  <si>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</si>
  <si>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</si>
  <si>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</si>
  <si>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</si>
  <si>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</si>
  <si>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</si>
  <si>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</si>
  <si>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</si>
  <si>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</si>
  <si>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</si>
  <si>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</si>
  <si>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</si>
  <si>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</si>
  <si>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</si>
  <si>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</si>
  <si>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</si>
  <si>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</si>
  <si>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</si>
  <si>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</si>
  <si>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</si>
  <si>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</si>
  <si>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</si>
  <si>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</si>
  <si>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</si>
  <si>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</si>
  <si>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</si>
  <si>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</si>
  <si>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</si>
  <si>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</si>
  <si>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</si>
  <si>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</si>
  <si>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</si>
  <si>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</si>
  <si>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</si>
  <si>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</si>
  <si>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</si>
  <si>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</si>
  <si>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</si>
  <si>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</si>
  <si>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</si>
  <si>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</si>
  <si>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</si>
  <si>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</si>
  <si>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</si>
  <si>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</si>
  <si>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</si>
  <si>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</si>
  <si>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</si>
  <si>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</si>
  <si>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</si>
  <si>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</si>
  <si>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</si>
  <si>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</si>
  <si>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</si>
  <si>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</si>
  <si>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</si>
  <si>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</si>
  <si>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</si>
  <si>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</si>
  <si>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</si>
  <si>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</si>
  <si>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</si>
  <si>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</si>
  <si>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</si>
  <si>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</si>
  <si>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</si>
  <si>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</si>
  <si>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</si>
  <si>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</si>
  <si>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</si>
  <si>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</si>
  <si>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</si>
  <si>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</si>
  <si>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</si>
  <si>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</si>
  <si>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</si>
  <si>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</si>
  <si>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</si>
  <si>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</si>
  <si>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</si>
  <si>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</si>
  <si>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</si>
  <si>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</si>
  <si>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</si>
  <si>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</si>
  <si>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</si>
  <si>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</si>
  <si>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</si>
  <si>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</si>
  <si>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</si>
  <si>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</si>
  <si>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</si>
  <si>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</si>
  <si>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</si>
  <si>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</si>
  <si>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</si>
  <si>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</si>
  <si>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</si>
  <si>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</si>
  <si>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</si>
  <si>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</si>
  <si>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</si>
  <si>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</si>
  <si>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</si>
  <si>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</si>
  <si>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</si>
  <si>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</si>
  <si>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</si>
  <si>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</si>
  <si>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</si>
  <si>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</si>
  <si>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</si>
  <si>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</si>
  <si>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</si>
  <si>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</si>
  <si>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</si>
  <si>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</si>
  <si>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</si>
  <si>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</si>
  <si>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</si>
  <si>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</si>
  <si>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</si>
  <si>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</si>
  <si>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</si>
  <si>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</si>
  <si>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</si>
  <si>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</si>
  <si>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</si>
  <si>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</si>
  <si>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</si>
  <si>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</si>
  <si>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</si>
  <si>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</si>
  <si>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</si>
  <si>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</si>
  <si>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</si>
  <si>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</si>
  <si>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</si>
  <si>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</si>
  <si>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</si>
  <si>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</si>
  <si>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</si>
  <si>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</si>
  <si>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</si>
  <si>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</si>
  <si>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</si>
  <si>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</si>
  <si>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</si>
  <si>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</si>
  <si>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</si>
  <si>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</si>
  <si>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</si>
  <si>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</si>
  <si>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</si>
  <si>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</si>
  <si>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</si>
  <si>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</si>
  <si>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</si>
  <si>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</si>
  <si>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</si>
  <si>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</si>
  <si>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</si>
  <si>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</si>
  <si>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</si>
  <si>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</si>
  <si>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</si>
  <si>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</si>
  <si>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</si>
  <si>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</si>
  <si>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</si>
  <si>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</si>
  <si>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</si>
  <si>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</si>
  <si>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</si>
  <si>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</si>
  <si>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</si>
  <si>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</si>
  <si>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</si>
  <si>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</si>
  <si>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</si>
  <si>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</si>
  <si>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</si>
  <si>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</si>
  <si>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</si>
  <si>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</si>
  <si>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</si>
  <si>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</si>
  <si>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</si>
  <si>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</si>
  <si>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</si>
  <si>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</si>
  <si>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</si>
  <si>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</si>
  <si>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</si>
  <si>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</si>
  <si>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</si>
  <si>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</si>
  <si>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</si>
  <si>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</si>
  <si>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</si>
  <si>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</si>
  <si>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</si>
  <si>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</si>
  <si>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</si>
  <si>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</si>
  <si>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</si>
  <si>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</si>
  <si>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</si>
  <si>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</si>
  <si>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</si>
  <si>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</si>
  <si>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</si>
  <si>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</si>
  <si>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</si>
  <si>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</si>
  <si>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</si>
  <si>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</si>
  <si>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</si>
  <si>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</si>
  <si>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</si>
  <si>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</si>
  <si>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</si>
  <si>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</si>
  <si>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</si>
  <si>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</si>
  <si>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</si>
  <si>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</si>
  <si>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</si>
  <si>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</si>
  <si>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</si>
  <si>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</si>
  <si>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</si>
  <si>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</si>
  <si>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</si>
  <si>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</si>
  <si>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</si>
  <si>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</si>
  <si>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</si>
  <si>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</si>
  <si>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</si>
  <si>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</si>
  <si>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</si>
  <si>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</si>
  <si>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</si>
  <si>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</si>
  <si>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</si>
  <si>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</si>
  <si>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</si>
  <si>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</si>
  <si>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</si>
  <si>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</si>
  <si>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</si>
  <si>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</si>
  <si>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</si>
  <si>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</si>
  <si>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</si>
  <si>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</si>
  <si>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</si>
  <si>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</si>
  <si>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</si>
  <si>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</si>
  <si>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</si>
  <si>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</si>
  <si>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</si>
  <si>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</si>
  <si>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</si>
  <si>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</si>
  <si>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</si>
  <si>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</si>
  <si>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</si>
  <si>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</si>
  <si>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</si>
  <si>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</si>
  <si>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</si>
  <si>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</si>
  <si>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</si>
  <si>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</si>
  <si>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</si>
  <si>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</si>
  <si>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</si>
  <si>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</si>
  <si>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</si>
  <si>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</si>
  <si>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</si>
  <si>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</si>
  <si>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</si>
  <si>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</si>
  <si>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</si>
  <si>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</si>
  <si>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</si>
  <si>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</si>
  <si>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</si>
  <si>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</si>
  <si>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</si>
  <si>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</si>
  <si>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</si>
  <si>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</si>
  <si>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</si>
  <si>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</si>
  <si>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</si>
  <si>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</si>
  <si>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</si>
  <si>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</si>
  <si>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</si>
  <si>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</si>
  <si>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</si>
  <si>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</si>
  <si>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</si>
  <si>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</si>
  <si>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</si>
  <si>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</si>
  <si>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</si>
  <si>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</si>
  <si>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</si>
  <si>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</si>
  <si>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</si>
  <si>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</si>
  <si>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</si>
  <si>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</si>
  <si>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</si>
  <si>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</si>
  <si>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</si>
  <si>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</si>
  <si>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</si>
  <si>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</si>
  <si>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</si>
  <si>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</si>
  <si>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</si>
  <si>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</si>
  <si>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</si>
  <si>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</si>
  <si>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</si>
  <si>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</si>
  <si>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</si>
  <si>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</si>
  <si>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</si>
  <si>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</si>
  <si>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</si>
  <si>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</si>
  <si>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</si>
  <si>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</si>
  <si>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</si>
  <si>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</si>
  <si>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</si>
  <si>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</si>
  <si>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</si>
  <si>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</si>
  <si>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</si>
  <si>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</si>
  <si>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</si>
  <si>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</si>
  <si>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</si>
  <si>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</si>
  <si>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</si>
  <si>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</si>
  <si>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</si>
  <si>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</si>
  <si>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</si>
  <si>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</si>
  <si>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</si>
  <si>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</si>
  <si>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</si>
  <si>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</si>
  <si>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</si>
  <si>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</si>
  <si>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</si>
  <si>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</si>
  <si>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</si>
  <si>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</si>
  <si>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</si>
  <si>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</si>
  <si>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</si>
  <si>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</si>
  <si>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</si>
  <si>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</si>
  <si>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</si>
  <si>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</si>
  <si>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</si>
  <si>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</si>
  <si>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</si>
  <si>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</si>
  <si>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</si>
  <si>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</si>
  <si>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</si>
  <si>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</si>
  <si>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</si>
  <si>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</si>
  <si>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</si>
  <si>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</si>
  <si>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</si>
  <si>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</si>
  <si>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</si>
  <si>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</si>
  <si>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</si>
  <si>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</si>
  <si>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</si>
  <si>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</si>
  <si>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</si>
  <si>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</si>
  <si>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</si>
  <si>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</si>
  <si>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</si>
  <si>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</si>
  <si>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</si>
  <si>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</si>
  <si>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</si>
  <si>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</si>
  <si>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</si>
  <si>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</si>
  <si>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</si>
  <si>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</si>
  <si>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</si>
  <si>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</si>
  <si>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</si>
  <si>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</si>
  <si>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</si>
  <si>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</si>
  <si>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</si>
  <si>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</si>
  <si>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</si>
  <si>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</si>
  <si>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</si>
  <si>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</si>
  <si>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</si>
  <si>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</si>
  <si>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</si>
  <si>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</si>
  <si>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</si>
  <si>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</si>
  <si>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</si>
  <si>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</si>
  <si>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</si>
  <si>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</si>
  <si>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</si>
  <si>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</si>
  <si>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</si>
  <si>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</si>
  <si>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</si>
  <si>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</si>
  <si>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</si>
  <si>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</si>
  <si>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</si>
  <si>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</si>
  <si>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</si>
  <si>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</si>
  <si>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</si>
  <si>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</si>
  <si>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</si>
  <si>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</si>
  <si>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</si>
  <si>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</si>
  <si>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</si>
  <si>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</si>
  <si>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</si>
  <si>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</si>
  <si>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</si>
  <si>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</si>
  <si>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</si>
  <si>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</si>
  <si>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</si>
  <si>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</si>
  <si>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</si>
  <si>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</si>
  <si>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</si>
  <si>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</si>
  <si>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</si>
  <si>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</si>
  <si>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</si>
  <si>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</si>
  <si>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</si>
  <si>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</si>
  <si>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</si>
  <si>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</si>
  <si>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</si>
  <si>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</si>
  <si>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</si>
  <si>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</si>
  <si>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</si>
  <si>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</si>
  <si>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</si>
  <si>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</si>
  <si>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</si>
  <si>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</si>
  <si>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</si>
  <si>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</si>
  <si>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</si>
  <si>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</si>
  <si>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</si>
  <si>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</si>
  <si>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</si>
  <si>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</si>
  <si>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</si>
  <si>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</si>
  <si>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</si>
  <si>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</si>
  <si>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</si>
  <si>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</si>
  <si>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</si>
  <si>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</si>
  <si>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</si>
  <si>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</si>
  <si>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</si>
  <si>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</si>
  <si>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</si>
  <si>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</si>
  <si>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</si>
  <si>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</si>
  <si>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</si>
  <si>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</si>
  <si>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</si>
  <si>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</si>
  <si>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</si>
  <si>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</si>
  <si>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</si>
  <si>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</si>
  <si>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</si>
  <si>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</si>
  <si>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</si>
  <si>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</si>
  <si>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</si>
  <si>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</si>
  <si>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</si>
  <si>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</si>
  <si>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</si>
  <si>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</si>
  <si>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</si>
  <si>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</si>
  <si>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</si>
  <si>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</si>
  <si>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</si>
  <si>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</si>
  <si>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</si>
  <si>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</si>
  <si>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</si>
  <si>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</si>
  <si>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</si>
  <si>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</si>
  <si>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</si>
  <si>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</si>
  <si>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</si>
  <si>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</si>
  <si>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</si>
  <si>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</si>
  <si>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</si>
  <si>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</si>
  <si>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</si>
  <si>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</si>
  <si>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</si>
  <si>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</si>
  <si>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</si>
  <si>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</si>
  <si>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</si>
  <si>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</si>
  <si>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</si>
  <si>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</si>
  <si>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</si>
  <si>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</si>
  <si>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</si>
  <si>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</si>
  <si>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</si>
  <si>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</si>
  <si>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</si>
  <si>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</si>
  <si>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</si>
  <si>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</si>
  <si>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</si>
  <si>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</si>
  <si>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</si>
  <si>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</si>
  <si>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</si>
  <si>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</si>
  <si>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</si>
  <si>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</si>
  <si>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</si>
  <si>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</si>
  <si>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</si>
  <si>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</si>
  <si>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</si>
  <si>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</si>
  <si>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</si>
  <si>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</si>
  <si>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</si>
  <si>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</si>
  <si>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</si>
  <si>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</si>
  <si>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</si>
  <si>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</si>
  <si>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</si>
  <si>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</si>
  <si>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</si>
  <si>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</si>
  <si>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</si>
  <si>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</si>
  <si>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</si>
  <si>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</si>
  <si>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</si>
  <si>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</si>
  <si>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</si>
  <si>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</si>
  <si>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</si>
  <si>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</si>
  <si>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</si>
  <si>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</si>
  <si>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</si>
  <si>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</si>
  <si>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</si>
  <si>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</si>
  <si>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</si>
  <si>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</si>
  <si>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</si>
  <si>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</si>
  <si>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</si>
  <si>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</si>
  <si>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</si>
  <si>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</si>
  <si>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</si>
  <si>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</si>
  <si>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</si>
  <si>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</si>
  <si>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</si>
  <si>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</si>
  <si>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</si>
  <si>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</si>
  <si>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</si>
  <si>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</si>
  <si>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</si>
  <si>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</si>
  <si>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</si>
  <si>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</si>
  <si>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</si>
  <si>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</si>
  <si>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</si>
  <si>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</si>
  <si>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</si>
  <si>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</si>
  <si>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</si>
  <si>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</si>
  <si>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</si>
  <si>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</si>
  <si>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</si>
  <si>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</si>
  <si>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</si>
  <si>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</si>
  <si>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</si>
  <si>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</si>
  <si>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</si>
  <si>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</si>
  <si>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</si>
  <si>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</si>
  <si>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</si>
  <si>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</si>
  <si>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</si>
  <si>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</si>
  <si>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</si>
  <si>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</si>
  <si>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</si>
  <si>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</si>
  <si>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</si>
  <si>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</si>
  <si>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</si>
  <si>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</si>
  <si>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</si>
  <si>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</si>
  <si>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</si>
  <si>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</si>
  <si>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</si>
  <si>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</si>
  <si>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</si>
  <si>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</si>
  <si>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</si>
  <si>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</si>
  <si>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</si>
  <si>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</si>
  <si>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</si>
  <si>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</si>
  <si>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</si>
  <si>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</si>
  <si>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</si>
  <si>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</si>
  <si>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</si>
  <si>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</si>
  <si>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</si>
  <si>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</si>
  <si>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</si>
  <si>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</si>
  <si>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</si>
  <si>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</si>
  <si>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</si>
  <si>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</si>
  <si>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</si>
  <si>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</si>
  <si>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</si>
  <si>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</si>
  <si>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</si>
  <si>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</si>
  <si>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</si>
  <si>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</si>
  <si>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</si>
  <si>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</si>
  <si>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</si>
  <si>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</si>
  <si>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</si>
  <si>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</si>
  <si>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</si>
  <si>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</si>
  <si>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</si>
  <si>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</si>
  <si>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</si>
  <si>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</si>
  <si>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</si>
  <si>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</si>
  <si>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</si>
  <si>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</si>
  <si>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</si>
  <si>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</si>
  <si>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</si>
  <si>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</si>
  <si>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</si>
  <si>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</si>
  <si>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</si>
  <si>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</si>
  <si>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</si>
  <si>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</si>
  <si>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</si>
  <si>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</si>
  <si>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</si>
  <si>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</si>
  <si>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</si>
  <si>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</si>
  <si>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</si>
  <si>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</si>
  <si>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</si>
  <si>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</si>
  <si>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</si>
  <si>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</si>
  <si>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</si>
  <si>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</si>
  <si>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</si>
  <si>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</si>
  <si>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</si>
  <si>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</si>
  <si>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</si>
  <si>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</si>
  <si>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</si>
  <si>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</si>
  <si>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</si>
  <si>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</si>
  <si>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</si>
  <si>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</si>
  <si>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</si>
  <si>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</si>
  <si>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</si>
  <si>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</si>
  <si>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</si>
  <si>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</si>
  <si>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</si>
  <si>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</si>
  <si>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</si>
  <si>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</si>
  <si>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</si>
  <si>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</si>
  <si>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</si>
  <si>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</si>
  <si>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</si>
  <si>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</si>
  <si>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</si>
  <si>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</si>
  <si>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</si>
  <si>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</si>
  <si>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</si>
  <si>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</si>
  <si>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</si>
  <si>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</si>
  <si>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</si>
  <si>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</si>
  <si>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</si>
  <si>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</si>
  <si>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</si>
  <si>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</si>
  <si>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</si>
  <si>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</si>
  <si>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</si>
  <si>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</si>
  <si>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</si>
  <si>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</si>
  <si>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</si>
  <si>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</si>
  <si>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</si>
  <si>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</si>
  <si>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</si>
  <si>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</si>
  <si>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</si>
  <si>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</si>
  <si>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</si>
  <si>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</si>
  <si>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</si>
  <si>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</si>
  <si>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</si>
  <si>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</si>
  <si>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</si>
  <si>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</si>
  <si>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</si>
  <si>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</si>
  <si>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</si>
  <si>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</si>
  <si>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</si>
  <si>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</si>
  <si>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</si>
  <si>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</si>
  <si>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</si>
  <si>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</si>
  <si>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</si>
  <si>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</si>
  <si>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</si>
  <si>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</si>
  <si>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</si>
  <si>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</si>
  <si>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</si>
  <si>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</si>
  <si>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</si>
  <si>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</si>
  <si>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</si>
  <si>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</si>
  <si>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</si>
  <si>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</si>
  <si>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</si>
  <si>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</si>
  <si>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</si>
  <si>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</si>
  <si>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</si>
  <si>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</si>
  <si>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</si>
  <si>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</si>
  <si>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</si>
  <si>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</si>
  <si>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</si>
  <si>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</si>
  <si>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</si>
  <si>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</si>
  <si>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</si>
  <si>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</si>
  <si>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</si>
  <si>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</si>
  <si>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</si>
  <si>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</si>
  <si>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</si>
  <si>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</si>
  <si>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</si>
  <si>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</si>
  <si>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</si>
  <si>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</si>
  <si>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</si>
  <si>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</si>
  <si>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</si>
  <si>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</si>
  <si>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</si>
  <si>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</si>
  <si>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</si>
  <si>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</si>
  <si>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</si>
  <si>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</si>
  <si>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</si>
  <si>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</si>
  <si>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</si>
  <si>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</si>
  <si>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</si>
  <si>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</si>
  <si>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</si>
  <si>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</si>
  <si>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</si>
  <si>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</si>
  <si>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</si>
  <si>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</si>
  <si>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</si>
  <si>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</si>
  <si>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</si>
  <si>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</si>
  <si>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</si>
  <si>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</si>
  <si>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</si>
  <si>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</si>
  <si>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</si>
  <si>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</si>
  <si>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</si>
  <si>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</si>
  <si>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</si>
  <si>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</si>
  <si>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</si>
  <si>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</si>
  <si>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</si>
  <si>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</si>
  <si>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</si>
  <si>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</si>
  <si>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</si>
  <si>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</si>
  <si>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</si>
  <si>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</si>
  <si>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</si>
  <si>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</si>
  <si>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</si>
  <si>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</si>
  <si>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</si>
  <si>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</si>
  <si>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</si>
  <si>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</si>
  <si>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</si>
  <si>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</si>
  <si>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</si>
  <si>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</si>
  <si>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</si>
  <si>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</si>
  <si>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</si>
  <si>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</si>
  <si>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</si>
  <si>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</si>
  <si>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</si>
  <si>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</si>
  <si>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</si>
  <si>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</si>
  <si>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</si>
  <si>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</si>
  <si>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</si>
  <si>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</si>
  <si>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</si>
  <si>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</si>
  <si>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</si>
  <si>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</si>
  <si>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</si>
  <si>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</si>
  <si>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</si>
  <si>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</si>
  <si>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</si>
  <si>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</si>
  <si>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</si>
  <si>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</si>
  <si>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</si>
  <si>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</si>
  <si>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</si>
  <si>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</si>
  <si>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</si>
  <si>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</si>
  <si>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</si>
  <si>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</si>
  <si>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</si>
  <si>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</si>
  <si>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</si>
  <si>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</si>
  <si>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</si>
  <si>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</si>
  <si>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</si>
  <si>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</si>
  <si>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</si>
  <si>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</si>
  <si>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</si>
  <si>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</si>
  <si>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</si>
  <si>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</si>
  <si>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</si>
  <si>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</si>
  <si>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</si>
  <si>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</si>
  <si>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</si>
  <si>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</si>
  <si>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</si>
  <si>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</si>
  <si>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</si>
  <si>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</si>
  <si>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</si>
  <si>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</si>
  <si>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</si>
  <si>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</si>
  <si>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</si>
  <si>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</si>
  <si>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</si>
  <si>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</si>
  <si>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</si>
  <si>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</si>
  <si>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</si>
  <si>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</si>
  <si>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</si>
  <si>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</si>
  <si>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</si>
  <si>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</si>
  <si>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</si>
  <si>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</si>
  <si>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</si>
  <si>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</si>
  <si>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</si>
  <si>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</si>
  <si>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</si>
  <si>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</si>
  <si>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</si>
  <si>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</si>
  <si>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</si>
  <si>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</si>
  <si>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</si>
  <si>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</si>
  <si>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</si>
  <si>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</si>
  <si>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</si>
  <si>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</si>
  <si>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</si>
  <si>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</si>
  <si>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</si>
  <si>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</si>
  <si>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</si>
  <si>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</si>
  <si>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</si>
  <si>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</si>
  <si>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</si>
  <si>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</si>
  <si>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</si>
  <si>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</si>
  <si>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</si>
  <si>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</si>
  <si>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</si>
  <si>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</si>
  <si>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</si>
  <si>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</si>
  <si>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</si>
  <si>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</si>
  <si>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</si>
  <si>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</si>
  <si>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</si>
  <si>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</si>
  <si>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</si>
  <si>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</si>
  <si>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</si>
  <si>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</si>
  <si>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</si>
  <si>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</si>
  <si>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</si>
  <si>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</si>
  <si>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</si>
  <si>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</si>
  <si>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</si>
  <si>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</si>
  <si>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</si>
  <si>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</si>
  <si>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</si>
  <si>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</si>
  <si>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</si>
  <si>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</si>
  <si>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</si>
  <si>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</si>
  <si>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</si>
  <si>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</si>
  <si>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</si>
  <si>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</si>
  <si>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</si>
  <si>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</si>
  <si>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</si>
  <si>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</si>
  <si>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</si>
  <si>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</si>
  <si>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</si>
  <si>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</si>
  <si>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</si>
  <si>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</si>
  <si>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</si>
  <si>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</si>
  <si>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</si>
  <si>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</si>
  <si>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</si>
  <si>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</si>
  <si>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</si>
  <si>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</si>
  <si>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</si>
  <si>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</si>
  <si>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</si>
  <si>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</si>
  <si>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</si>
  <si>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</si>
  <si>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</si>
  <si>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</si>
  <si>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</si>
  <si>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</si>
  <si>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</si>
  <si>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</si>
  <si>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</si>
  <si>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</si>
  <si>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</si>
  <si>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</si>
  <si>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</si>
  <si>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</si>
  <si>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</si>
  <si>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</si>
  <si>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</si>
  <si>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</si>
  <si>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</si>
  <si>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</si>
  <si>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</si>
  <si>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</si>
  <si>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</si>
  <si>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</si>
  <si>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</si>
  <si>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</si>
  <si>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</si>
  <si>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</si>
  <si>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</si>
  <si>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</si>
  <si>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</si>
  <si>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</si>
  <si>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</si>
  <si>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</si>
  <si>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</si>
  <si>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</si>
  <si>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</si>
  <si>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</si>
  <si>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</si>
  <si>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</si>
  <si>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</si>
  <si>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</si>
  <si>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</si>
  <si>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</si>
  <si>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</si>
  <si>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</si>
  <si>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</si>
  <si>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</si>
  <si>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</si>
  <si>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</si>
  <si>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</si>
  <si>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</si>
  <si>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</si>
  <si>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</si>
  <si>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</si>
  <si>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</si>
  <si>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</si>
  <si>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</si>
  <si>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</si>
  <si>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</si>
  <si>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</si>
  <si>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</si>
  <si>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</si>
  <si>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</si>
  <si>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</si>
  <si>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</si>
  <si>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</si>
  <si>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</si>
  <si>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</si>
  <si>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</si>
  <si>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</si>
  <si>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</si>
  <si>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</si>
  <si>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</si>
  <si>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</si>
  <si>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</si>
  <si>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</si>
  <si>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</si>
  <si>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</si>
  <si>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</si>
  <si>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</si>
  <si>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</si>
  <si>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</si>
  <si>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</si>
  <si>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</si>
  <si>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</si>
  <si>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</si>
  <si>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</si>
  <si>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</si>
  <si>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</si>
  <si>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</si>
  <si>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</si>
  <si>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</si>
  <si>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</si>
  <si>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</si>
  <si>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</si>
  <si>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</si>
  <si>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</si>
  <si>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</si>
  <si>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</si>
  <si>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</si>
  <si>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</si>
  <si>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</si>
  <si>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</si>
  <si>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</si>
  <si>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</si>
  <si>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</si>
  <si>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</si>
  <si>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</si>
  <si>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</si>
  <si>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</si>
  <si>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</si>
  <si>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</si>
  <si>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</si>
  <si>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</si>
  <si>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</si>
  <si>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</si>
  <si>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</si>
  <si>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</si>
  <si>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</si>
  <si>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</si>
  <si>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</si>
  <si>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</si>
  <si>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</si>
  <si>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</si>
  <si>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</si>
  <si>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</si>
  <si>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</si>
  <si>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</si>
  <si>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</si>
  <si>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</si>
  <si>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</si>
  <si>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</si>
  <si>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</si>
  <si>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</si>
  <si>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</si>
  <si>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</si>
  <si>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</si>
  <si>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</si>
  <si>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</si>
  <si>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</si>
  <si>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</si>
  <si>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</si>
  <si>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</si>
  <si>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</si>
  <si>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</si>
  <si>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</si>
  <si>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</si>
  <si>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</si>
  <si>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</si>
  <si>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</si>
  <si>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</si>
  <si>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</si>
  <si>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</si>
  <si>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</si>
  <si>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</si>
  <si>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</si>
  <si>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</si>
  <si>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</si>
  <si>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</si>
  <si>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</si>
  <si>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</si>
  <si>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</si>
  <si>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</si>
  <si>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</si>
  <si>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</si>
  <si>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</si>
  <si>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</si>
  <si>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</si>
  <si>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</si>
  <si>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</si>
  <si>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</si>
  <si>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</si>
  <si>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</si>
  <si>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</si>
  <si>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</si>
  <si>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</si>
  <si>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</si>
  <si>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</si>
  <si>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</si>
  <si>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</si>
  <si>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</si>
  <si>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</si>
  <si>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</si>
  <si>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</si>
  <si>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</si>
  <si>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</si>
  <si>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</si>
  <si>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</si>
  <si>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</si>
  <si>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</si>
  <si>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</si>
  <si>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</si>
  <si>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</si>
  <si>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</si>
  <si>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</si>
  <si>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</si>
  <si>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</si>
  <si>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</si>
  <si>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</si>
  <si>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</si>
  <si>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</si>
  <si>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</si>
  <si>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</si>
  <si>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</si>
  <si>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</si>
  <si>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</si>
  <si>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</si>
  <si>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</si>
  <si>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</si>
  <si>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</si>
  <si>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</si>
  <si>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</si>
  <si>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</si>
  <si>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</si>
  <si>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</si>
  <si>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</si>
  <si>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</si>
  <si>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</si>
  <si>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</si>
  <si>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</si>
  <si>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</si>
  <si>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</si>
  <si>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</si>
  <si>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</si>
  <si>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</si>
  <si>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</si>
  <si>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</si>
  <si>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</si>
  <si>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</si>
  <si>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</si>
  <si>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</si>
  <si>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</si>
  <si>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</si>
  <si>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</si>
  <si>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</si>
  <si>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</si>
  <si>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</si>
  <si>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</si>
  <si>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</si>
  <si>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</si>
  <si>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</si>
  <si>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</si>
  <si>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</si>
  <si>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</si>
  <si>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</si>
  <si>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</si>
  <si>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</si>
  <si>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</si>
  <si>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</si>
  <si>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</si>
  <si>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</si>
  <si>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</si>
  <si>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</si>
  <si>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</si>
  <si>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</si>
  <si>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</si>
  <si>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</si>
  <si>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</si>
  <si>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</si>
  <si>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</si>
  <si>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</si>
  <si>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</si>
  <si>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</si>
  <si>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</si>
  <si>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</si>
  <si>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</si>
  <si>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</si>
  <si>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</si>
  <si>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</si>
  <si>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</si>
  <si>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</si>
  <si>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</si>
  <si>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</si>
  <si>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</si>
  <si>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</si>
  <si>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</si>
  <si>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</si>
  <si>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</si>
  <si>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</si>
  <si>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</si>
  <si>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</si>
  <si>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</si>
  <si>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</si>
  <si>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</si>
  <si>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</si>
  <si>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</si>
  <si>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</si>
  <si>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</si>
  <si>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</si>
  <si>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</si>
  <si>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</si>
  <si>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</si>
  <si>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</si>
  <si>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</si>
  <si>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</si>
  <si>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</si>
  <si>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</si>
  <si>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</si>
  <si>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</si>
  <si>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</si>
  <si>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</si>
  <si>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</si>
  <si>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</si>
  <si>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</si>
  <si>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</si>
  <si>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</si>
  <si>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</si>
  <si>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</si>
  <si>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</si>
  <si>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</si>
  <si>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</si>
  <si>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</si>
  <si>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</si>
  <si>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</si>
  <si>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</si>
  <si>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</si>
  <si>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</si>
  <si>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</si>
  <si>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</si>
  <si>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</si>
  <si>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</si>
  <si>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</si>
  <si>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</si>
  <si>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</si>
  <si>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</si>
  <si>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</si>
  <si>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</si>
  <si>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</si>
  <si>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</si>
  <si>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</si>
  <si>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</si>
  <si>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</si>
  <si>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</si>
  <si>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</si>
  <si>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</si>
  <si>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</si>
  <si>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</si>
  <si>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</si>
  <si>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</si>
  <si>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</si>
  <si>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</si>
  <si>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</si>
  <si>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</si>
  <si>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</si>
  <si>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</si>
  <si>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</si>
  <si>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</si>
  <si>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</si>
  <si>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</si>
  <si>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</si>
  <si>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</si>
  <si>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</si>
  <si>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</si>
  <si>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</si>
  <si>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</si>
  <si>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</si>
  <si>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</si>
  <si>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</si>
  <si>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</si>
  <si>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</si>
  <si>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</si>
  <si>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</si>
  <si>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</si>
  <si>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</si>
  <si>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</si>
  <si>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</si>
  <si>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</si>
  <si>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</si>
  <si>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</si>
  <si>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</si>
  <si>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</si>
  <si>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</si>
  <si>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</si>
  <si>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</si>
  <si>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</si>
  <si>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</si>
  <si>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</si>
  <si>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</si>
  <si>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</si>
  <si>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</si>
  <si>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</si>
  <si>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</si>
  <si>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</si>
  <si>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</si>
  <si>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</si>
  <si>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</si>
  <si>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</si>
  <si>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</si>
  <si>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</si>
  <si>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</si>
  <si>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</si>
  <si>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</si>
  <si>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</si>
  <si>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</si>
  <si>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</si>
  <si>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</si>
  <si>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</si>
  <si>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</si>
  <si>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</si>
  <si>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</si>
  <si>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</si>
  <si>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</si>
  <si>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</si>
  <si>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</si>
  <si>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</si>
  <si>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</si>
  <si>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</si>
  <si>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</si>
  <si>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</si>
  <si>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</si>
  <si>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</si>
  <si>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</si>
  <si>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</si>
  <si>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</si>
  <si>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</si>
  <si>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</si>
  <si>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</si>
  <si>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</si>
  <si>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</si>
  <si>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</si>
  <si>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</si>
  <si>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</si>
  <si>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</si>
  <si>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</si>
  <si>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</si>
  <si>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</si>
  <si>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</si>
  <si>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</si>
  <si>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</si>
  <si>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</si>
  <si>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</si>
  <si>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</si>
  <si>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</si>
  <si>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</si>
  <si>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</si>
  <si>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</si>
  <si>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</si>
  <si>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</si>
  <si>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</si>
  <si>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</si>
  <si>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</si>
  <si>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</si>
  <si>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</si>
  <si>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</si>
  <si>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</si>
  <si>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</si>
  <si>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</si>
  <si>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</si>
  <si>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</si>
  <si>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</si>
  <si>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</si>
  <si>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</si>
  <si>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</si>
  <si>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</si>
  <si>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</si>
  <si>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</si>
  <si>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</si>
  <si>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</si>
  <si>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</si>
  <si>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</si>
  <si>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</si>
  <si>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</si>
  <si>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</si>
  <si>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</si>
  <si>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</si>
  <si>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</si>
  <si>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</si>
  <si>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</si>
  <si>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</si>
  <si>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</si>
  <si>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</si>
  <si>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</si>
  <si>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</si>
  <si>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</si>
  <si>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</si>
  <si>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</si>
  <si>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</si>
  <si>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</si>
  <si>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</si>
  <si>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</si>
  <si>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</si>
  <si>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</si>
  <si>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</si>
  <si>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</si>
  <si>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</si>
  <si>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</si>
  <si>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</si>
  <si>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</si>
  <si>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</si>
  <si>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</si>
  <si>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</si>
  <si>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</si>
  <si>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</si>
  <si>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</si>
  <si>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</si>
  <si>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</si>
  <si>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</si>
  <si>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</si>
  <si>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</si>
  <si>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</si>
  <si>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</si>
  <si>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</si>
  <si>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</si>
  <si>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</si>
  <si>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</si>
  <si>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</si>
  <si>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</si>
  <si>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</si>
  <si>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</si>
  <si>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</si>
  <si>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</si>
  <si>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</si>
  <si>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</si>
  <si>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</si>
  <si>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</si>
  <si>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</si>
  <si>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</si>
  <si>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</si>
  <si>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</si>
  <si>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</si>
  <si>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</si>
  <si>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</si>
  <si>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</si>
  <si>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</si>
  <si>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</si>
  <si>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</si>
  <si>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</si>
  <si>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</si>
  <si>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</si>
  <si>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</si>
  <si>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</si>
  <si>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</si>
  <si>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</si>
  <si>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</si>
  <si>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</si>
  <si>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</si>
  <si>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</si>
  <si>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</si>
  <si>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</si>
  <si>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</si>
  <si>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</si>
  <si>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</si>
  <si>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</si>
  <si>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</si>
  <si>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</si>
  <si>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</si>
  <si>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</si>
  <si>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</si>
  <si>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</si>
  <si>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</si>
  <si>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</si>
  <si>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</si>
  <si>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</si>
  <si>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</si>
  <si>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</si>
  <si>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</si>
  <si>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</si>
  <si>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</si>
  <si>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</si>
  <si>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</si>
  <si>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</si>
  <si>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</si>
  <si>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</si>
  <si>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</si>
  <si>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</si>
  <si>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</si>
  <si>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</si>
  <si>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</si>
  <si>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</si>
  <si>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</si>
  <si>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</si>
  <si>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</si>
  <si>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</si>
  <si>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</si>
  <si>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</si>
  <si>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</si>
  <si>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</si>
  <si>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</si>
  <si>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</si>
  <si>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</si>
  <si>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</si>
  <si>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</si>
  <si>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</si>
  <si>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</si>
  <si>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</si>
  <si>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</si>
  <si>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</si>
  <si>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</si>
  <si>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</si>
  <si>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</si>
  <si>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</si>
  <si>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</si>
  <si>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</si>
  <si>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</si>
  <si>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</si>
  <si>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</si>
  <si>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</si>
  <si>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</si>
  <si>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</si>
  <si>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</si>
  <si>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</si>
  <si>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</si>
  <si>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</si>
  <si>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</si>
  <si>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</si>
  <si>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</si>
  <si>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</si>
  <si>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</si>
  <si>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</si>
  <si>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</si>
  <si>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</si>
  <si>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</si>
  <si>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</si>
  <si>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</si>
  <si>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</si>
  <si>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</si>
  <si>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</si>
  <si>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</si>
  <si>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</si>
  <si>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</si>
  <si>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</si>
  <si>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</si>
  <si>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</si>
  <si>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</si>
  <si>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</si>
  <si>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</si>
  <si>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</si>
  <si>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FORD</t>
  </si>
  <si>
    <t>PO BOX 50</t>
  </si>
  <si>
    <t>PAXTON</t>
  </si>
  <si>
    <t>CLIFF MCCLURE</t>
  </si>
  <si>
    <t>cmcclure@pblpanthers.org</t>
  </si>
  <si>
    <t>217-379-3314</t>
  </si>
  <si>
    <t>217-379-2862</t>
  </si>
  <si>
    <t>2001 School Building Bond</t>
  </si>
  <si>
    <t>2008 Life Safety Bond</t>
  </si>
  <si>
    <t>2017A General Obligation School Building Bonds</t>
  </si>
  <si>
    <t>No applicable contracts paid.</t>
  </si>
  <si>
    <t>x</t>
  </si>
  <si>
    <t>Ford County Special Education Cooperative</t>
  </si>
  <si>
    <t>Page 5 - Acct 430 - Other Payables</t>
  </si>
  <si>
    <t>Col 30 - Debt Services - Deficit Cash - $523,067</t>
  </si>
  <si>
    <t>Col 60 - Municipal Retirement/Social Security - Deficit Cash - $6,978</t>
  </si>
  <si>
    <t>Col 90 - Fire Prevention &amp; Safety - $2,094</t>
  </si>
  <si>
    <t>Page 11 - Acct 1999 - Other Revenue from Local Sources</t>
  </si>
  <si>
    <t>Col 10 - Educational - Refunds &amp; Reimbursements - $45,553</t>
  </si>
  <si>
    <t>Col 20 - Operations &amp; Maintenance - Refunds &amp; Reimbursements $1,534</t>
  </si>
  <si>
    <t>Col 40 - Transportation - Refunds &amp; Reimbursements - $181</t>
  </si>
  <si>
    <t>Col 60 - Capital Projects - Refunds &amp; Reimbursements - $4,136</t>
  </si>
  <si>
    <t>Page 12 - Acct 3999 - Other Restricted Revenue from State Sources</t>
  </si>
  <si>
    <t>Col 10 - Educational - Library Grant $989</t>
  </si>
  <si>
    <t>Col 10 - Educational - Other State Programs $1,628</t>
  </si>
  <si>
    <t>Page 18 - Function 5400 - Debt Services - Other</t>
  </si>
  <si>
    <t>Other Objects - Bond Fees - $1,300</t>
  </si>
  <si>
    <t>AUDITCHECK Tab - #13 Contracts Paid Error</t>
  </si>
  <si>
    <t>No applicable contracts paid in the current year.</t>
  </si>
  <si>
    <t xml:space="preserve">     Passed Through the Illinois State Board of Education</t>
  </si>
  <si>
    <t>U.S Department of Agriculture</t>
  </si>
  <si>
    <t>(M)  National School Lunch-18</t>
  </si>
  <si>
    <t>(M)  National School Lunch-19</t>
  </si>
  <si>
    <t xml:space="preserve">         School Breakfast-18</t>
  </si>
  <si>
    <t xml:space="preserve">         School Breakfast-19</t>
  </si>
  <si>
    <t xml:space="preserve">         Commodities</t>
  </si>
  <si>
    <t xml:space="preserve">         Fresh Fruits and Vegtables</t>
  </si>
  <si>
    <t xml:space="preserve">          Total U.S. Department of Agriculture</t>
  </si>
  <si>
    <t>U.S. Department of Education</t>
  </si>
  <si>
    <t xml:space="preserve">84.010a </t>
  </si>
  <si>
    <t xml:space="preserve">          Title II-Teacher Quality</t>
  </si>
  <si>
    <t>84.367a</t>
  </si>
  <si>
    <t xml:space="preserve">           Title II-Teacher Quality</t>
  </si>
  <si>
    <t xml:space="preserve">          Title IV-Student Support</t>
  </si>
  <si>
    <t>84.424a</t>
  </si>
  <si>
    <t xml:space="preserve">          Total U.S. Department of Education</t>
  </si>
  <si>
    <t xml:space="preserve">          Total Illinois State Board of Education</t>
  </si>
  <si>
    <t xml:space="preserve">     Passed Through Ford County Special Ed Coop</t>
  </si>
  <si>
    <t>84.027a</t>
  </si>
  <si>
    <t xml:space="preserve">          Special Ed-PreSchool</t>
  </si>
  <si>
    <t xml:space="preserve">          Total Ford County Special Ed Coop</t>
  </si>
  <si>
    <t>U.S Department of Health &amp; Human Services</t>
  </si>
  <si>
    <t xml:space="preserve">     Passed thru the Illinois Department of Healthcare and Human Services</t>
  </si>
  <si>
    <t xml:space="preserve">           Medicaid-Admin Outreach</t>
  </si>
  <si>
    <t xml:space="preserve">          Total U.S. Department of Health &amp; Human Services </t>
  </si>
  <si>
    <t xml:space="preserve">          Total Federal Financiall Assistance</t>
  </si>
  <si>
    <t>The accompanying Schedule of Expenditures of Federal Awards includes the federal grant activity of Paxton Buckley Loda CUSD #10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</si>
  <si>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Paxton Community Unit CUSD #10 provided federal awards to subrecipients as follows:</t>
  </si>
  <si>
    <t>none</t>
  </si>
  <si>
    <t>no</t>
  </si>
  <si>
    <t>Adverse-GAAP/Qualified-Regulatory</t>
  </si>
  <si>
    <t>Unmodified</t>
  </si>
  <si>
    <t>(M)   Special Ed-Flow Thru</t>
  </si>
  <si>
    <t xml:space="preserve">          Title 1-Low Income</t>
  </si>
  <si>
    <t>Special Education-Flow Thru</t>
  </si>
  <si>
    <t>School Lunch Program</t>
  </si>
  <si>
    <t xml:space="preserve"> x</t>
  </si>
  <si>
    <t>2018-1</t>
  </si>
  <si>
    <t>Internal control over accepting financia statements</t>
  </si>
  <si>
    <t xml:space="preserve">                                        improved</t>
  </si>
  <si>
    <t>Paxton-Buckley-Loda CUD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</si>
</sst>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1985" t="s">
        <v>405</v>
      </c>
      <c r="J1" s="1986"/>
      <c r="K1" s="1986"/>
      <c r="L1" s="1986"/>
      <c r="M1" s="1986"/>
      <c r="N1" s="1986"/>
      <c r="O1" s="1986"/>
      <c r="P1" s="1986"/>
      <c r="Q1" s="1986"/>
      <c r="R1" s="1986"/>
      <c r="S1" s="1986"/>
    </row>
    <row r="2" spans="1:28" ht="12" customHeight="1" x14ac:dyDescent="0.2">
      <c r="A2" s="47" t="s">
        <v>1989</v>
      </c>
      <c r="D2" s="48"/>
      <c r="I2" s="1987" t="s">
        <v>979</v>
      </c>
      <c r="J2" s="1986"/>
      <c r="K2" s="1986"/>
      <c r="L2" s="1986"/>
      <c r="M2" s="1986"/>
      <c r="N2" s="1986"/>
      <c r="O2" s="1986"/>
      <c r="P2" s="1986"/>
      <c r="Q2" s="1986"/>
      <c r="R2" s="1986"/>
      <c r="S2" s="1986"/>
    </row>
    <row r="3" spans="1:28" ht="12" customHeight="1" x14ac:dyDescent="0.2">
      <c r="A3" s="155" t="s">
        <v>1941</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2071</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2071</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9027010026</v>
      </c>
      <c r="B13" s="2021"/>
      <c r="C13" s="2021"/>
      <c r="D13" s="2021"/>
      <c r="E13" s="2021"/>
      <c r="F13" s="2021"/>
      <c r="G13" s="2021"/>
      <c r="H13" s="2022"/>
      <c r="I13" s="31"/>
      <c r="J13" s="30"/>
      <c r="K13" s="28"/>
      <c r="L13" s="30"/>
      <c r="M13" s="30"/>
      <c r="N13" s="30"/>
      <c r="O13" s="30"/>
      <c r="P13" s="30"/>
      <c r="Q13" s="30"/>
      <c r="R13" s="30"/>
      <c r="S13" s="30"/>
      <c r="T13" s="2025" t="s">
        <v>2063</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2074</v>
      </c>
      <c r="B15" s="2023"/>
      <c r="C15" s="2023"/>
      <c r="D15" s="2023"/>
      <c r="E15" s="2023"/>
      <c r="F15" s="2023"/>
      <c r="G15" s="2023"/>
      <c r="H15" s="2024"/>
      <c r="T15" s="2029" t="s">
        <v>2064</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2144</v>
      </c>
      <c r="B17" s="1980"/>
      <c r="C17" s="1980"/>
      <c r="D17" s="1980"/>
      <c r="E17" s="1980"/>
      <c r="F17" s="1980"/>
      <c r="G17" s="1980"/>
      <c r="H17" s="2005"/>
      <c r="T17" s="2036" t="s">
        <v>2065</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2075</v>
      </c>
      <c r="B19" s="1965"/>
      <c r="C19" s="1965"/>
      <c r="D19" s="1965"/>
      <c r="E19" s="1965"/>
      <c r="F19" s="1965"/>
      <c r="G19" s="1965"/>
      <c r="H19" s="1945"/>
      <c r="I19" s="30"/>
      <c r="J19" s="99"/>
      <c r="K19" s="40"/>
      <c r="L19" s="38"/>
      <c r="M19" s="112" t="s">
        <v>315</v>
      </c>
      <c r="P19" s="27"/>
      <c r="Q19" s="27"/>
      <c r="R19" s="27"/>
      <c r="S19" s="31"/>
      <c r="T19" s="2019" t="s">
        <v>2066</v>
      </c>
      <c r="U19" s="1944"/>
      <c r="V19" s="1944"/>
      <c r="W19" s="1945"/>
      <c r="X19" s="2034" t="s">
        <v>2067</v>
      </c>
      <c r="Y19" s="2035"/>
      <c r="Z19" s="2032">
        <v>60942</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2076</v>
      </c>
      <c r="B21" s="1944"/>
      <c r="C21" s="1944"/>
      <c r="D21" s="1944"/>
      <c r="E21" s="1944"/>
      <c r="F21" s="1944"/>
      <c r="G21" s="1944"/>
      <c r="H21" s="1945"/>
      <c r="I21" s="1999" t="s">
        <v>678</v>
      </c>
      <c r="J21" s="1994"/>
      <c r="K21" s="1994"/>
      <c r="L21" s="1994"/>
      <c r="M21" s="1994"/>
      <c r="N21" s="1994"/>
      <c r="O21" s="1994"/>
      <c r="P21" s="1994"/>
      <c r="Q21" s="1994"/>
      <c r="R21" s="1994"/>
      <c r="S21" s="2000"/>
      <c r="T21" s="2044" t="s">
        <v>2068</v>
      </c>
      <c r="U21" s="2045"/>
      <c r="V21" s="2045"/>
      <c r="W21" s="2045"/>
      <c r="X21" s="2050" t="s">
        <v>2069</v>
      </c>
      <c r="Y21" s="2051"/>
      <c r="Z21" s="2051"/>
      <c r="AA21" s="2052"/>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c r="B23" s="1997"/>
      <c r="C23" s="1997"/>
      <c r="D23" s="1997"/>
      <c r="E23" s="1997"/>
      <c r="F23" s="1997"/>
      <c r="G23" s="1997"/>
      <c r="H23" s="1998"/>
      <c r="T23" s="2042" t="s">
        <v>2072</v>
      </c>
      <c r="U23" s="2043"/>
      <c r="V23" s="2043"/>
      <c r="W23" s="2043"/>
      <c r="X23" s="2047">
        <v>44469</v>
      </c>
      <c r="Y23" s="2048"/>
      <c r="Z23" s="2048"/>
      <c r="AA23" s="2049"/>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60957</v>
      </c>
      <c r="B25" s="1944"/>
      <c r="C25" s="1944"/>
      <c r="D25" s="1944"/>
      <c r="E25" s="1944"/>
      <c r="F25" s="1944"/>
      <c r="G25" s="1944"/>
      <c r="H25" s="1945"/>
      <c r="I25" s="113"/>
      <c r="J25" s="1968"/>
      <c r="K25" s="1968"/>
      <c r="L25" s="1968"/>
      <c r="M25" s="1968"/>
      <c r="N25" s="1968"/>
      <c r="O25" s="1968"/>
      <c r="P25" s="1968"/>
      <c r="Q25" s="1968"/>
      <c r="R25" s="1968"/>
      <c r="S25" s="1969"/>
      <c r="T25" s="2039" t="s">
        <v>2070</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2071</v>
      </c>
      <c r="C30" s="124" t="s">
        <v>1164</v>
      </c>
      <c r="D30" s="28"/>
      <c r="E30" s="28"/>
      <c r="F30" s="140"/>
      <c r="G30" s="114"/>
      <c r="H30" s="114"/>
      <c r="I30" s="54"/>
      <c r="J30" s="148"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2071</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2077</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t="s">
        <v>2078</v>
      </c>
      <c r="B40" s="1958"/>
      <c r="C40" s="1959"/>
      <c r="D40" s="1959"/>
      <c r="E40" s="1959"/>
      <c r="F40" s="1960"/>
      <c r="G40" s="1960"/>
      <c r="H40" s="1961"/>
      <c r="I40" s="1982"/>
      <c r="J40" s="1983"/>
      <c r="K40" s="1983"/>
      <c r="L40" s="1983"/>
      <c r="M40" s="1983"/>
      <c r="N40" s="1983"/>
      <c r="O40" s="1983"/>
      <c r="P40" s="1983"/>
      <c r="Q40" s="1983"/>
      <c r="R40" s="1983"/>
      <c r="S40" s="1984"/>
      <c r="T40" s="1982"/>
      <c r="U40" s="2046"/>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2079</v>
      </c>
      <c r="B42" s="1963"/>
      <c r="C42" s="1964"/>
      <c r="D42" s="1962" t="s">
        <v>2080</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1940</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1769</v>
      </c>
    </row>
    <row r="52" spans="1:3" x14ac:dyDescent="0.2">
      <c r="A52" s="190"/>
      <c r="B52" s="188" t="s">
        <v>1789</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1770</v>
      </c>
    </row>
    <row r="57" spans="1:3" x14ac:dyDescent="0.2">
      <c r="A57" s="193"/>
      <c r="B57" s="190" t="s">
        <v>1772</v>
      </c>
    </row>
    <row r="58" spans="1:3" x14ac:dyDescent="0.2">
      <c r="A58" s="194"/>
      <c r="B58" s="190" t="s">
        <v>1773</v>
      </c>
    </row>
    <row r="59" spans="1:3" x14ac:dyDescent="0.2">
      <c r="A59" s="195"/>
      <c r="B59" s="1485" t="s">
        <v>1774</v>
      </c>
    </row>
    <row r="60" spans="1:3" x14ac:dyDescent="0.2">
      <c r="A60" s="196"/>
      <c r="B60" s="1485" t="s">
        <v>1775</v>
      </c>
    </row>
    <row r="61" spans="1:3" ht="6" customHeight="1" x14ac:dyDescent="0.2">
      <c r="A61" s="197"/>
      <c r="B61" s="189"/>
    </row>
    <row r="62" spans="1:3" x14ac:dyDescent="0.2">
      <c r="A62" s="169" t="s">
        <v>1616</v>
      </c>
      <c r="B62" s="198" t="s">
        <v>1771</v>
      </c>
    </row>
    <row r="63" spans="1:3" x14ac:dyDescent="0.2">
      <c r="A63" s="188"/>
      <c r="B63" s="169" t="s">
        <v>1786</v>
      </c>
    </row>
    <row r="64" spans="1:3" x14ac:dyDescent="0.2">
      <c r="A64" s="195"/>
      <c r="B64" s="1487" t="s">
        <v>1776</v>
      </c>
    </row>
    <row r="65" spans="1:9" x14ac:dyDescent="0.2">
      <c r="A65" s="188"/>
      <c r="B65" s="169" t="s">
        <v>1787</v>
      </c>
    </row>
    <row r="66" spans="1:9" x14ac:dyDescent="0.2">
      <c r="A66" s="190"/>
      <c r="B66" s="190" t="s">
        <v>1777</v>
      </c>
    </row>
    <row r="67" spans="1:9" ht="12" customHeight="1" x14ac:dyDescent="0.2">
      <c r="A67" s="188"/>
      <c r="B67" s="169" t="s">
        <v>1788</v>
      </c>
    </row>
    <row r="68" spans="1:9" x14ac:dyDescent="0.2">
      <c r="A68" s="189"/>
      <c r="B68" s="190" t="s">
        <v>1778</v>
      </c>
    </row>
    <row r="69" spans="1:9" x14ac:dyDescent="0.2">
      <c r="A69" s="190"/>
      <c r="B69" s="188" t="s">
        <v>1779</v>
      </c>
    </row>
    <row r="70" spans="1:9" ht="13.5" customHeight="1" x14ac:dyDescent="0.2">
      <c r="A70" s="190"/>
      <c r="B70" s="188" t="s">
        <v>1780</v>
      </c>
    </row>
    <row r="71" spans="1:9" ht="12" customHeight="1" x14ac:dyDescent="0.2">
      <c r="A71" s="192"/>
      <c r="B71" s="1486" t="s">
        <v>1619</v>
      </c>
    </row>
    <row r="72" spans="1:9" ht="9" customHeight="1" x14ac:dyDescent="0.2">
      <c r="A72" s="192"/>
      <c r="B72" s="199"/>
    </row>
    <row r="73" spans="1:9" x14ac:dyDescent="0.2">
      <c r="A73" s="189" t="s">
        <v>1620</v>
      </c>
      <c r="B73" s="169" t="s">
        <v>1782</v>
      </c>
    </row>
    <row r="74" spans="1:9" x14ac:dyDescent="0.2">
      <c r="A74" s="189"/>
      <c r="B74" s="169" t="s">
        <v>1781</v>
      </c>
    </row>
    <row r="75" spans="1:9" ht="8.25" customHeight="1" x14ac:dyDescent="0.2">
      <c r="A75" s="189"/>
      <c r="B75" s="189"/>
    </row>
    <row r="76" spans="1:9" ht="12.2" customHeight="1" x14ac:dyDescent="0.2">
      <c r="A76" s="189" t="s">
        <v>1621</v>
      </c>
      <c r="B76" s="198" t="s">
        <v>1783</v>
      </c>
    </row>
    <row r="77" spans="1:9" ht="12.2" customHeight="1" x14ac:dyDescent="0.2">
      <c r="A77" s="190"/>
      <c r="B77" s="169" t="s">
        <v>1622</v>
      </c>
      <c r="C77" s="179"/>
      <c r="D77" s="180"/>
      <c r="E77" s="181"/>
      <c r="F77" s="181"/>
      <c r="G77" s="181"/>
      <c r="H77" s="181"/>
      <c r="I77" s="181"/>
    </row>
    <row r="78" spans="1:9" ht="11.25" customHeight="1" x14ac:dyDescent="0.2">
      <c r="A78" s="190"/>
      <c r="B78" s="190" t="s">
        <v>1785</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1784</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01"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1942</v>
      </c>
    </row>
    <row r="32" spans="1:4" s="181" customFormat="1" x14ac:dyDescent="0.2">
      <c r="A32" s="219"/>
      <c r="B32" s="236"/>
      <c r="C32" s="227"/>
      <c r="D32" s="237" t="s">
        <v>1791</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1790</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t="s">
        <v>2073</v>
      </c>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31" sqref="H3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272</v>
      </c>
      <c r="G7" s="222"/>
      <c r="H7" s="222"/>
      <c r="I7" s="222"/>
      <c r="J7" s="352">
        <v>174589487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3.6499999999999998E-2</v>
      </c>
      <c r="E10" s="356" t="s">
        <v>1005</v>
      </c>
      <c r="F10" s="355">
        <v>5.0000000000000001E-3</v>
      </c>
      <c r="G10" s="356" t="s">
        <v>1005</v>
      </c>
      <c r="H10" s="355">
        <v>2E-3</v>
      </c>
      <c r="I10" s="356" t="s">
        <v>1006</v>
      </c>
      <c r="J10" s="1732">
        <f>ROUND(D10+F10+H10,5)</f>
        <v>4.3499999999999997E-2</v>
      </c>
      <c r="K10" s="222"/>
      <c r="L10" s="355">
        <v>5.0000000000000001E-4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14281026</v>
      </c>
      <c r="E16" s="356"/>
      <c r="F16" s="1733">
        <f>SUM('Acct Summary 7-8'!C17,'Acct Summary 7-8'!D17,'Acct Summary 7-8'!F17)</f>
        <v>13602683</v>
      </c>
      <c r="G16" s="356"/>
      <c r="H16" s="1733">
        <f>SUM(D16-F16)</f>
        <v>678343</v>
      </c>
      <c r="I16" s="222"/>
      <c r="J16" s="1733">
        <f>SUM('Acct Summary 7-8'!C81,'Acct Summary 7-8'!D81,'Acct Summary 7-8'!F81,'Acct Summary 7-8'!I81)</f>
        <v>6621407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24093349.206</v>
      </c>
      <c r="I31" s="368"/>
      <c r="J31" s="222"/>
      <c r="K31" s="222"/>
      <c r="L31" s="222"/>
      <c r="M31" s="222"/>
    </row>
    <row r="32" spans="1:13" ht="13.35" customHeight="1" x14ac:dyDescent="0.2">
      <c r="B32" s="369" t="s">
        <v>2071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32065000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Paxton-Buckley-Loda CUD 10</v>
      </c>
      <c r="E7" s="391"/>
      <c r="G7" s="252"/>
      <c r="H7" s="387"/>
      <c r="I7" s="387"/>
      <c r="J7" s="387"/>
      <c r="K7" s="387"/>
      <c r="L7" s="329"/>
      <c r="M7" s="329"/>
      <c r="N7" s="329"/>
      <c r="O7" s="329"/>
      <c r="P7" s="329"/>
    </row>
    <row r="8" spans="1:18" ht="12.75" x14ac:dyDescent="0.2">
      <c r="A8" s="329"/>
      <c r="B8" s="329"/>
      <c r="C8" s="389" t="s">
        <v>1125</v>
      </c>
      <c r="D8" s="392">
        <f>COVER!A13</f>
        <v>9027010026</v>
      </c>
      <c r="E8" s="393"/>
      <c r="G8" s="329"/>
      <c r="H8" s="329"/>
      <c r="I8" s="329"/>
      <c r="J8" s="329"/>
      <c r="K8" s="329"/>
      <c r="L8" s="329"/>
      <c r="M8" s="329"/>
      <c r="N8" s="329"/>
      <c r="O8" s="329"/>
      <c r="P8" s="329"/>
    </row>
    <row r="9" spans="1:18" ht="12.75" x14ac:dyDescent="0.2">
      <c r="A9" s="329"/>
      <c r="B9" s="329"/>
      <c r="C9" s="389" t="s">
        <v>713</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6621407</v>
      </c>
      <c r="I12" s="404"/>
      <c r="J12" s="404"/>
      <c r="K12" s="405">
        <f>TRUNC((H12/H13*100000),5)/100000</f>
        <v>0.46365065080000001</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14281026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13602683</v>
      </c>
      <c r="I17" s="404"/>
      <c r="J17" s="416"/>
      <c r="K17" s="405">
        <f>TRUNC((H17/H18*100000),5)/100000</f>
        <v>0.95250040150000004</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14281026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6621407</v>
      </c>
      <c r="I24" s="422"/>
      <c r="J24" s="422"/>
      <c r="K24" s="423">
        <f>TRUNC(((H24/H25*100000)/100000),2)</f>
        <v>175.23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37785.230560000004</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6455446.2818299998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32065000</v>
      </c>
      <c r="I32" s="420"/>
      <c r="J32" s="420"/>
      <c r="K32" s="423">
        <f>TRUNC(100-((((H32/H33*100))*100)/100),2)</f>
        <v>-33.08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24093349.206</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1" activePane="bottomLeft" state="frozen"/>
      <selection pane="bottomLeft" activeCell="K39" sqref="K3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9"/>
      <c r="D3" s="1560"/>
      <c r="E3" s="1560"/>
      <c r="F3" s="1560"/>
      <c r="G3" s="1560"/>
      <c r="H3" s="1560"/>
      <c r="I3" s="1560"/>
      <c r="J3" s="1560"/>
      <c r="K3" s="1560"/>
      <c r="L3" s="1560"/>
      <c r="M3" s="1561"/>
      <c r="N3" s="1562"/>
    </row>
    <row r="4" spans="1:14" ht="13.5" customHeight="1" x14ac:dyDescent="0.2">
      <c r="A4" s="463" t="s">
        <v>1651</v>
      </c>
      <c r="B4" s="464"/>
      <c r="C4" s="465">
        <v>3336443</v>
      </c>
      <c r="D4" s="466">
        <v>337720</v>
      </c>
      <c r="E4" s="466"/>
      <c r="F4" s="466">
        <v>86238</v>
      </c>
      <c r="G4" s="466"/>
      <c r="H4" s="466">
        <v>16087</v>
      </c>
      <c r="I4" s="466">
        <v>696853</v>
      </c>
      <c r="J4" s="467">
        <v>445334</v>
      </c>
      <c r="K4" s="466"/>
      <c r="L4" s="466">
        <v>135462</v>
      </c>
      <c r="M4" s="468"/>
      <c r="N4" s="469"/>
    </row>
    <row r="5" spans="1:14" x14ac:dyDescent="0.2">
      <c r="A5" s="463" t="s">
        <v>992</v>
      </c>
      <c r="B5" s="470">
        <v>120</v>
      </c>
      <c r="C5" s="465">
        <v>1802207</v>
      </c>
      <c r="D5" s="466">
        <v>241297</v>
      </c>
      <c r="E5" s="466">
        <v>612083</v>
      </c>
      <c r="F5" s="466">
        <v>96520</v>
      </c>
      <c r="G5" s="466">
        <v>112460</v>
      </c>
      <c r="H5" s="466">
        <v>12877095</v>
      </c>
      <c r="I5" s="466">
        <v>24129</v>
      </c>
      <c r="J5" s="467">
        <v>84315</v>
      </c>
      <c r="K5" s="471">
        <v>2281</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5138650</v>
      </c>
      <c r="D13" s="1737">
        <f t="shared" ref="D13:L13" si="0">SUM(D4:D12)</f>
        <v>579017</v>
      </c>
      <c r="E13" s="1737">
        <f t="shared" si="0"/>
        <v>612083</v>
      </c>
      <c r="F13" s="1737">
        <f t="shared" si="0"/>
        <v>182758</v>
      </c>
      <c r="G13" s="1737">
        <f t="shared" si="0"/>
        <v>112460</v>
      </c>
      <c r="H13" s="1737">
        <f t="shared" si="0"/>
        <v>12893182</v>
      </c>
      <c r="I13" s="1737">
        <f t="shared" si="0"/>
        <v>720982</v>
      </c>
      <c r="J13" s="1737">
        <f t="shared" si="0"/>
        <v>529649</v>
      </c>
      <c r="K13" s="1737">
        <f t="shared" si="0"/>
        <v>2281</v>
      </c>
      <c r="L13" s="1737">
        <f t="shared" si="0"/>
        <v>135462</v>
      </c>
      <c r="M13" s="468"/>
      <c r="N13" s="469"/>
    </row>
    <row r="14" spans="1:14" ht="18" customHeight="1" thickTop="1" x14ac:dyDescent="0.2">
      <c r="A14" s="2113" t="s">
        <v>147</v>
      </c>
      <c r="B14" s="2114"/>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164660</v>
      </c>
      <c r="N16" s="484"/>
    </row>
    <row r="17" spans="1:14" s="485" customFormat="1" ht="12.75" customHeight="1" x14ac:dyDescent="0.2">
      <c r="A17" s="482" t="s">
        <v>1403</v>
      </c>
      <c r="B17" s="483">
        <v>230</v>
      </c>
      <c r="C17" s="477"/>
      <c r="D17" s="477"/>
      <c r="E17" s="477"/>
      <c r="F17" s="477"/>
      <c r="G17" s="477"/>
      <c r="H17" s="477"/>
      <c r="I17" s="477"/>
      <c r="J17" s="477"/>
      <c r="K17" s="477"/>
      <c r="L17" s="477"/>
      <c r="M17" s="467">
        <v>32326301</v>
      </c>
      <c r="N17" s="484"/>
    </row>
    <row r="18" spans="1:14" s="485" customFormat="1" ht="12.75" customHeight="1" x14ac:dyDescent="0.2">
      <c r="A18" s="482" t="s">
        <v>1404</v>
      </c>
      <c r="B18" s="483">
        <v>240</v>
      </c>
      <c r="C18" s="477"/>
      <c r="D18" s="477"/>
      <c r="E18" s="477"/>
      <c r="F18" s="477"/>
      <c r="G18" s="477"/>
      <c r="H18" s="477"/>
      <c r="I18" s="477"/>
      <c r="J18" s="477"/>
      <c r="K18" s="477"/>
      <c r="L18" s="477"/>
      <c r="M18" s="467">
        <v>4024177</v>
      </c>
      <c r="N18" s="484"/>
    </row>
    <row r="19" spans="1:14" s="485" customFormat="1" ht="12.75" customHeight="1" x14ac:dyDescent="0.2">
      <c r="A19" s="482" t="s">
        <v>1405</v>
      </c>
      <c r="B19" s="483">
        <v>250</v>
      </c>
      <c r="C19" s="477"/>
      <c r="D19" s="477"/>
      <c r="E19" s="477"/>
      <c r="F19" s="477"/>
      <c r="G19" s="477"/>
      <c r="H19" s="477"/>
      <c r="I19" s="477"/>
      <c r="J19" s="477"/>
      <c r="K19" s="477"/>
      <c r="L19" s="477"/>
      <c r="M19" s="467">
        <v>4709175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89016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31975984</v>
      </c>
    </row>
    <row r="23" spans="1:14" ht="13.5" customHeight="1" thickBot="1" x14ac:dyDescent="0.25">
      <c r="A23" s="1736" t="s">
        <v>643</v>
      </c>
      <c r="B23" s="1741"/>
      <c r="C23" s="468"/>
      <c r="D23" s="468"/>
      <c r="E23" s="468"/>
      <c r="F23" s="468"/>
      <c r="G23" s="468"/>
      <c r="H23" s="468"/>
      <c r="I23" s="468"/>
      <c r="J23" s="468"/>
      <c r="K23" s="468"/>
      <c r="L23" s="468"/>
      <c r="M23" s="1688">
        <f>SUM(M15:M22)</f>
        <v>41224313</v>
      </c>
      <c r="N23" s="1688">
        <f>SUM(N21:N22)</f>
        <v>32065000</v>
      </c>
    </row>
    <row r="24" spans="1:14" ht="18" customHeight="1" thickTop="1" x14ac:dyDescent="0.2">
      <c r="A24" s="2115" t="s">
        <v>598</v>
      </c>
      <c r="B24" s="2116"/>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v>523067</v>
      </c>
      <c r="F27" s="467"/>
      <c r="G27" s="467">
        <v>6978</v>
      </c>
      <c r="H27" s="467"/>
      <c r="I27" s="467"/>
      <c r="J27" s="467"/>
      <c r="K27" s="467">
        <v>2094</v>
      </c>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135462</v>
      </c>
      <c r="M33" s="468"/>
      <c r="N33" s="469"/>
    </row>
    <row r="34" spans="1:14" ht="13.5" customHeight="1" thickBot="1" x14ac:dyDescent="0.25">
      <c r="A34" s="1738" t="s">
        <v>654</v>
      </c>
      <c r="B34" s="1739"/>
      <c r="C34" s="1740">
        <f>SUM(C25:C33)</f>
        <v>0</v>
      </c>
      <c r="D34" s="1740">
        <f t="shared" ref="D34:K34" si="1">SUM(D25:D33)</f>
        <v>0</v>
      </c>
      <c r="E34" s="1740">
        <f t="shared" si="1"/>
        <v>523067</v>
      </c>
      <c r="F34" s="1740">
        <f t="shared" si="1"/>
        <v>0</v>
      </c>
      <c r="G34" s="1740">
        <f t="shared" si="1"/>
        <v>6978</v>
      </c>
      <c r="H34" s="1740">
        <f t="shared" si="1"/>
        <v>0</v>
      </c>
      <c r="I34" s="1740">
        <f t="shared" si="1"/>
        <v>0</v>
      </c>
      <c r="J34" s="1740">
        <f t="shared" si="1"/>
        <v>0</v>
      </c>
      <c r="K34" s="1740">
        <f t="shared" si="1"/>
        <v>2094</v>
      </c>
      <c r="L34" s="1721">
        <f>SUM(L33)</f>
        <v>135462</v>
      </c>
      <c r="M34" s="468"/>
      <c r="N34" s="480"/>
    </row>
    <row r="35" spans="1:14" ht="18" customHeight="1" thickTop="1" x14ac:dyDescent="0.2">
      <c r="A35" s="2117" t="s">
        <v>529</v>
      </c>
      <c r="B35" s="2118"/>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32065000</v>
      </c>
    </row>
    <row r="37" spans="1:14" ht="13.5" thickBot="1" x14ac:dyDescent="0.25">
      <c r="A37" s="1736" t="s">
        <v>653</v>
      </c>
      <c r="B37" s="1741"/>
      <c r="C37" s="477"/>
      <c r="D37" s="477"/>
      <c r="E37" s="477"/>
      <c r="F37" s="477"/>
      <c r="G37" s="477"/>
      <c r="H37" s="477"/>
      <c r="I37" s="477"/>
      <c r="J37" s="477"/>
      <c r="K37" s="477"/>
      <c r="L37" s="480"/>
      <c r="M37" s="468"/>
      <c r="N37" s="1688">
        <f>SUM(N36:N36)</f>
        <v>32065000</v>
      </c>
    </row>
    <row r="38" spans="1:14" s="329" customFormat="1" ht="13.5" customHeight="1" thickTop="1" x14ac:dyDescent="0.2">
      <c r="A38" s="496" t="s">
        <v>420</v>
      </c>
      <c r="B38" s="483">
        <v>714</v>
      </c>
      <c r="C38" s="466"/>
      <c r="D38" s="466"/>
      <c r="E38" s="466"/>
      <c r="F38" s="466"/>
      <c r="G38" s="466">
        <v>105482</v>
      </c>
      <c r="H38" s="466"/>
      <c r="I38" s="466"/>
      <c r="J38" s="467"/>
      <c r="K38" s="466"/>
      <c r="L38" s="481"/>
      <c r="M38" s="497"/>
      <c r="N38" s="497"/>
    </row>
    <row r="39" spans="1:14" s="329" customFormat="1" ht="13.5" customHeight="1" x14ac:dyDescent="0.2">
      <c r="A39" s="496" t="s">
        <v>342</v>
      </c>
      <c r="B39" s="483">
        <v>730</v>
      </c>
      <c r="C39" s="466">
        <v>5138650</v>
      </c>
      <c r="D39" s="466">
        <v>579017</v>
      </c>
      <c r="E39" s="466">
        <v>89016</v>
      </c>
      <c r="F39" s="466">
        <v>182758</v>
      </c>
      <c r="G39" s="466"/>
      <c r="H39" s="466">
        <v>12893182</v>
      </c>
      <c r="I39" s="466">
        <v>720982</v>
      </c>
      <c r="J39" s="467">
        <v>529649</v>
      </c>
      <c r="K39" s="466">
        <v>187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41224313</v>
      </c>
      <c r="N40" s="497"/>
    </row>
    <row r="41" spans="1:14" ht="13.5" customHeight="1" thickBot="1" x14ac:dyDescent="0.25">
      <c r="A41" s="1736" t="s">
        <v>655</v>
      </c>
      <c r="B41" s="1706"/>
      <c r="C41" s="1688">
        <f>(SUM(C34,C37,C38,C39))</f>
        <v>5138650</v>
      </c>
      <c r="D41" s="1688">
        <f t="shared" ref="D41:L41" si="2">SUM(D34,D37,D38:D39)</f>
        <v>579017</v>
      </c>
      <c r="E41" s="1688">
        <f t="shared" si="2"/>
        <v>612083</v>
      </c>
      <c r="F41" s="1688">
        <f t="shared" si="2"/>
        <v>182758</v>
      </c>
      <c r="G41" s="1688">
        <f t="shared" si="2"/>
        <v>112460</v>
      </c>
      <c r="H41" s="1688">
        <f t="shared" si="2"/>
        <v>12893182</v>
      </c>
      <c r="I41" s="1688">
        <f t="shared" si="2"/>
        <v>720982</v>
      </c>
      <c r="J41" s="1688">
        <f t="shared" si="2"/>
        <v>529649</v>
      </c>
      <c r="K41" s="1688">
        <f t="shared" si="2"/>
        <v>2281</v>
      </c>
      <c r="L41" s="1688">
        <f t="shared" si="2"/>
        <v>135462</v>
      </c>
      <c r="M41" s="1688">
        <f>SUM(M40)</f>
        <v>41224313</v>
      </c>
      <c r="N41" s="1688">
        <f>SUM(N37)</f>
        <v>32065000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activeCell="B24" sqref="B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3"/>
      <c r="D3" s="1574"/>
      <c r="E3" s="1574"/>
      <c r="F3" s="1574"/>
      <c r="G3" s="1574"/>
      <c r="H3" s="1574"/>
      <c r="I3" s="1574"/>
      <c r="J3" s="1574"/>
      <c r="K3" s="1575"/>
      <c r="L3" s="506"/>
    </row>
    <row r="4" spans="1:13" ht="15.75" customHeight="1" x14ac:dyDescent="0.2">
      <c r="A4" s="1928" t="s">
        <v>1499</v>
      </c>
      <c r="B4" s="1929">
        <v>1000</v>
      </c>
      <c r="C4" s="1742">
        <f>'Revenues 9-14'!C109</f>
        <v>7036233</v>
      </c>
      <c r="D4" s="1742">
        <f>'Revenues 9-14'!D109</f>
        <v>846487</v>
      </c>
      <c r="E4" s="1742">
        <f>'Revenues 9-14'!E109</f>
        <v>2178281</v>
      </c>
      <c r="F4" s="1742">
        <f>'Revenues 9-14'!F109</f>
        <v>331902</v>
      </c>
      <c r="G4" s="1742">
        <f>'Revenues 9-14'!G109</f>
        <v>406643</v>
      </c>
      <c r="H4" s="1742">
        <f>'Revenues 9-14'!H109</f>
        <v>538616</v>
      </c>
      <c r="I4" s="1742">
        <f>'Revenues 9-14'!I109</f>
        <v>82926</v>
      </c>
      <c r="J4" s="1742">
        <f>'Revenues 9-14'!J109</f>
        <v>280361</v>
      </c>
      <c r="K4" s="1742">
        <f>'Revenues 9-14'!K109</f>
        <v>55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4392028</v>
      </c>
      <c r="D6" s="1743">
        <f>'Revenues 9-14'!D170</f>
        <v>0</v>
      </c>
      <c r="E6" s="1743">
        <f>'Revenues 9-14'!E170</f>
        <v>0</v>
      </c>
      <c r="F6" s="1743">
        <f>'Revenues 9-14'!F170</f>
        <v>527564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1063886</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12492147</v>
      </c>
      <c r="D8" s="1688">
        <f t="shared" ref="D8:K8" si="0">SUM(D4:D7)</f>
        <v>846487</v>
      </c>
      <c r="E8" s="1688">
        <f t="shared" si="0"/>
        <v>2178281</v>
      </c>
      <c r="F8" s="1688">
        <f t="shared" si="0"/>
        <v>859466</v>
      </c>
      <c r="G8" s="1688">
        <f t="shared" si="0"/>
        <v>406643</v>
      </c>
      <c r="H8" s="1688">
        <f t="shared" si="0"/>
        <v>538616</v>
      </c>
      <c r="I8" s="1688">
        <f t="shared" si="0"/>
        <v>82926</v>
      </c>
      <c r="J8" s="1688">
        <f t="shared" si="0"/>
        <v>280361</v>
      </c>
      <c r="K8" s="1688">
        <f t="shared" si="0"/>
        <v>55</v>
      </c>
      <c r="L8" s="347"/>
    </row>
    <row r="9" spans="1:13" ht="15.75" thickTop="1" x14ac:dyDescent="0.2">
      <c r="A9" s="514" t="s">
        <v>1653</v>
      </c>
      <c r="B9" s="515">
        <v>3998</v>
      </c>
      <c r="C9" s="481">
        <v>4454547</v>
      </c>
      <c r="D9" s="516"/>
      <c r="E9" s="481"/>
      <c r="F9" s="481"/>
      <c r="G9" s="517"/>
      <c r="H9" s="481"/>
      <c r="I9" s="509" t="s">
        <v>1169</v>
      </c>
      <c r="J9" s="478"/>
      <c r="K9" s="481"/>
      <c r="L9" s="347"/>
    </row>
    <row r="10" spans="1:13" s="519" customFormat="1" ht="13.5" thickBot="1" x14ac:dyDescent="0.25">
      <c r="A10" s="1736" t="s">
        <v>1173</v>
      </c>
      <c r="B10" s="1709"/>
      <c r="C10" s="1688">
        <f>SUM(C8:C9)</f>
        <v>16946694</v>
      </c>
      <c r="D10" s="1688">
        <f t="shared" ref="D10:K10" si="1">SUM(D8:D9)</f>
        <v>846487</v>
      </c>
      <c r="E10" s="1688">
        <f t="shared" si="1"/>
        <v>2178281</v>
      </c>
      <c r="F10" s="1688">
        <f t="shared" si="1"/>
        <v>859466</v>
      </c>
      <c r="G10" s="1688">
        <f t="shared" si="1"/>
        <v>406643</v>
      </c>
      <c r="H10" s="1688">
        <f t="shared" si="1"/>
        <v>538616</v>
      </c>
      <c r="I10" s="1688">
        <f t="shared" si="1"/>
        <v>82926</v>
      </c>
      <c r="J10" s="1688">
        <f t="shared" si="1"/>
        <v>280361</v>
      </c>
      <c r="K10" s="1688">
        <f t="shared" si="1"/>
        <v>55</v>
      </c>
      <c r="L10" s="518"/>
    </row>
    <row r="11" spans="1:13" s="519" customFormat="1" ht="16.7" customHeight="1" thickTop="1" x14ac:dyDescent="0.2">
      <c r="A11" s="2113" t="s">
        <v>1176</v>
      </c>
      <c r="B11" s="2114"/>
      <c r="C11" s="1570"/>
      <c r="D11" s="1571"/>
      <c r="E11" s="1571"/>
      <c r="F11" s="1571"/>
      <c r="G11" s="1571"/>
      <c r="H11" s="1571"/>
      <c r="I11" s="1571"/>
      <c r="J11" s="1571"/>
      <c r="K11" s="1572"/>
      <c r="L11" s="518"/>
    </row>
    <row r="12" spans="1:13" ht="15.75" customHeight="1" x14ac:dyDescent="0.2">
      <c r="A12" s="1576" t="s">
        <v>456</v>
      </c>
      <c r="B12" s="1578">
        <v>1000</v>
      </c>
      <c r="C12" s="1742">
        <f>'Expenditures 15-22'!K33</f>
        <v>7445644</v>
      </c>
      <c r="D12" s="520" t="s">
        <v>1169</v>
      </c>
      <c r="E12" s="468" t="s">
        <v>1169</v>
      </c>
      <c r="F12" s="468" t="s">
        <v>1169</v>
      </c>
      <c r="G12" s="1742">
        <f>'Expenditures 15-22'!K229</f>
        <v>165846</v>
      </c>
      <c r="H12" s="521"/>
      <c r="I12" s="468" t="s">
        <v>1169</v>
      </c>
      <c r="J12" s="468" t="s">
        <v>1169</v>
      </c>
      <c r="K12" s="521" t="s">
        <v>1169</v>
      </c>
      <c r="L12" s="347"/>
    </row>
    <row r="13" spans="1:13" ht="15.75" customHeight="1" x14ac:dyDescent="0.2">
      <c r="A13" s="1576" t="s">
        <v>457</v>
      </c>
      <c r="B13" s="1578">
        <v>2000</v>
      </c>
      <c r="C13" s="1743">
        <f>'Expenditures 15-22'!K74</f>
        <v>3622763</v>
      </c>
      <c r="D13" s="1743">
        <f>'Expenditures 15-22'!K129</f>
        <v>742597</v>
      </c>
      <c r="E13" s="469" t="s">
        <v>1169</v>
      </c>
      <c r="F13" s="1743">
        <f>'Expenditures 15-22'!K184</f>
        <v>868857</v>
      </c>
      <c r="G13" s="1743">
        <f>'Expenditures 15-22'!K279</f>
        <v>218389</v>
      </c>
      <c r="H13" s="1743">
        <f>'Expenditures 15-22'!K303</f>
        <v>16132003</v>
      </c>
      <c r="I13" s="468" t="s">
        <v>1169</v>
      </c>
      <c r="J13" s="1743">
        <f>'Expenditures 15-22'!K330</f>
        <v>210333</v>
      </c>
      <c r="K13" s="1747">
        <f>'Expenditures 15-22'!K352</f>
        <v>0</v>
      </c>
      <c r="L13" s="347"/>
    </row>
    <row r="14" spans="1:13" ht="15.75" customHeight="1" x14ac:dyDescent="0.2">
      <c r="A14" s="1576" t="s">
        <v>449</v>
      </c>
      <c r="B14" s="1578">
        <v>3000</v>
      </c>
      <c r="C14" s="1743">
        <f>'Expenditures 15-22'!K75</f>
        <v>5817</v>
      </c>
      <c r="D14" s="1743">
        <f>'Expenditures 15-22'!K130</f>
        <v>0</v>
      </c>
      <c r="E14" s="520" t="s">
        <v>1169</v>
      </c>
      <c r="F14" s="1743">
        <f>'Expenditures 15-22'!K185</f>
        <v>0</v>
      </c>
      <c r="G14" s="1743">
        <f>'Expenditures 15-22'!K280</f>
        <v>63</v>
      </c>
      <c r="H14" s="512"/>
      <c r="I14" s="468" t="s">
        <v>1169</v>
      </c>
      <c r="J14" s="468" t="s">
        <v>1169</v>
      </c>
      <c r="K14" s="512" t="s">
        <v>1169</v>
      </c>
      <c r="L14" s="347"/>
    </row>
    <row r="15" spans="1:13" ht="15.75" customHeight="1" x14ac:dyDescent="0.2">
      <c r="A15" s="1576" t="s">
        <v>107</v>
      </c>
      <c r="B15" s="1578">
        <v>4000</v>
      </c>
      <c r="C15" s="1743">
        <f>'Expenditures 15-22'!K102</f>
        <v>917005</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2180324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11991229</v>
      </c>
      <c r="D17" s="1688">
        <f t="shared" si="2"/>
        <v>742597</v>
      </c>
      <c r="E17" s="1688">
        <f t="shared" si="2"/>
        <v>2180324</v>
      </c>
      <c r="F17" s="1688">
        <f t="shared" si="2"/>
        <v>868857</v>
      </c>
      <c r="G17" s="1688">
        <f t="shared" si="2"/>
        <v>384298</v>
      </c>
      <c r="H17" s="1688">
        <f t="shared" si="2"/>
        <v>16132003</v>
      </c>
      <c r="I17" s="468"/>
      <c r="J17" s="1688">
        <f>SUM(J12:J16)</f>
        <v>210333</v>
      </c>
      <c r="K17" s="1688">
        <f>SUM(K12:K16)</f>
        <v>0</v>
      </c>
      <c r="L17" s="347"/>
    </row>
    <row r="18" spans="1:12" ht="15" customHeight="1" thickTop="1" x14ac:dyDescent="0.2">
      <c r="A18" s="1744" t="s">
        <v>1654</v>
      </c>
      <c r="B18" s="1745">
        <v>4180</v>
      </c>
      <c r="C18" s="1742">
        <f t="shared" ref="C18:H18" si="3">C9</f>
        <v>4454547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16445776</v>
      </c>
      <c r="D19" s="1688">
        <f t="shared" si="4"/>
        <v>742597</v>
      </c>
      <c r="E19" s="1688">
        <f t="shared" si="4"/>
        <v>2180324</v>
      </c>
      <c r="F19" s="1688">
        <f t="shared" si="4"/>
        <v>868857</v>
      </c>
      <c r="G19" s="1688">
        <f t="shared" si="4"/>
        <v>384298</v>
      </c>
      <c r="H19" s="1688">
        <f t="shared" si="4"/>
        <v>16132003</v>
      </c>
      <c r="I19" s="468"/>
      <c r="J19" s="1688">
        <f>SUM(J17:J18)</f>
        <v>210333</v>
      </c>
      <c r="K19" s="1688">
        <f>SUM(K17:K18)</f>
        <v>0</v>
      </c>
      <c r="L19" s="347"/>
    </row>
    <row r="20" spans="1:12" ht="16.5" thickTop="1" thickBot="1" x14ac:dyDescent="0.25">
      <c r="A20" s="2129" t="s">
        <v>1655</v>
      </c>
      <c r="B20" s="2130"/>
      <c r="C20" s="1746">
        <f>C8-C17</f>
        <v>500918</v>
      </c>
      <c r="D20" s="1746">
        <f t="shared" ref="D20:K20" si="5">D8-D17</f>
        <v>103890</v>
      </c>
      <c r="E20" s="1746">
        <f t="shared" si="5"/>
        <v>-2043</v>
      </c>
      <c r="F20" s="1746">
        <f t="shared" si="5"/>
        <v>-9391</v>
      </c>
      <c r="G20" s="1746">
        <f t="shared" si="5"/>
        <v>22345</v>
      </c>
      <c r="H20" s="1746">
        <f t="shared" si="5"/>
        <v>-15593387</v>
      </c>
      <c r="I20" s="1746">
        <f t="shared" si="5"/>
        <v>82926</v>
      </c>
      <c r="J20" s="1746">
        <f t="shared" si="5"/>
        <v>70028</v>
      </c>
      <c r="K20" s="1746">
        <f t="shared" si="5"/>
        <v>55</v>
      </c>
      <c r="L20" s="347"/>
    </row>
    <row r="21" spans="1:12" ht="16.7" customHeight="1" thickTop="1" x14ac:dyDescent="0.2">
      <c r="A21" s="2141" t="s">
        <v>595</v>
      </c>
      <c r="B21" s="2142"/>
      <c r="C21" s="1570"/>
      <c r="D21" s="1571"/>
      <c r="E21" s="1571"/>
      <c r="F21" s="1571"/>
      <c r="G21" s="1571"/>
      <c r="H21" s="1571"/>
      <c r="I21" s="1571"/>
      <c r="J21" s="1571"/>
      <c r="K21" s="1572"/>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1792</v>
      </c>
      <c r="B30" s="527">
        <v>7160</v>
      </c>
      <c r="C30" s="477"/>
      <c r="D30" s="467"/>
      <c r="E30" s="477"/>
      <c r="F30" s="477"/>
      <c r="G30" s="477"/>
      <c r="H30" s="477"/>
      <c r="I30" s="477"/>
      <c r="J30" s="477"/>
      <c r="K30" s="477"/>
      <c r="L30" s="524"/>
    </row>
    <row r="31" spans="1:12" s="485" customFormat="1" ht="26.25" x14ac:dyDescent="0.2">
      <c r="A31" s="1489" t="s">
        <v>1796</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1795</v>
      </c>
      <c r="B52" s="483">
        <v>8160</v>
      </c>
      <c r="C52" s="477"/>
      <c r="D52" s="477"/>
      <c r="E52" s="477"/>
      <c r="F52" s="477"/>
      <c r="G52" s="477"/>
      <c r="H52" s="477"/>
      <c r="I52" s="477"/>
      <c r="J52" s="477"/>
      <c r="K52" s="1743">
        <f>D30</f>
        <v>0</v>
      </c>
      <c r="L52" s="524"/>
    </row>
    <row r="53" spans="1:12" s="485" customFormat="1" ht="26.25" x14ac:dyDescent="0.2">
      <c r="A53" s="1490" t="s">
        <v>1794</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9" t="s">
        <v>440</v>
      </c>
      <c r="B76" s="2120"/>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1" t="s">
        <v>1177</v>
      </c>
      <c r="B77" s="2122"/>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5" t="s">
        <v>597</v>
      </c>
      <c r="B78" s="2126"/>
      <c r="C78" s="1702">
        <f t="shared" ref="C78:K78" si="9">C20+C77</f>
        <v>500918</v>
      </c>
      <c r="D78" s="1702">
        <f t="shared" si="9"/>
        <v>103890</v>
      </c>
      <c r="E78" s="1702">
        <f t="shared" si="9"/>
        <v>-2043</v>
      </c>
      <c r="F78" s="1702">
        <f t="shared" si="9"/>
        <v>-9391</v>
      </c>
      <c r="G78" s="1702">
        <f t="shared" si="9"/>
        <v>22345</v>
      </c>
      <c r="H78" s="1702">
        <f t="shared" si="9"/>
        <v>-15593387</v>
      </c>
      <c r="I78" s="1702">
        <f t="shared" si="9"/>
        <v>82926</v>
      </c>
      <c r="J78" s="1702">
        <f t="shared" si="9"/>
        <v>70028</v>
      </c>
      <c r="K78" s="1702">
        <f t="shared" si="9"/>
        <v>55</v>
      </c>
      <c r="L78" s="533"/>
    </row>
    <row r="79" spans="1:12" ht="13.5" thickTop="1" x14ac:dyDescent="0.2">
      <c r="A79" s="1494" t="s">
        <v>1945</v>
      </c>
      <c r="B79" s="534"/>
      <c r="C79" s="478">
        <v>4637732</v>
      </c>
      <c r="D79" s="535">
        <v>475127</v>
      </c>
      <c r="E79" s="535">
        <v>91059</v>
      </c>
      <c r="F79" s="535">
        <v>192149</v>
      </c>
      <c r="G79" s="535">
        <v>83137</v>
      </c>
      <c r="H79" s="535">
        <v>28486569</v>
      </c>
      <c r="I79" s="535">
        <v>638056</v>
      </c>
      <c r="J79" s="535">
        <v>459621</v>
      </c>
      <c r="K79" s="535">
        <v>132</v>
      </c>
      <c r="L79" s="347"/>
    </row>
    <row r="80" spans="1:12" x14ac:dyDescent="0.2">
      <c r="A80" s="2131" t="s">
        <v>1793</v>
      </c>
      <c r="B80" s="2132"/>
      <c r="C80" s="467"/>
      <c r="D80" s="467"/>
      <c r="E80" s="467"/>
      <c r="F80" s="467"/>
      <c r="G80" s="467"/>
      <c r="H80" s="467"/>
      <c r="I80" s="467"/>
      <c r="J80" s="467"/>
      <c r="K80" s="467"/>
      <c r="L80" s="347"/>
    </row>
    <row r="81" spans="1:12" ht="13.5" thickBot="1" x14ac:dyDescent="0.25">
      <c r="A81" s="2123" t="s">
        <v>1946</v>
      </c>
      <c r="B81" s="2124"/>
      <c r="C81" s="1688">
        <f>(SUM(C78:C80))</f>
        <v>5138650</v>
      </c>
      <c r="D81" s="1688">
        <f>SUM(D78:D80)</f>
        <v>579017</v>
      </c>
      <c r="E81" s="1688">
        <f t="shared" ref="E81:K81" si="10">SUM(E78:E80)</f>
        <v>89016</v>
      </c>
      <c r="F81" s="1688">
        <f t="shared" si="10"/>
        <v>182758</v>
      </c>
      <c r="G81" s="1688">
        <f t="shared" si="10"/>
        <v>105482</v>
      </c>
      <c r="H81" s="1688">
        <f t="shared" si="10"/>
        <v>12893182</v>
      </c>
      <c r="I81" s="1688">
        <f t="shared" si="10"/>
        <v>720982</v>
      </c>
      <c r="J81" s="1688">
        <f t="shared" si="10"/>
        <v>529649</v>
      </c>
      <c r="K81" s="1688">
        <f t="shared" si="10"/>
        <v>187</v>
      </c>
      <c r="L81" s="347"/>
    </row>
    <row r="82" spans="1:12" ht="0.75" customHeight="1" thickTop="1" thickBot="1" x14ac:dyDescent="0.25">
      <c r="A82" s="536" t="s">
        <v>343</v>
      </c>
      <c r="B82" s="537"/>
      <c r="C82" s="538">
        <f>(C81-C79)</f>
        <v>500918</v>
      </c>
      <c r="D82" s="538">
        <f t="shared" ref="D82:K82" si="11">(D81-D79)</f>
        <v>103890</v>
      </c>
      <c r="E82" s="538">
        <f t="shared" si="11"/>
        <v>-2043</v>
      </c>
      <c r="F82" s="538">
        <f t="shared" si="11"/>
        <v>-9391</v>
      </c>
      <c r="G82" s="538">
        <f t="shared" si="11"/>
        <v>22345</v>
      </c>
      <c r="H82" s="538">
        <f t="shared" si="11"/>
        <v>-15593387</v>
      </c>
      <c r="I82" s="538">
        <f t="shared" si="11"/>
        <v>82926</v>
      </c>
      <c r="J82" s="538">
        <f t="shared" si="11"/>
        <v>70028</v>
      </c>
      <c r="K82" s="538">
        <f t="shared" si="11"/>
        <v>55</v>
      </c>
    </row>
    <row r="83" spans="1:12" ht="14.25" hidden="1" thickTop="1" thickBot="1" x14ac:dyDescent="0.25">
      <c r="A83" s="539" t="s">
        <v>344</v>
      </c>
      <c r="B83" s="464"/>
      <c r="C83" s="540">
        <f>C82/C81</f>
        <v>9.7480466659531195E-2</v>
      </c>
      <c r="D83" s="540">
        <f t="shared" ref="D83:K83" si="12">D82/D81</f>
        <v>0.17942478372828433</v>
      </c>
      <c r="E83" s="540">
        <f t="shared" si="12"/>
        <v>-2.2950930169857105E-2</v>
      </c>
      <c r="F83" s="540">
        <f t="shared" si="12"/>
        <v>-5.1384891495857912E-2</v>
      </c>
      <c r="G83" s="540">
        <f t="shared" si="12"/>
        <v>0.21183709068845868</v>
      </c>
      <c r="H83" s="540">
        <f t="shared" si="12"/>
        <v>-1.2094289059132184</v>
      </c>
      <c r="I83" s="540">
        <f t="shared" si="12"/>
        <v>0.11501812805312754</v>
      </c>
      <c r="J83" s="540">
        <f t="shared" si="12"/>
        <v>0.13221586371351593</v>
      </c>
      <c r="K83" s="540">
        <f t="shared" si="12"/>
        <v>0.29411764705882354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1800</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6007258</v>
      </c>
      <c r="D5" s="481">
        <v>822914</v>
      </c>
      <c r="E5" s="466">
        <v>2162044</v>
      </c>
      <c r="F5" s="548">
        <v>329169</v>
      </c>
      <c r="G5" s="466">
        <v>178904</v>
      </c>
      <c r="H5" s="466"/>
      <c r="I5" s="466">
        <v>82288</v>
      </c>
      <c r="J5" s="467">
        <v>278140</v>
      </c>
      <c r="K5" s="466"/>
    </row>
    <row r="6" spans="1:12" ht="15" x14ac:dyDescent="0.2">
      <c r="A6" s="463" t="s">
        <v>1662</v>
      </c>
      <c r="B6" s="470">
        <v>1130</v>
      </c>
      <c r="C6" s="466">
        <v>79652</v>
      </c>
      <c r="D6" s="466"/>
      <c r="E6" s="475"/>
      <c r="F6" s="475"/>
      <c r="G6" s="468"/>
      <c r="H6" s="468"/>
      <c r="I6" s="468"/>
      <c r="J6" s="468"/>
      <c r="K6" s="468"/>
    </row>
    <row r="7" spans="1:12" x14ac:dyDescent="0.2">
      <c r="A7" s="463" t="s">
        <v>110</v>
      </c>
      <c r="B7" s="549">
        <v>1140</v>
      </c>
      <c r="C7" s="466">
        <v>65849</v>
      </c>
      <c r="D7" s="466"/>
      <c r="E7" s="468"/>
      <c r="F7" s="467"/>
      <c r="G7" s="467"/>
      <c r="H7" s="467"/>
      <c r="I7" s="468"/>
      <c r="J7" s="468"/>
      <c r="K7" s="468"/>
    </row>
    <row r="8" spans="1:12" x14ac:dyDescent="0.2">
      <c r="A8" s="463" t="s">
        <v>413</v>
      </c>
      <c r="B8" s="470">
        <v>1150</v>
      </c>
      <c r="C8" s="475"/>
      <c r="D8" s="475"/>
      <c r="E8" s="477"/>
      <c r="F8" s="477"/>
      <c r="G8" s="481">
        <v>214615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6152759</v>
      </c>
      <c r="D12" s="1707">
        <f t="shared" si="0"/>
        <v>822914</v>
      </c>
      <c r="E12" s="1707">
        <f t="shared" si="0"/>
        <v>2162044</v>
      </c>
      <c r="F12" s="1707">
        <f t="shared" si="0"/>
        <v>329169</v>
      </c>
      <c r="G12" s="1707">
        <f t="shared" si="0"/>
        <v>393519</v>
      </c>
      <c r="H12" s="1707">
        <f t="shared" si="0"/>
        <v>0</v>
      </c>
      <c r="I12" s="1707">
        <f t="shared" si="0"/>
        <v>82288</v>
      </c>
      <c r="J12" s="1707">
        <f t="shared" si="0"/>
        <v>278140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279649</v>
      </c>
      <c r="D16" s="466"/>
      <c r="E16" s="466"/>
      <c r="F16" s="466"/>
      <c r="G16" s="466">
        <v>10143</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279649</v>
      </c>
      <c r="D18" s="1710">
        <f t="shared" ref="D18:K18" si="1">SUM(D14:D17)</f>
        <v>0</v>
      </c>
      <c r="E18" s="1710">
        <f t="shared" si="1"/>
        <v>0</v>
      </c>
      <c r="F18" s="1710">
        <f t="shared" si="1"/>
        <v>0</v>
      </c>
      <c r="G18" s="1710">
        <f t="shared" si="1"/>
        <v>10143</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51705</v>
      </c>
      <c r="D65" s="466">
        <v>6380</v>
      </c>
      <c r="E65" s="466">
        <v>16237</v>
      </c>
      <c r="F65" s="467">
        <v>2552</v>
      </c>
      <c r="G65" s="466">
        <v>2981</v>
      </c>
      <c r="H65" s="466">
        <v>525376</v>
      </c>
      <c r="I65" s="466">
        <v>638</v>
      </c>
      <c r="J65" s="467">
        <v>2221</v>
      </c>
      <c r="K65" s="466">
        <v>55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51705</v>
      </c>
      <c r="D67" s="1688">
        <f t="shared" ref="D67:K67" si="2">SUM(D65:D66)</f>
        <v>6380</v>
      </c>
      <c r="E67" s="1688">
        <f t="shared" si="2"/>
        <v>16237</v>
      </c>
      <c r="F67" s="1688">
        <f t="shared" si="2"/>
        <v>2552</v>
      </c>
      <c r="G67" s="1688">
        <f t="shared" si="2"/>
        <v>2981</v>
      </c>
      <c r="H67" s="1688">
        <f t="shared" si="2"/>
        <v>525376</v>
      </c>
      <c r="I67" s="1688">
        <f t="shared" si="2"/>
        <v>638</v>
      </c>
      <c r="J67" s="1688">
        <f t="shared" si="2"/>
        <v>2221</v>
      </c>
      <c r="K67" s="1688">
        <f t="shared" si="2"/>
        <v>55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225226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120</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225346</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51385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10991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62376</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96600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96600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8659</v>
      </c>
      <c r="E95" s="521"/>
      <c r="F95" s="521"/>
      <c r="G95" s="521"/>
      <c r="H95" s="521"/>
      <c r="I95" s="521"/>
      <c r="J95" s="521"/>
      <c r="K95" s="521"/>
    </row>
    <row r="96" spans="1:11" ht="12.75" customHeight="1" x14ac:dyDescent="0.2">
      <c r="A96" s="463" t="s">
        <v>391</v>
      </c>
      <c r="B96" s="470">
        <v>1920</v>
      </c>
      <c r="C96" s="551">
        <v>73040</v>
      </c>
      <c r="D96" s="551">
        <v>7000</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41447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7758</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9104</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45553</v>
      </c>
      <c r="D107" s="466">
        <v>1534</v>
      </c>
      <c r="E107" s="466"/>
      <c r="F107" s="466">
        <v>181</v>
      </c>
      <c r="G107" s="466"/>
      <c r="H107" s="466">
        <v>4136</v>
      </c>
      <c r="I107" s="466"/>
      <c r="J107" s="467"/>
      <c r="K107" s="466"/>
    </row>
    <row r="108" spans="1:12" ht="12.75" customHeight="1" thickBot="1" x14ac:dyDescent="0.25">
      <c r="A108" s="1708" t="s">
        <v>487</v>
      </c>
      <c r="B108" s="1712"/>
      <c r="C108" s="1707">
        <f>SUM(C95:C107)</f>
        <v>167798</v>
      </c>
      <c r="D108" s="1707">
        <f t="shared" ref="D108:K108" si="3">SUM(D95:D107)</f>
        <v>17193</v>
      </c>
      <c r="E108" s="1707">
        <f t="shared" si="3"/>
        <v>0</v>
      </c>
      <c r="F108" s="1707">
        <f t="shared" si="3"/>
        <v>181</v>
      </c>
      <c r="G108" s="1707">
        <f t="shared" si="3"/>
        <v>0</v>
      </c>
      <c r="H108" s="1707">
        <f t="shared" si="3"/>
        <v>13240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7036233</v>
      </c>
      <c r="D109" s="1715">
        <f t="shared" si="4"/>
        <v>846487</v>
      </c>
      <c r="E109" s="1715">
        <f t="shared" si="4"/>
        <v>2178281</v>
      </c>
      <c r="F109" s="1715">
        <f t="shared" si="4"/>
        <v>331902</v>
      </c>
      <c r="G109" s="1715">
        <f t="shared" si="4"/>
        <v>406643</v>
      </c>
      <c r="H109" s="1715">
        <f t="shared" si="4"/>
        <v>538616</v>
      </c>
      <c r="I109" s="1715">
        <f t="shared" si="4"/>
        <v>82926</v>
      </c>
      <c r="J109" s="1715">
        <f t="shared" si="4"/>
        <v>280361</v>
      </c>
      <c r="K109" s="1702">
        <f t="shared" si="4"/>
        <v>55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4071949</v>
      </c>
      <c r="D117" s="481"/>
      <c r="E117" s="466"/>
      <c r="F117" s="481">
        <v>100000</v>
      </c>
      <c r="G117" s="481"/>
      <c r="H117" s="466"/>
      <c r="I117" s="468"/>
      <c r="J117" s="467"/>
      <c r="K117" s="466"/>
    </row>
    <row r="118" spans="1:11" ht="12.75" customHeight="1" x14ac:dyDescent="0.2">
      <c r="A118" s="463" t="s">
        <v>1797</v>
      </c>
      <c r="B118" s="562">
        <v>3002</v>
      </c>
      <c r="C118" s="551"/>
      <c r="D118" s="466"/>
      <c r="E118" s="466"/>
      <c r="F118" s="466"/>
      <c r="G118" s="466"/>
      <c r="H118" s="466"/>
      <c r="I118" s="468"/>
      <c r="J118" s="467"/>
      <c r="K118" s="466"/>
    </row>
    <row r="119" spans="1:11" ht="12.75" customHeight="1" x14ac:dyDescent="0.2">
      <c r="A119" s="463" t="s">
        <v>1798</v>
      </c>
      <c r="B119" s="562">
        <v>3005</v>
      </c>
      <c r="C119" s="551"/>
      <c r="D119" s="466"/>
      <c r="E119" s="466"/>
      <c r="F119" s="466"/>
      <c r="G119" s="466"/>
      <c r="H119" s="466"/>
      <c r="I119" s="468"/>
      <c r="J119" s="467"/>
      <c r="K119" s="466"/>
    </row>
    <row r="120" spans="1:11" ht="12.75" customHeight="1" x14ac:dyDescent="0.2">
      <c r="A120" s="1930" t="s">
        <v>1932</v>
      </c>
      <c r="B120" s="562">
        <v>3030</v>
      </c>
      <c r="C120" s="551"/>
      <c r="D120" s="466"/>
      <c r="E120" s="466"/>
      <c r="F120" s="466"/>
      <c r="G120" s="466"/>
      <c r="H120" s="466"/>
      <c r="I120" s="468"/>
      <c r="J120" s="467"/>
      <c r="K120" s="466"/>
    </row>
    <row r="121" spans="1:11" x14ac:dyDescent="0.2">
      <c r="A121" s="1496" t="s">
        <v>1799</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4071949</v>
      </c>
      <c r="D122" s="1707">
        <f t="shared" si="5"/>
        <v>0</v>
      </c>
      <c r="E122" s="1707">
        <f t="shared" si="5"/>
        <v>0</v>
      </c>
      <c r="F122" s="1707">
        <f t="shared" si="5"/>
        <v>100000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208824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14771</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223595</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25392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10063</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35455</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7072</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20802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263441</v>
      </c>
      <c r="G152" s="467"/>
      <c r="H152" s="468"/>
      <c r="I152" s="468"/>
      <c r="J152" s="468"/>
      <c r="K152" s="468"/>
    </row>
    <row r="153" spans="1:11" ht="12.75" customHeight="1" x14ac:dyDescent="0.2">
      <c r="A153" s="463" t="s">
        <v>1057</v>
      </c>
      <c r="B153" s="562">
        <v>3510</v>
      </c>
      <c r="C153" s="551"/>
      <c r="D153" s="466"/>
      <c r="E153" s="561"/>
      <c r="F153" s="466">
        <v>164123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427564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30538</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2617</v>
      </c>
      <c r="D168" s="580"/>
      <c r="E168" s="580"/>
      <c r="F168" s="580"/>
      <c r="G168" s="581"/>
      <c r="H168" s="582"/>
      <c r="I168" s="581"/>
      <c r="J168" s="581"/>
      <c r="K168" s="582"/>
    </row>
    <row r="169" spans="1:11" ht="12.75" customHeight="1" thickTop="1" thickBot="1" x14ac:dyDescent="0.25">
      <c r="A169" s="2147" t="s">
        <v>398</v>
      </c>
      <c r="B169" s="2148"/>
      <c r="C169" s="1722">
        <f t="shared" ref="C169:K169" si="6">SUM(C132,C141,C145,C146:C150,C155,C156:C167,C168)</f>
        <v>320079</v>
      </c>
      <c r="D169" s="1722">
        <f t="shared" si="6"/>
        <v>0</v>
      </c>
      <c r="E169" s="1722">
        <f t="shared" si="6"/>
        <v>0</v>
      </c>
      <c r="F169" s="1722">
        <f t="shared" si="6"/>
        <v>427564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4392028</v>
      </c>
      <c r="D170" s="1715">
        <f t="shared" si="7"/>
        <v>0</v>
      </c>
      <c r="E170" s="1715">
        <f t="shared" si="7"/>
        <v>0</v>
      </c>
      <c r="F170" s="1715">
        <f t="shared" si="7"/>
        <v>527564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1" t="s">
        <v>1801</v>
      </c>
      <c r="B182" s="2152"/>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310141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80092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390233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314652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314652</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18880</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18880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287540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287540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31477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1933</v>
      </c>
      <c r="B261" s="470">
        <v>4981</v>
      </c>
      <c r="C261" s="575"/>
      <c r="D261" s="576"/>
      <c r="E261" s="468"/>
      <c r="F261" s="576"/>
      <c r="G261" s="576"/>
      <c r="H261" s="468"/>
      <c r="I261" s="468"/>
      <c r="J261" s="468"/>
      <c r="K261" s="468"/>
    </row>
    <row r="262" spans="1:11" ht="12.75" customHeight="1" thickTop="1" thickBot="1" x14ac:dyDescent="0.25">
      <c r="A262" s="1931" t="s">
        <v>1934</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21104</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1063886</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1063886</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12492147</v>
      </c>
      <c r="D268" s="1715">
        <f t="shared" si="12"/>
        <v>846487</v>
      </c>
      <c r="E268" s="1715">
        <f t="shared" si="12"/>
        <v>2178281</v>
      </c>
      <c r="F268" s="1715">
        <f t="shared" si="12"/>
        <v>859466</v>
      </c>
      <c r="G268" s="1715">
        <f t="shared" si="12"/>
        <v>406643</v>
      </c>
      <c r="H268" s="1715">
        <f t="shared" si="12"/>
        <v>538616</v>
      </c>
      <c r="I268" s="1715">
        <f t="shared" si="12"/>
        <v>82926</v>
      </c>
      <c r="J268" s="1715">
        <f t="shared" si="12"/>
        <v>280361</v>
      </c>
      <c r="K268" s="1702">
        <f t="shared" si="12"/>
        <v>55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35" activePane="bottomLeft" state="frozen"/>
      <selection pane="bottomLeft" activeCell="H348" sqref="H348"/>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1800</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3491637</v>
      </c>
      <c r="D5" s="466">
        <v>891692</v>
      </c>
      <c r="E5" s="466">
        <v>29741</v>
      </c>
      <c r="F5" s="466">
        <v>103077</v>
      </c>
      <c r="G5" s="466">
        <v>2306</v>
      </c>
      <c r="H5" s="466">
        <v>385</v>
      </c>
      <c r="I5" s="467"/>
      <c r="J5" s="467"/>
      <c r="K5" s="1671">
        <f>SUM(C5:J5)</f>
        <v>4518838</v>
      </c>
      <c r="L5" s="466">
        <v>4609347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1492372</v>
      </c>
      <c r="D8" s="466">
        <v>435161</v>
      </c>
      <c r="E8" s="466">
        <v>46</v>
      </c>
      <c r="F8" s="466">
        <v>4796</v>
      </c>
      <c r="G8" s="466"/>
      <c r="H8" s="466"/>
      <c r="I8" s="467"/>
      <c r="J8" s="467"/>
      <c r="K8" s="1671">
        <f t="shared" si="0"/>
        <v>1932375</v>
      </c>
      <c r="L8" s="466">
        <v>1984247</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31879</v>
      </c>
      <c r="D10" s="466">
        <v>10170</v>
      </c>
      <c r="E10" s="466">
        <v>2938</v>
      </c>
      <c r="F10" s="466">
        <v>91235</v>
      </c>
      <c r="G10" s="466"/>
      <c r="H10" s="466"/>
      <c r="I10" s="467"/>
      <c r="J10" s="467"/>
      <c r="K10" s="1671">
        <f t="shared" si="0"/>
        <v>136222</v>
      </c>
      <c r="L10" s="466">
        <v>160059</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294982</v>
      </c>
      <c r="D13" s="466">
        <v>73385</v>
      </c>
      <c r="E13" s="466">
        <v>14324</v>
      </c>
      <c r="F13" s="466">
        <v>30465</v>
      </c>
      <c r="G13" s="466"/>
      <c r="H13" s="466"/>
      <c r="I13" s="467"/>
      <c r="J13" s="467"/>
      <c r="K13" s="1671">
        <f t="shared" si="0"/>
        <v>413156</v>
      </c>
      <c r="L13" s="466">
        <v>421374</v>
      </c>
    </row>
    <row r="14" spans="1:14" x14ac:dyDescent="0.2">
      <c r="A14" s="1504" t="s">
        <v>963</v>
      </c>
      <c r="B14" s="614">
        <v>1500</v>
      </c>
      <c r="C14" s="466">
        <v>168012</v>
      </c>
      <c r="D14" s="466">
        <v>16002</v>
      </c>
      <c r="E14" s="466">
        <v>63004</v>
      </c>
      <c r="F14" s="466">
        <v>59160</v>
      </c>
      <c r="G14" s="466">
        <v>19414</v>
      </c>
      <c r="H14" s="466"/>
      <c r="I14" s="467"/>
      <c r="J14" s="467"/>
      <c r="K14" s="1671">
        <f t="shared" si="0"/>
        <v>325592</v>
      </c>
      <c r="L14" s="466">
        <v>370802</v>
      </c>
    </row>
    <row r="15" spans="1:14" x14ac:dyDescent="0.2">
      <c r="A15" s="1504" t="s">
        <v>964</v>
      </c>
      <c r="B15" s="614">
        <v>1600</v>
      </c>
      <c r="C15" s="466">
        <v>15100</v>
      </c>
      <c r="D15" s="466">
        <v>1155</v>
      </c>
      <c r="E15" s="466"/>
      <c r="F15" s="466"/>
      <c r="G15" s="466"/>
      <c r="H15" s="466"/>
      <c r="I15" s="467"/>
      <c r="J15" s="467"/>
      <c r="K15" s="1671">
        <f t="shared" si="0"/>
        <v>16255</v>
      </c>
      <c r="L15" s="466">
        <v>15620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76174</v>
      </c>
      <c r="D17" s="467">
        <v>21731</v>
      </c>
      <c r="E17" s="467">
        <v>3900</v>
      </c>
      <c r="F17" s="467">
        <v>1401</v>
      </c>
      <c r="G17" s="467"/>
      <c r="H17" s="467"/>
      <c r="I17" s="467"/>
      <c r="J17" s="467"/>
      <c r="K17" s="1671">
        <f t="shared" si="0"/>
        <v>103206</v>
      </c>
      <c r="L17" s="466">
        <v>103807</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5570156</v>
      </c>
      <c r="D33" s="1670">
        <f t="shared" ref="D33:L33" si="1">SUM(D5:D32)</f>
        <v>1449296</v>
      </c>
      <c r="E33" s="1670">
        <f t="shared" si="1"/>
        <v>113953</v>
      </c>
      <c r="F33" s="1670">
        <f t="shared" si="1"/>
        <v>290134</v>
      </c>
      <c r="G33" s="1670">
        <f t="shared" si="1"/>
        <v>21720</v>
      </c>
      <c r="H33" s="1670">
        <f t="shared" si="1"/>
        <v>385</v>
      </c>
      <c r="I33" s="1670">
        <f t="shared" si="1"/>
        <v>0</v>
      </c>
      <c r="J33" s="1670">
        <f t="shared" si="1"/>
        <v>0</v>
      </c>
      <c r="K33" s="1670">
        <f t="shared" si="1"/>
        <v>7445644</v>
      </c>
      <c r="L33" s="1670">
        <f t="shared" si="1"/>
        <v>7665256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86882</v>
      </c>
      <c r="D36" s="481">
        <v>23064</v>
      </c>
      <c r="E36" s="481">
        <v>21264</v>
      </c>
      <c r="F36" s="481"/>
      <c r="G36" s="481"/>
      <c r="H36" s="481"/>
      <c r="I36" s="467"/>
      <c r="J36" s="467"/>
      <c r="K36" s="1671">
        <f t="shared" ref="K36:K41" si="2">SUM(C36:J36)</f>
        <v>131210</v>
      </c>
      <c r="L36" s="466">
        <v>138104</v>
      </c>
    </row>
    <row r="37" spans="1:14" x14ac:dyDescent="0.2">
      <c r="A37" s="1504" t="s">
        <v>1090</v>
      </c>
      <c r="B37" s="614">
        <v>2120</v>
      </c>
      <c r="C37" s="466">
        <v>192373</v>
      </c>
      <c r="D37" s="466">
        <v>45373</v>
      </c>
      <c r="E37" s="466">
        <v>310</v>
      </c>
      <c r="F37" s="466">
        <v>526</v>
      </c>
      <c r="G37" s="466"/>
      <c r="H37" s="466"/>
      <c r="I37" s="467"/>
      <c r="J37" s="467"/>
      <c r="K37" s="1671">
        <f t="shared" si="2"/>
        <v>238582</v>
      </c>
      <c r="L37" s="466">
        <v>234488</v>
      </c>
    </row>
    <row r="38" spans="1:14" x14ac:dyDescent="0.2">
      <c r="A38" s="1504" t="s">
        <v>198</v>
      </c>
      <c r="B38" s="614">
        <v>2130</v>
      </c>
      <c r="C38" s="466"/>
      <c r="D38" s="466"/>
      <c r="E38" s="466">
        <v>5138</v>
      </c>
      <c r="F38" s="466">
        <v>5006</v>
      </c>
      <c r="G38" s="466"/>
      <c r="H38" s="466"/>
      <c r="I38" s="467"/>
      <c r="J38" s="467"/>
      <c r="K38" s="1671">
        <f t="shared" si="2"/>
        <v>10144</v>
      </c>
      <c r="L38" s="466">
        <v>66000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279255</v>
      </c>
      <c r="D42" s="1670">
        <f t="shared" ref="D42:L42" si="3">SUM(D36:D41)</f>
        <v>68437</v>
      </c>
      <c r="E42" s="1670">
        <f t="shared" si="3"/>
        <v>26712</v>
      </c>
      <c r="F42" s="1670">
        <f t="shared" si="3"/>
        <v>5532</v>
      </c>
      <c r="G42" s="1670">
        <f t="shared" si="3"/>
        <v>0</v>
      </c>
      <c r="H42" s="1670">
        <f t="shared" si="3"/>
        <v>0</v>
      </c>
      <c r="I42" s="1670">
        <f t="shared" si="3"/>
        <v>0</v>
      </c>
      <c r="J42" s="1670">
        <f t="shared" si="3"/>
        <v>0</v>
      </c>
      <c r="K42" s="1670">
        <f t="shared" si="3"/>
        <v>379936</v>
      </c>
      <c r="L42" s="1670">
        <f t="shared" si="3"/>
        <v>438592</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159070</v>
      </c>
      <c r="D44" s="481">
        <v>32507</v>
      </c>
      <c r="E44" s="481">
        <v>140842</v>
      </c>
      <c r="F44" s="481">
        <v>79698</v>
      </c>
      <c r="G44" s="481">
        <v>123304</v>
      </c>
      <c r="H44" s="481"/>
      <c r="I44" s="467"/>
      <c r="J44" s="467"/>
      <c r="K44" s="1672">
        <f>SUM(C44:J44)</f>
        <v>535421</v>
      </c>
      <c r="L44" s="481">
        <v>553061</v>
      </c>
    </row>
    <row r="45" spans="1:14" x14ac:dyDescent="0.2">
      <c r="A45" s="1504" t="s">
        <v>815</v>
      </c>
      <c r="B45" s="614">
        <v>2220</v>
      </c>
      <c r="C45" s="466">
        <v>103572</v>
      </c>
      <c r="D45" s="466">
        <v>13565</v>
      </c>
      <c r="E45" s="466"/>
      <c r="F45" s="466">
        <v>17828</v>
      </c>
      <c r="G45" s="466"/>
      <c r="H45" s="466"/>
      <c r="I45" s="467"/>
      <c r="J45" s="467"/>
      <c r="K45" s="1672">
        <f>SUM(C45:J45)</f>
        <v>134965</v>
      </c>
      <c r="L45" s="466">
        <v>136667</v>
      </c>
    </row>
    <row r="46" spans="1:14" x14ac:dyDescent="0.2">
      <c r="A46" s="1504" t="s">
        <v>816</v>
      </c>
      <c r="B46" s="614">
        <v>2230</v>
      </c>
      <c r="C46" s="466"/>
      <c r="D46" s="466"/>
      <c r="E46" s="466">
        <v>6000</v>
      </c>
      <c r="F46" s="466"/>
      <c r="G46" s="466"/>
      <c r="H46" s="466"/>
      <c r="I46" s="467"/>
      <c r="J46" s="467"/>
      <c r="K46" s="1672">
        <f>SUM(C46:J46)</f>
        <v>6000</v>
      </c>
      <c r="L46" s="466">
        <v>6000</v>
      </c>
    </row>
    <row r="47" spans="1:14" ht="12.75" customHeight="1" thickBot="1" x14ac:dyDescent="0.25">
      <c r="A47" s="1668" t="s">
        <v>561</v>
      </c>
      <c r="B47" s="1669" t="s">
        <v>32</v>
      </c>
      <c r="C47" s="1670">
        <f>SUM(C44:C46)</f>
        <v>262642</v>
      </c>
      <c r="D47" s="1670">
        <f t="shared" ref="D47:K47" si="4">SUM(D44:D46)</f>
        <v>46072</v>
      </c>
      <c r="E47" s="1670">
        <f t="shared" si="4"/>
        <v>146842</v>
      </c>
      <c r="F47" s="1670">
        <f t="shared" si="4"/>
        <v>97526</v>
      </c>
      <c r="G47" s="1670">
        <f t="shared" si="4"/>
        <v>123304</v>
      </c>
      <c r="H47" s="1670">
        <f t="shared" si="4"/>
        <v>0</v>
      </c>
      <c r="I47" s="1670">
        <f t="shared" si="4"/>
        <v>0</v>
      </c>
      <c r="J47" s="1670">
        <f t="shared" si="4"/>
        <v>0</v>
      </c>
      <c r="K47" s="1670">
        <f t="shared" si="4"/>
        <v>676386</v>
      </c>
      <c r="L47" s="1670">
        <f>SUM(L44:L46)</f>
        <v>695728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v>93928</v>
      </c>
      <c r="E49" s="481">
        <v>47553</v>
      </c>
      <c r="F49" s="481"/>
      <c r="G49" s="481"/>
      <c r="H49" s="481">
        <v>22240</v>
      </c>
      <c r="I49" s="467"/>
      <c r="J49" s="467"/>
      <c r="K49" s="1672">
        <f>SUM(C49:J49)</f>
        <v>163721</v>
      </c>
      <c r="L49" s="481">
        <v>165600</v>
      </c>
    </row>
    <row r="50" spans="1:14" x14ac:dyDescent="0.2">
      <c r="A50" s="1504" t="s">
        <v>818</v>
      </c>
      <c r="B50" s="614">
        <v>2320</v>
      </c>
      <c r="C50" s="466">
        <v>138921</v>
      </c>
      <c r="D50" s="466">
        <v>22855</v>
      </c>
      <c r="E50" s="466">
        <v>6020</v>
      </c>
      <c r="F50" s="466">
        <v>12355</v>
      </c>
      <c r="G50" s="466"/>
      <c r="H50" s="466">
        <v>2970</v>
      </c>
      <c r="I50" s="467"/>
      <c r="J50" s="467"/>
      <c r="K50" s="1672">
        <f>SUM(C50:J50)</f>
        <v>183121</v>
      </c>
      <c r="L50" s="466">
        <v>183505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138921</v>
      </c>
      <c r="D53" s="1670">
        <f t="shared" ref="D53:L53" si="5">SUM(D49:D52)</f>
        <v>116783</v>
      </c>
      <c r="E53" s="1670">
        <f t="shared" si="5"/>
        <v>53573</v>
      </c>
      <c r="F53" s="1670">
        <f t="shared" si="5"/>
        <v>12355</v>
      </c>
      <c r="G53" s="1670">
        <f t="shared" si="5"/>
        <v>0</v>
      </c>
      <c r="H53" s="1670">
        <f t="shared" si="5"/>
        <v>25210</v>
      </c>
      <c r="I53" s="1670">
        <f t="shared" si="5"/>
        <v>0</v>
      </c>
      <c r="J53" s="1670">
        <f t="shared" si="5"/>
        <v>0</v>
      </c>
      <c r="K53" s="1670">
        <f t="shared" si="5"/>
        <v>346842</v>
      </c>
      <c r="L53" s="1670">
        <f t="shared" si="5"/>
        <v>349105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568203</v>
      </c>
      <c r="D55" s="481">
        <v>118729</v>
      </c>
      <c r="E55" s="481">
        <v>85550</v>
      </c>
      <c r="F55" s="481">
        <v>31143</v>
      </c>
      <c r="G55" s="481">
        <v>9288</v>
      </c>
      <c r="H55" s="481">
        <v>1475</v>
      </c>
      <c r="I55" s="467"/>
      <c r="J55" s="467"/>
      <c r="K55" s="1672">
        <f>SUM(C55:J55)</f>
        <v>814388</v>
      </c>
      <c r="L55" s="481">
        <v>841529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568203</v>
      </c>
      <c r="D57" s="1674">
        <f t="shared" ref="D57:K57" si="6">SUM(D55:D56)</f>
        <v>118729</v>
      </c>
      <c r="E57" s="1674">
        <f t="shared" si="6"/>
        <v>85550</v>
      </c>
      <c r="F57" s="1674">
        <f t="shared" si="6"/>
        <v>31143</v>
      </c>
      <c r="G57" s="1674">
        <f t="shared" si="6"/>
        <v>9288</v>
      </c>
      <c r="H57" s="1674">
        <f t="shared" si="6"/>
        <v>1475</v>
      </c>
      <c r="I57" s="1674">
        <f t="shared" si="6"/>
        <v>0</v>
      </c>
      <c r="J57" s="1674">
        <f t="shared" si="6"/>
        <v>0</v>
      </c>
      <c r="K57" s="1674">
        <f t="shared" si="6"/>
        <v>814388</v>
      </c>
      <c r="L57" s="1670">
        <f>SUM(L55:L56)</f>
        <v>841529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154129</v>
      </c>
      <c r="D60" s="466">
        <v>18719</v>
      </c>
      <c r="E60" s="466"/>
      <c r="F60" s="466">
        <v>1507</v>
      </c>
      <c r="G60" s="466">
        <v>2074</v>
      </c>
      <c r="H60" s="466"/>
      <c r="I60" s="467"/>
      <c r="J60" s="467"/>
      <c r="K60" s="1672">
        <f t="shared" si="7"/>
        <v>176429</v>
      </c>
      <c r="L60" s="466">
        <v>168320</v>
      </c>
      <c r="M60" s="609"/>
      <c r="N60" s="609"/>
    </row>
    <row r="61" spans="1:14" s="343" customFormat="1" x14ac:dyDescent="0.2">
      <c r="A61" s="1504" t="s">
        <v>197</v>
      </c>
      <c r="B61" s="614">
        <v>2540</v>
      </c>
      <c r="C61" s="466">
        <v>479483</v>
      </c>
      <c r="D61" s="466">
        <v>74962</v>
      </c>
      <c r="E61" s="466">
        <v>13989</v>
      </c>
      <c r="F61" s="466"/>
      <c r="G61" s="466"/>
      <c r="H61" s="466"/>
      <c r="I61" s="467"/>
      <c r="J61" s="467"/>
      <c r="K61" s="1672">
        <f t="shared" si="7"/>
        <v>568434</v>
      </c>
      <c r="L61" s="466">
        <v>606092</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259337</v>
      </c>
      <c r="D63" s="466">
        <v>89303</v>
      </c>
      <c r="E63" s="466">
        <v>274877</v>
      </c>
      <c r="F63" s="466">
        <v>18178</v>
      </c>
      <c r="G63" s="466"/>
      <c r="H63" s="466"/>
      <c r="I63" s="467"/>
      <c r="J63" s="467"/>
      <c r="K63" s="1672">
        <f t="shared" si="7"/>
        <v>641695</v>
      </c>
      <c r="L63" s="466">
        <v>668615</v>
      </c>
    </row>
    <row r="64" spans="1:14" s="609" customFormat="1" x14ac:dyDescent="0.2">
      <c r="A64" s="1509" t="s">
        <v>101</v>
      </c>
      <c r="B64" s="630">
        <v>2570</v>
      </c>
      <c r="C64" s="481"/>
      <c r="D64" s="481"/>
      <c r="E64" s="481"/>
      <c r="F64" s="481">
        <v>16826</v>
      </c>
      <c r="G64" s="481"/>
      <c r="H64" s="481"/>
      <c r="I64" s="467"/>
      <c r="J64" s="467"/>
      <c r="K64" s="1672">
        <f t="shared" si="7"/>
        <v>16826</v>
      </c>
      <c r="L64" s="481">
        <v>22000</v>
      </c>
    </row>
    <row r="65" spans="1:14" s="343" customFormat="1" ht="12.75" customHeight="1" thickBot="1" x14ac:dyDescent="0.25">
      <c r="A65" s="1668" t="s">
        <v>719</v>
      </c>
      <c r="B65" s="1669" t="s">
        <v>35</v>
      </c>
      <c r="C65" s="1670">
        <f>SUM(C59:C64)</f>
        <v>892949</v>
      </c>
      <c r="D65" s="1670">
        <f t="shared" ref="D65:L65" si="8">SUM(D59:D64)</f>
        <v>182984</v>
      </c>
      <c r="E65" s="1670">
        <f t="shared" si="8"/>
        <v>288866</v>
      </c>
      <c r="F65" s="1670">
        <f t="shared" si="8"/>
        <v>36511</v>
      </c>
      <c r="G65" s="1670">
        <f t="shared" si="8"/>
        <v>2074</v>
      </c>
      <c r="H65" s="1670">
        <f t="shared" si="8"/>
        <v>0</v>
      </c>
      <c r="I65" s="1670">
        <f t="shared" si="8"/>
        <v>0</v>
      </c>
      <c r="J65" s="1670">
        <f t="shared" si="8"/>
        <v>0</v>
      </c>
      <c r="K65" s="1670">
        <f t="shared" si="8"/>
        <v>1403384</v>
      </c>
      <c r="L65" s="1670">
        <f t="shared" si="8"/>
        <v>1465027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v>1500</v>
      </c>
      <c r="D70" s="466">
        <v>327</v>
      </c>
      <c r="E70" s="466"/>
      <c r="F70" s="466"/>
      <c r="G70" s="466"/>
      <c r="H70" s="466"/>
      <c r="I70" s="467"/>
      <c r="J70" s="467"/>
      <c r="K70" s="1672">
        <f>SUM(C70:J70)</f>
        <v>1827</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1500</v>
      </c>
      <c r="D72" s="1670">
        <f t="shared" ref="D72:K72" si="9">SUM(D67:D71)</f>
        <v>327</v>
      </c>
      <c r="E72" s="1670">
        <f t="shared" si="9"/>
        <v>0</v>
      </c>
      <c r="F72" s="1670">
        <f t="shared" si="9"/>
        <v>0</v>
      </c>
      <c r="G72" s="1670">
        <f t="shared" si="9"/>
        <v>0</v>
      </c>
      <c r="H72" s="1670">
        <f t="shared" si="9"/>
        <v>0</v>
      </c>
      <c r="I72" s="1670">
        <f t="shared" si="9"/>
        <v>0</v>
      </c>
      <c r="J72" s="1670">
        <f t="shared" si="9"/>
        <v>0</v>
      </c>
      <c r="K72" s="1670">
        <f t="shared" si="9"/>
        <v>1827</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500</v>
      </c>
      <c r="M73" s="609"/>
      <c r="N73" s="609"/>
    </row>
    <row r="74" spans="1:14" ht="12.75" customHeight="1" thickTop="1" thickBot="1" x14ac:dyDescent="0.25">
      <c r="A74" s="1668" t="s">
        <v>811</v>
      </c>
      <c r="B74" s="1676">
        <v>2000</v>
      </c>
      <c r="C74" s="1677">
        <f>SUM(C42,C47,C53,C57,C65,C72,C73)</f>
        <v>2143470</v>
      </c>
      <c r="D74" s="1677">
        <f t="shared" ref="D74:K74" si="10">SUM(D42,D47,D53,D57,D65,D72,D73)</f>
        <v>533332</v>
      </c>
      <c r="E74" s="1677">
        <f t="shared" si="10"/>
        <v>601543</v>
      </c>
      <c r="F74" s="1677">
        <f t="shared" si="10"/>
        <v>183067</v>
      </c>
      <c r="G74" s="1677">
        <f t="shared" si="10"/>
        <v>134666</v>
      </c>
      <c r="H74" s="1677">
        <f t="shared" si="10"/>
        <v>26685</v>
      </c>
      <c r="I74" s="1677">
        <f t="shared" si="10"/>
        <v>0</v>
      </c>
      <c r="J74" s="1677">
        <f t="shared" si="10"/>
        <v>0</v>
      </c>
      <c r="K74" s="1677">
        <f t="shared" si="10"/>
        <v>3622763</v>
      </c>
      <c r="L74" s="1677">
        <f>SUM(L42,L47,L53,L57,L65,L72,L73)</f>
        <v>3790481</v>
      </c>
    </row>
    <row r="75" spans="1:14" s="259" customFormat="1" ht="15.75" customHeight="1" thickTop="1" thickBot="1" x14ac:dyDescent="0.25">
      <c r="A75" s="1610" t="s">
        <v>47</v>
      </c>
      <c r="B75" s="1611" t="s">
        <v>575</v>
      </c>
      <c r="C75" s="573">
        <v>4375</v>
      </c>
      <c r="D75" s="573">
        <v>1090</v>
      </c>
      <c r="E75" s="573">
        <v>215</v>
      </c>
      <c r="F75" s="573">
        <v>137</v>
      </c>
      <c r="G75" s="573"/>
      <c r="H75" s="573"/>
      <c r="I75" s="531"/>
      <c r="J75" s="531"/>
      <c r="K75" s="1670">
        <f>SUM(C75:J75)</f>
        <v>5817</v>
      </c>
      <c r="L75" s="576">
        <v>29149</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908266</v>
      </c>
      <c r="I86" s="477"/>
      <c r="J86" s="477"/>
      <c r="K86" s="1677">
        <f t="shared" ref="K86:K98" si="12">H86</f>
        <v>908266</v>
      </c>
      <c r="L86" s="530">
        <v>1041000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v>8739</v>
      </c>
      <c r="I91" s="477"/>
      <c r="J91" s="477"/>
      <c r="K91" s="1677">
        <f t="shared" si="12"/>
        <v>8739</v>
      </c>
      <c r="L91" s="530">
        <v>8000</v>
      </c>
    </row>
    <row r="92" spans="1:12" ht="14.25" thickTop="1" thickBot="1" x14ac:dyDescent="0.25">
      <c r="A92" s="1680" t="s">
        <v>1560</v>
      </c>
      <c r="B92" s="1678">
        <v>4200</v>
      </c>
      <c r="C92" s="616"/>
      <c r="D92" s="616"/>
      <c r="E92" s="638"/>
      <c r="F92" s="616"/>
      <c r="G92" s="616"/>
      <c r="H92" s="1670">
        <f>SUM(H85:H91)</f>
        <v>917005</v>
      </c>
      <c r="I92" s="477"/>
      <c r="J92" s="477"/>
      <c r="K92" s="1677">
        <f t="shared" si="12"/>
        <v>917005</v>
      </c>
      <c r="L92" s="1670">
        <f>SUM(L85:L91)</f>
        <v>1049000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917005</v>
      </c>
      <c r="I102" s="477"/>
      <c r="J102" s="477"/>
      <c r="K102" s="1677">
        <f>SUM(K84,K92,K100,K101)</f>
        <v>917005</v>
      </c>
      <c r="L102" s="1677">
        <f>SUM(L84,L92,L100,L101)</f>
        <v>1049000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35178</v>
      </c>
      <c r="M113" s="613"/>
      <c r="N113" s="613"/>
    </row>
    <row r="114" spans="1:14" ht="12.75" customHeight="1" thickTop="1" thickBot="1" x14ac:dyDescent="0.25">
      <c r="A114" s="1668" t="s">
        <v>48</v>
      </c>
      <c r="B114" s="1682"/>
      <c r="C114" s="1670">
        <f>SUM(C33,C74,C75,C102,C112,C113)</f>
        <v>7718001</v>
      </c>
      <c r="D114" s="1670">
        <f t="shared" ref="D114:K114" si="13">SUM(D33,D74,D75,D102,D112,D113)</f>
        <v>1983718</v>
      </c>
      <c r="E114" s="1670">
        <f t="shared" si="13"/>
        <v>715711</v>
      </c>
      <c r="F114" s="1670">
        <f t="shared" si="13"/>
        <v>473338</v>
      </c>
      <c r="G114" s="1670">
        <f t="shared" si="13"/>
        <v>156386</v>
      </c>
      <c r="H114" s="1670">
        <f>SUM(H33,H74,H75,H102,H112,H113)</f>
        <v>944075</v>
      </c>
      <c r="I114" s="1670">
        <f t="shared" si="13"/>
        <v>0</v>
      </c>
      <c r="J114" s="1670">
        <f t="shared" si="13"/>
        <v>0</v>
      </c>
      <c r="K114" s="1670">
        <f t="shared" si="13"/>
        <v>11991229</v>
      </c>
      <c r="L114" s="1670">
        <f>SUM(L33,L74,L75,L102,L112,L113)</f>
        <v>12569064</v>
      </c>
    </row>
    <row r="115" spans="1:14" ht="13.5" thickTop="1" x14ac:dyDescent="0.2">
      <c r="A115" s="2159" t="s">
        <v>996</v>
      </c>
      <c r="B115" s="2160"/>
      <c r="C115" s="618"/>
      <c r="D115" s="618"/>
      <c r="E115" s="618"/>
      <c r="F115" s="618"/>
      <c r="G115" s="618"/>
      <c r="H115" s="618"/>
      <c r="I115" s="618"/>
      <c r="J115" s="618"/>
      <c r="K115" s="1684">
        <f>'Revenues 9-14'!C268-'Expenditures 15-22'!K114</f>
        <v>500918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2056</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v>15000</v>
      </c>
    </row>
    <row r="124" spans="1:14" ht="14.25" thickTop="1" thickBot="1" x14ac:dyDescent="0.25">
      <c r="A124" s="1504" t="s">
        <v>197</v>
      </c>
      <c r="B124" s="614">
        <v>2540</v>
      </c>
      <c r="C124" s="466">
        <v>67547</v>
      </c>
      <c r="D124" s="466">
        <v>35</v>
      </c>
      <c r="E124" s="466">
        <v>299613</v>
      </c>
      <c r="F124" s="466">
        <v>363084</v>
      </c>
      <c r="G124" s="466">
        <v>12318</v>
      </c>
      <c r="H124" s="466"/>
      <c r="I124" s="467"/>
      <c r="J124" s="467"/>
      <c r="K124" s="1670">
        <f>SUM(C124:J124)</f>
        <v>742597</v>
      </c>
      <c r="L124" s="466">
        <v>951660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67547</v>
      </c>
      <c r="D127" s="1670">
        <f t="shared" ref="D127:L127" si="14">SUM(D122:D126)</f>
        <v>35</v>
      </c>
      <c r="E127" s="1670">
        <f t="shared" si="14"/>
        <v>299613</v>
      </c>
      <c r="F127" s="1670">
        <f t="shared" si="14"/>
        <v>363084</v>
      </c>
      <c r="G127" s="1670">
        <f t="shared" si="14"/>
        <v>12318</v>
      </c>
      <c r="H127" s="1670">
        <f t="shared" si="14"/>
        <v>0</v>
      </c>
      <c r="I127" s="1670">
        <f t="shared" si="14"/>
        <v>0</v>
      </c>
      <c r="J127" s="1670">
        <f t="shared" si="14"/>
        <v>0</v>
      </c>
      <c r="K127" s="1670">
        <f t="shared" si="14"/>
        <v>742597</v>
      </c>
      <c r="L127" s="1670">
        <f t="shared" si="14"/>
        <v>966660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67547</v>
      </c>
      <c r="D129" s="1677">
        <f t="shared" ref="D129:L129" si="15">SUM(D120,D127,D128)</f>
        <v>35</v>
      </c>
      <c r="E129" s="1677">
        <f t="shared" si="15"/>
        <v>299613</v>
      </c>
      <c r="F129" s="1677">
        <f t="shared" si="15"/>
        <v>363084</v>
      </c>
      <c r="G129" s="1677">
        <f t="shared" si="15"/>
        <v>12318</v>
      </c>
      <c r="H129" s="1677">
        <f t="shared" si="15"/>
        <v>0</v>
      </c>
      <c r="I129" s="1677">
        <f t="shared" si="15"/>
        <v>0</v>
      </c>
      <c r="J129" s="1677">
        <f t="shared" si="15"/>
        <v>0</v>
      </c>
      <c r="K129" s="1677">
        <f t="shared" si="15"/>
        <v>742597</v>
      </c>
      <c r="L129" s="1677">
        <f t="shared" si="15"/>
        <v>966660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20000</v>
      </c>
    </row>
    <row r="151" spans="1:14" ht="12.75" customHeight="1" thickTop="1" thickBot="1" x14ac:dyDescent="0.25">
      <c r="A151" s="2176" t="s">
        <v>620</v>
      </c>
      <c r="B151" s="2156"/>
      <c r="C151" s="1670">
        <f>SUM(C129,C130,C139,C149,C150)</f>
        <v>67547</v>
      </c>
      <c r="D151" s="1670">
        <f t="shared" ref="D151:K151" si="16">SUM(D129,D130,D139,D149,D150)</f>
        <v>35</v>
      </c>
      <c r="E151" s="1670">
        <f t="shared" si="16"/>
        <v>299613</v>
      </c>
      <c r="F151" s="1670">
        <f t="shared" si="16"/>
        <v>363084</v>
      </c>
      <c r="G151" s="1670">
        <f t="shared" si="16"/>
        <v>12318</v>
      </c>
      <c r="H151" s="1670">
        <f t="shared" si="16"/>
        <v>0</v>
      </c>
      <c r="I151" s="1670">
        <f t="shared" si="16"/>
        <v>0</v>
      </c>
      <c r="J151" s="1670">
        <f t="shared" si="16"/>
        <v>0</v>
      </c>
      <c r="K151" s="1670">
        <f t="shared" si="16"/>
        <v>742597</v>
      </c>
      <c r="L151" s="1670">
        <f>SUM(L129,L130,L139,L149,L150)</f>
        <v>986660</v>
      </c>
    </row>
    <row r="152" spans="1:14" ht="12.75" customHeight="1" thickTop="1" x14ac:dyDescent="0.2">
      <c r="A152" s="2179" t="s">
        <v>1178</v>
      </c>
      <c r="B152" s="2180"/>
      <c r="C152" s="618"/>
      <c r="D152" s="618"/>
      <c r="E152" s="618"/>
      <c r="F152" s="618"/>
      <c r="G152" s="618"/>
      <c r="H152" s="618"/>
      <c r="I152" s="618"/>
      <c r="J152" s="616"/>
      <c r="K152" s="1684">
        <f>'Revenues 9-14'!D268-'Expenditures 15-22'!K151</f>
        <v>103890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2179024</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2179024</v>
      </c>
    </row>
    <row r="169" spans="1:14" ht="15.75" customHeight="1" thickTop="1" x14ac:dyDescent="0.2">
      <c r="A169" s="669" t="s">
        <v>83</v>
      </c>
      <c r="B169" s="670" t="s">
        <v>38</v>
      </c>
      <c r="C169" s="616"/>
      <c r="D169" s="616"/>
      <c r="E169" s="616"/>
      <c r="F169" s="616"/>
      <c r="G169" s="616"/>
      <c r="H169" s="656">
        <v>1374024</v>
      </c>
      <c r="I169" s="616"/>
      <c r="J169" s="616"/>
      <c r="K169" s="1671">
        <f>SUM(C169:H169)</f>
        <v>1374024</v>
      </c>
      <c r="L169" s="656"/>
    </row>
    <row r="170" spans="1:14" ht="33.75" customHeight="1" x14ac:dyDescent="0.2">
      <c r="A170" s="669" t="s">
        <v>1670</v>
      </c>
      <c r="B170" s="671" t="s">
        <v>31</v>
      </c>
      <c r="C170" s="616"/>
      <c r="D170" s="616"/>
      <c r="E170" s="616"/>
      <c r="F170" s="616"/>
      <c r="G170" s="616"/>
      <c r="H170" s="569">
        <v>805000</v>
      </c>
      <c r="I170" s="616"/>
      <c r="J170" s="616"/>
      <c r="K170" s="1671">
        <f>SUM(C170:J170)</f>
        <v>805000</v>
      </c>
      <c r="L170" s="569"/>
    </row>
    <row r="171" spans="1:14" ht="15.75" customHeight="1" x14ac:dyDescent="0.2">
      <c r="A171" s="621" t="s">
        <v>766</v>
      </c>
      <c r="B171" s="672" t="s">
        <v>84</v>
      </c>
      <c r="C171" s="616"/>
      <c r="D171" s="616"/>
      <c r="E171" s="466"/>
      <c r="F171" s="616"/>
      <c r="G171" s="616"/>
      <c r="H171" s="569">
        <v>1300</v>
      </c>
      <c r="I171" s="477"/>
      <c r="J171" s="616"/>
      <c r="K171" s="1671">
        <f>SUM(C171:J171)</f>
        <v>1300</v>
      </c>
      <c r="L171" s="569"/>
    </row>
    <row r="172" spans="1:14" ht="12.75" customHeight="1" thickBot="1" x14ac:dyDescent="0.25">
      <c r="A172" s="1668" t="s">
        <v>638</v>
      </c>
      <c r="B172" s="1669" t="s">
        <v>492</v>
      </c>
      <c r="C172" s="616"/>
      <c r="D172" s="616"/>
      <c r="E172" s="1677">
        <f>SUM(E168,E169,E170,E171)</f>
        <v>0</v>
      </c>
      <c r="F172" s="616"/>
      <c r="G172" s="616"/>
      <c r="H172" s="1677">
        <f>SUM(H168,H169,H170,H171)</f>
        <v>2180324</v>
      </c>
      <c r="I172" s="638"/>
      <c r="J172" s="616"/>
      <c r="K172" s="1677">
        <f>SUM(K168,K169,K170,K171)</f>
        <v>2180324</v>
      </c>
      <c r="L172" s="1677">
        <f>SUM(L168,L169,L170,L171)</f>
        <v>2179024</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2180324</v>
      </c>
      <c r="I174" s="638"/>
      <c r="J174" s="616"/>
      <c r="K174" s="1677">
        <f>SUM(K160,K172,K173)</f>
        <v>2180324</v>
      </c>
      <c r="L174" s="1677">
        <f>SUM(L160,L172,L173)</f>
        <v>2179024</v>
      </c>
    </row>
    <row r="175" spans="1:14" ht="13.5" thickTop="1" x14ac:dyDescent="0.2">
      <c r="A175" s="2159" t="s">
        <v>996</v>
      </c>
      <c r="B175" s="2160"/>
      <c r="C175" s="616"/>
      <c r="D175" s="616"/>
      <c r="E175" s="616"/>
      <c r="F175" s="616"/>
      <c r="G175" s="616"/>
      <c r="H175" s="618"/>
      <c r="I175" s="616"/>
      <c r="J175" s="616"/>
      <c r="K175" s="1684">
        <f>'Revenues 9-14'!E268-'Expenditures 15-22'!K174</f>
        <v>-2043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2056</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56955</v>
      </c>
      <c r="D182" s="466">
        <v>1687</v>
      </c>
      <c r="E182" s="466">
        <v>729811</v>
      </c>
      <c r="F182" s="466">
        <v>71874</v>
      </c>
      <c r="G182" s="466">
        <v>8530</v>
      </c>
      <c r="H182" s="466"/>
      <c r="I182" s="467"/>
      <c r="J182" s="467"/>
      <c r="K182" s="1671">
        <f>SUM(C182:J182)</f>
        <v>868857</v>
      </c>
      <c r="L182" s="466">
        <v>890243</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56955</v>
      </c>
      <c r="D184" s="1677">
        <f t="shared" ref="D184:J184" si="17">SUM(D180,D182,D183)</f>
        <v>1687</v>
      </c>
      <c r="E184" s="1677">
        <f t="shared" si="17"/>
        <v>729811</v>
      </c>
      <c r="F184" s="1677">
        <f t="shared" si="17"/>
        <v>71874</v>
      </c>
      <c r="G184" s="1677">
        <f t="shared" si="17"/>
        <v>8530</v>
      </c>
      <c r="H184" s="1677">
        <f t="shared" si="17"/>
        <v>0</v>
      </c>
      <c r="I184" s="1677">
        <f t="shared" si="17"/>
        <v>0</v>
      </c>
      <c r="J184" s="1677">
        <f t="shared" si="17"/>
        <v>0</v>
      </c>
      <c r="K184" s="1677">
        <f>SUM(K180,K182,K183)</f>
        <v>868857</v>
      </c>
      <c r="L184" s="1677">
        <f>SUM(L180, L182:L183)</f>
        <v>890243</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5000</v>
      </c>
    </row>
    <row r="210" spans="1:14" ht="12.75" customHeight="1" thickTop="1" thickBot="1" x14ac:dyDescent="0.25">
      <c r="A210" s="1692" t="s">
        <v>277</v>
      </c>
      <c r="B210" s="1693"/>
      <c r="C210" s="1670">
        <f>SUM(C184,C185)</f>
        <v>56955</v>
      </c>
      <c r="D210" s="1670">
        <f>SUM(D184,D185)</f>
        <v>1687</v>
      </c>
      <c r="E210" s="1670">
        <f>SUM(E184,E185,E196)</f>
        <v>729811</v>
      </c>
      <c r="F210" s="1670">
        <f>SUM(F184,F185)</f>
        <v>71874</v>
      </c>
      <c r="G210" s="1670">
        <f>SUM(G184,G185)</f>
        <v>8530</v>
      </c>
      <c r="H210" s="1670">
        <f>SUM(H184,H185,H196,H208,H209)</f>
        <v>0</v>
      </c>
      <c r="I210" s="1670">
        <f>SUM(I184,I185)</f>
        <v>0</v>
      </c>
      <c r="J210" s="1670">
        <f>SUM(J184,J185)</f>
        <v>0</v>
      </c>
      <c r="K210" s="1671">
        <f>SUM(K184,K185,K196,K208,K209)</f>
        <v>868857</v>
      </c>
      <c r="L210" s="1670">
        <f>SUM(L184,L185,L196,L208,L209)</f>
        <v>895243</v>
      </c>
    </row>
    <row r="211" spans="1:14" ht="13.5" thickTop="1" x14ac:dyDescent="0.2">
      <c r="A211" s="2159" t="s">
        <v>996</v>
      </c>
      <c r="B211" s="2160"/>
      <c r="C211" s="618"/>
      <c r="D211" s="618"/>
      <c r="E211" s="618"/>
      <c r="F211" s="618"/>
      <c r="G211" s="618"/>
      <c r="H211" s="618"/>
      <c r="I211" s="616"/>
      <c r="J211" s="616"/>
      <c r="K211" s="1684">
        <f>'Revenues 9-14'!F268-'Expenditures 15-22'!K210</f>
        <v>-9391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50674</v>
      </c>
      <c r="E215" s="616"/>
      <c r="F215" s="616"/>
      <c r="G215" s="616"/>
      <c r="H215" s="616"/>
      <c r="I215" s="616"/>
      <c r="J215" s="616"/>
      <c r="K215" s="1671">
        <f>D215</f>
        <v>50674</v>
      </c>
      <c r="L215" s="466">
        <v>48733</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99781</v>
      </c>
      <c r="E217" s="616"/>
      <c r="F217" s="616"/>
      <c r="G217" s="616"/>
      <c r="H217" s="616"/>
      <c r="I217" s="616"/>
      <c r="J217" s="616"/>
      <c r="K217" s="1671">
        <f t="shared" si="19"/>
        <v>99781</v>
      </c>
      <c r="L217" s="466">
        <v>111081</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3648</v>
      </c>
      <c r="E219" s="616"/>
      <c r="F219" s="616"/>
      <c r="G219" s="616"/>
      <c r="H219" s="616"/>
      <c r="I219" s="616"/>
      <c r="J219" s="616"/>
      <c r="K219" s="1671">
        <f t="shared" si="19"/>
        <v>3648</v>
      </c>
      <c r="L219" s="466">
        <v>2535</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4050</v>
      </c>
      <c r="E222" s="616"/>
      <c r="F222" s="616"/>
      <c r="G222" s="616"/>
      <c r="H222" s="616"/>
      <c r="I222" s="616"/>
      <c r="J222" s="616"/>
      <c r="K222" s="1671">
        <f t="shared" si="19"/>
        <v>4050</v>
      </c>
      <c r="L222" s="466">
        <v>4241</v>
      </c>
    </row>
    <row r="223" spans="1:14" x14ac:dyDescent="0.2">
      <c r="A223" s="1504" t="s">
        <v>963</v>
      </c>
      <c r="B223" s="614">
        <v>1500</v>
      </c>
      <c r="C223" s="616"/>
      <c r="D223" s="466">
        <v>5487</v>
      </c>
      <c r="E223" s="616"/>
      <c r="F223" s="616"/>
      <c r="G223" s="616"/>
      <c r="H223" s="616"/>
      <c r="I223" s="616"/>
      <c r="J223" s="616"/>
      <c r="K223" s="1671">
        <f t="shared" si="19"/>
        <v>5487</v>
      </c>
      <c r="L223" s="466">
        <v>6000</v>
      </c>
    </row>
    <row r="224" spans="1:14" x14ac:dyDescent="0.2">
      <c r="A224" s="1504" t="s">
        <v>964</v>
      </c>
      <c r="B224" s="614">
        <v>1600</v>
      </c>
      <c r="C224" s="616"/>
      <c r="D224" s="466">
        <v>1108</v>
      </c>
      <c r="E224" s="616"/>
      <c r="F224" s="616"/>
      <c r="G224" s="616"/>
      <c r="H224" s="616"/>
      <c r="I224" s="616"/>
      <c r="J224" s="616"/>
      <c r="K224" s="1671">
        <f t="shared" si="19"/>
        <v>1108</v>
      </c>
      <c r="L224" s="466">
        <v>1002</v>
      </c>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1098</v>
      </c>
      <c r="E226" s="616"/>
      <c r="F226" s="616"/>
      <c r="G226" s="616"/>
      <c r="H226" s="616"/>
      <c r="I226" s="616"/>
      <c r="J226" s="616"/>
      <c r="K226" s="1671">
        <f t="shared" si="19"/>
        <v>1098</v>
      </c>
      <c r="L226" s="466">
        <v>1115</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165846</v>
      </c>
      <c r="E229" s="616"/>
      <c r="F229" s="616"/>
      <c r="G229" s="616"/>
      <c r="H229" s="616"/>
      <c r="I229" s="616"/>
      <c r="J229" s="616"/>
      <c r="K229" s="1670">
        <f>SUM(K215:K228)</f>
        <v>165846</v>
      </c>
      <c r="L229" s="1670">
        <f>SUM(L215:L228)</f>
        <v>174707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1295</v>
      </c>
      <c r="E232" s="616"/>
      <c r="F232" s="616"/>
      <c r="G232" s="616"/>
      <c r="H232" s="616"/>
      <c r="I232" s="616"/>
      <c r="J232" s="616"/>
      <c r="K232" s="1671">
        <f t="shared" ref="K232:K237" si="20">D232</f>
        <v>1295</v>
      </c>
      <c r="L232" s="466">
        <v>2022</v>
      </c>
    </row>
    <row r="233" spans="1:12" x14ac:dyDescent="0.2">
      <c r="A233" s="1504" t="s">
        <v>1090</v>
      </c>
      <c r="B233" s="614">
        <v>2120</v>
      </c>
      <c r="C233" s="616"/>
      <c r="D233" s="466">
        <v>6440</v>
      </c>
      <c r="E233" s="616"/>
      <c r="F233" s="616"/>
      <c r="G233" s="616"/>
      <c r="H233" s="616"/>
      <c r="I233" s="616"/>
      <c r="J233" s="616"/>
      <c r="K233" s="1671">
        <f t="shared" si="20"/>
        <v>6440</v>
      </c>
      <c r="L233" s="466">
        <v>6458</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7735</v>
      </c>
      <c r="E238" s="616"/>
      <c r="F238" s="616"/>
      <c r="G238" s="616"/>
      <c r="H238" s="616"/>
      <c r="I238" s="616"/>
      <c r="J238" s="616"/>
      <c r="K238" s="1670">
        <f>SUM(K232:K237)</f>
        <v>7735</v>
      </c>
      <c r="L238" s="1670">
        <f>SUM(L232:L237)</f>
        <v>8480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7168</v>
      </c>
      <c r="E240" s="616"/>
      <c r="F240" s="616"/>
      <c r="G240" s="616"/>
      <c r="H240" s="616"/>
      <c r="I240" s="616"/>
      <c r="J240" s="616"/>
      <c r="K240" s="1672">
        <f>D240</f>
        <v>7168</v>
      </c>
      <c r="L240" s="481">
        <v>7835</v>
      </c>
    </row>
    <row r="241" spans="1:12" x14ac:dyDescent="0.2">
      <c r="A241" s="1504" t="s">
        <v>815</v>
      </c>
      <c r="B241" s="614">
        <v>2220</v>
      </c>
      <c r="C241" s="616"/>
      <c r="D241" s="466">
        <v>8160</v>
      </c>
      <c r="E241" s="616"/>
      <c r="F241" s="616"/>
      <c r="G241" s="616"/>
      <c r="H241" s="616"/>
      <c r="I241" s="616"/>
      <c r="J241" s="616"/>
      <c r="K241" s="1672">
        <f>D241</f>
        <v>8160</v>
      </c>
      <c r="L241" s="466">
        <v>7906</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15328</v>
      </c>
      <c r="E243" s="616"/>
      <c r="F243" s="616"/>
      <c r="G243" s="616"/>
      <c r="H243" s="616"/>
      <c r="I243" s="616"/>
      <c r="J243" s="616"/>
      <c r="K243" s="1670">
        <f>SUM(K240:K242)</f>
        <v>15328</v>
      </c>
      <c r="L243" s="1670">
        <f>SUM(L240:L242)</f>
        <v>15741</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1900</v>
      </c>
      <c r="E246" s="616"/>
      <c r="F246" s="616"/>
      <c r="G246" s="616"/>
      <c r="H246" s="616"/>
      <c r="I246" s="616"/>
      <c r="J246" s="616"/>
      <c r="K246" s="1672">
        <f t="shared" ref="K246:K256" si="21">D246</f>
        <v>1900</v>
      </c>
      <c r="L246" s="466">
        <v>2195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1803</v>
      </c>
      <c r="B249" s="683" t="s">
        <v>282</v>
      </c>
      <c r="C249" s="616"/>
      <c r="D249" s="474"/>
      <c r="E249" s="616"/>
      <c r="F249" s="616"/>
      <c r="G249" s="616"/>
      <c r="H249" s="616"/>
      <c r="I249" s="616"/>
      <c r="J249" s="616"/>
      <c r="K249" s="1672">
        <f t="shared" si="21"/>
        <v>0</v>
      </c>
      <c r="L249" s="466"/>
    </row>
    <row r="250" spans="1:12" x14ac:dyDescent="0.2">
      <c r="A250" s="1505" t="s">
        <v>1804</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1900</v>
      </c>
      <c r="E257" s="616"/>
      <c r="F257" s="616"/>
      <c r="G257" s="616"/>
      <c r="H257" s="616"/>
      <c r="I257" s="616"/>
      <c r="J257" s="616"/>
      <c r="K257" s="1670">
        <f>SUM(K245:K256)</f>
        <v>1900</v>
      </c>
      <c r="L257" s="1670">
        <f>SUM(L245:L256)</f>
        <v>2195</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21345</v>
      </c>
      <c r="E259" s="616"/>
      <c r="F259" s="616"/>
      <c r="G259" s="616"/>
      <c r="H259" s="616"/>
      <c r="I259" s="616"/>
      <c r="J259" s="616"/>
      <c r="K259" s="1672">
        <f>D259</f>
        <v>21345</v>
      </c>
      <c r="L259" s="481">
        <v>22819</v>
      </c>
    </row>
    <row r="260" spans="1:14" s="597" customFormat="1" x14ac:dyDescent="0.2">
      <c r="A260" s="1522" t="s">
        <v>1802</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21345</v>
      </c>
      <c r="E261" s="616"/>
      <c r="F261" s="616"/>
      <c r="G261" s="616"/>
      <c r="H261" s="616"/>
      <c r="I261" s="616"/>
      <c r="J261" s="616"/>
      <c r="K261" s="1670">
        <f>SUM(K259:K260)</f>
        <v>21345</v>
      </c>
      <c r="L261" s="1670">
        <f>SUM(L259:L260)</f>
        <v>22819</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29524</v>
      </c>
      <c r="E264" s="616"/>
      <c r="F264" s="616"/>
      <c r="G264" s="616"/>
      <c r="H264" s="616"/>
      <c r="I264" s="616"/>
      <c r="J264" s="616"/>
      <c r="K264" s="1672">
        <f t="shared" ref="K264:K269" si="22">D264</f>
        <v>29524</v>
      </c>
      <c r="L264" s="466">
        <v>26808</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92515</v>
      </c>
      <c r="E266" s="616"/>
      <c r="F266" s="616"/>
      <c r="G266" s="616"/>
      <c r="H266" s="616"/>
      <c r="I266" s="616"/>
      <c r="J266" s="616"/>
      <c r="K266" s="1672">
        <f t="shared" si="22"/>
        <v>92515</v>
      </c>
      <c r="L266" s="466">
        <v>93705</v>
      </c>
    </row>
    <row r="267" spans="1:14" x14ac:dyDescent="0.2">
      <c r="A267" s="1504" t="s">
        <v>953</v>
      </c>
      <c r="B267" s="614">
        <v>2550</v>
      </c>
      <c r="C267" s="616"/>
      <c r="D267" s="466">
        <v>7428</v>
      </c>
      <c r="E267" s="616"/>
      <c r="F267" s="616"/>
      <c r="G267" s="616"/>
      <c r="H267" s="616"/>
      <c r="I267" s="616"/>
      <c r="J267" s="616"/>
      <c r="K267" s="1672">
        <f t="shared" si="22"/>
        <v>7428</v>
      </c>
      <c r="L267" s="466">
        <v>3485</v>
      </c>
    </row>
    <row r="268" spans="1:14" x14ac:dyDescent="0.2">
      <c r="A268" s="1504" t="s">
        <v>100</v>
      </c>
      <c r="B268" s="614">
        <v>2560</v>
      </c>
      <c r="C268" s="616"/>
      <c r="D268" s="466">
        <v>42592</v>
      </c>
      <c r="E268" s="616"/>
      <c r="F268" s="616"/>
      <c r="G268" s="616"/>
      <c r="H268" s="616"/>
      <c r="I268" s="616"/>
      <c r="J268" s="616"/>
      <c r="K268" s="1672">
        <f t="shared" si="22"/>
        <v>42592</v>
      </c>
      <c r="L268" s="466">
        <v>47275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172059</v>
      </c>
      <c r="E270" s="616"/>
      <c r="F270" s="616"/>
      <c r="G270" s="616"/>
      <c r="H270" s="616"/>
      <c r="I270" s="616"/>
      <c r="J270" s="616"/>
      <c r="K270" s="1670">
        <f>SUM(K263:K269)</f>
        <v>172059</v>
      </c>
      <c r="L270" s="1670">
        <f>SUM(L263:L269)</f>
        <v>171273</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22</v>
      </c>
      <c r="E275" s="616"/>
      <c r="F275" s="616"/>
      <c r="G275" s="616"/>
      <c r="H275" s="616"/>
      <c r="I275" s="616"/>
      <c r="J275" s="616"/>
      <c r="K275" s="1672">
        <f>D275</f>
        <v>22</v>
      </c>
      <c r="L275" s="466">
        <v>150</v>
      </c>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22</v>
      </c>
      <c r="E277" s="616"/>
      <c r="F277" s="616"/>
      <c r="G277" s="616"/>
      <c r="H277" s="616"/>
      <c r="I277" s="616"/>
      <c r="J277" s="616"/>
      <c r="K277" s="1670">
        <f>SUM(K272:K276)</f>
        <v>22</v>
      </c>
      <c r="L277" s="1670">
        <f>SUM(L272:L276)</f>
        <v>150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218389</v>
      </c>
      <c r="E279" s="616"/>
      <c r="F279" s="616"/>
      <c r="G279" s="616"/>
      <c r="H279" s="616"/>
      <c r="I279" s="616"/>
      <c r="J279" s="616"/>
      <c r="K279" s="1677">
        <f>SUM(K238,K243,K257,K261,K270,K277,K278)</f>
        <v>218389</v>
      </c>
      <c r="L279" s="1677">
        <f>SUM(L238,L243,L257,L261,L270,L277,L278)</f>
        <v>220658</v>
      </c>
    </row>
    <row r="280" spans="1:12" ht="15.75" customHeight="1" thickTop="1" thickBot="1" x14ac:dyDescent="0.25">
      <c r="A280" s="1624" t="s">
        <v>875</v>
      </c>
      <c r="B280" s="1613">
        <v>3000</v>
      </c>
      <c r="C280" s="616"/>
      <c r="D280" s="576">
        <v>63</v>
      </c>
      <c r="E280" s="616"/>
      <c r="F280" s="616"/>
      <c r="G280" s="616"/>
      <c r="H280" s="616"/>
      <c r="I280" s="616"/>
      <c r="J280" s="616"/>
      <c r="K280" s="1679">
        <f>D280</f>
        <v>63</v>
      </c>
      <c r="L280" s="576">
        <v>63</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7" t="s">
        <v>505</v>
      </c>
      <c r="B295" s="2178"/>
      <c r="C295" s="616"/>
      <c r="D295" s="1670">
        <f>SUM(D229,D279,D280,D285)</f>
        <v>384298</v>
      </c>
      <c r="E295" s="616"/>
      <c r="F295" s="616"/>
      <c r="G295" s="616"/>
      <c r="H295" s="1670">
        <f>H293</f>
        <v>0</v>
      </c>
      <c r="I295" s="616"/>
      <c r="J295" s="616"/>
      <c r="K295" s="1670">
        <f>SUM(K229,K279,K280,K285,K293,K294)</f>
        <v>384298</v>
      </c>
      <c r="L295" s="1670">
        <f>SUM(L229,L279,L280,L285,L293,L294)</f>
        <v>395428</v>
      </c>
    </row>
    <row r="296" spans="1:14" ht="13.5" thickTop="1" x14ac:dyDescent="0.2">
      <c r="A296" s="2159" t="s">
        <v>996</v>
      </c>
      <c r="B296" s="2160"/>
      <c r="C296" s="616"/>
      <c r="D296" s="618"/>
      <c r="E296" s="616"/>
      <c r="F296" s="616"/>
      <c r="G296" s="616"/>
      <c r="H296" s="687"/>
      <c r="I296" s="616"/>
      <c r="J296" s="616"/>
      <c r="K296" s="1684">
        <f>'Revenues 9-14'!G268-'Expenditures 15-22'!K295</f>
        <v>22345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149147</v>
      </c>
      <c r="F301" s="466"/>
      <c r="G301" s="466">
        <v>15982856</v>
      </c>
      <c r="H301" s="466"/>
      <c r="I301" s="467"/>
      <c r="J301" s="467"/>
      <c r="K301" s="1671">
        <f>SUM(C301:J301)</f>
        <v>16132003</v>
      </c>
      <c r="L301" s="467">
        <v>24223308</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149147</v>
      </c>
      <c r="F303" s="1677">
        <f t="shared" si="23"/>
        <v>0</v>
      </c>
      <c r="G303" s="1677">
        <f t="shared" si="23"/>
        <v>15982856</v>
      </c>
      <c r="H303" s="1677">
        <f t="shared" si="23"/>
        <v>0</v>
      </c>
      <c r="I303" s="1677">
        <f t="shared" si="23"/>
        <v>0</v>
      </c>
      <c r="J303" s="1677">
        <f t="shared" si="23"/>
        <v>0</v>
      </c>
      <c r="K303" s="1677">
        <f t="shared" si="23"/>
        <v>16132003</v>
      </c>
      <c r="L303" s="1677">
        <f t="shared" si="23"/>
        <v>24223308</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15000</v>
      </c>
    </row>
    <row r="312" spans="1:14" s="674" customFormat="1" ht="12.75" customHeight="1" thickTop="1" thickBot="1" x14ac:dyDescent="0.25">
      <c r="A312" s="2174" t="s">
        <v>277</v>
      </c>
      <c r="B312" s="2175"/>
      <c r="C312" s="1670">
        <f>SUM(C303)</f>
        <v>0</v>
      </c>
      <c r="D312" s="1670">
        <f>SUM(D303)</f>
        <v>0</v>
      </c>
      <c r="E312" s="1670">
        <f>SUM(E303,E310)</f>
        <v>149147</v>
      </c>
      <c r="F312" s="1670">
        <f>SUM(F303)</f>
        <v>0</v>
      </c>
      <c r="G312" s="1670">
        <f>SUM(G303)</f>
        <v>15982856</v>
      </c>
      <c r="H312" s="1670">
        <f>SUM(H303,H310)</f>
        <v>0</v>
      </c>
      <c r="I312" s="1670">
        <f>SUM(I303)</f>
        <v>0</v>
      </c>
      <c r="J312" s="1670">
        <f>SUM(J303)</f>
        <v>0</v>
      </c>
      <c r="K312" s="1670">
        <f>SUM(K303,K310,K311)</f>
        <v>16132003</v>
      </c>
      <c r="L312" s="1670">
        <f>SUM(L303,L310,L311)</f>
        <v>24238308</v>
      </c>
      <c r="M312" s="665"/>
      <c r="N312" s="665"/>
    </row>
    <row r="313" spans="1:14" ht="13.5" thickTop="1" x14ac:dyDescent="0.2">
      <c r="A313" s="2170" t="s">
        <v>996</v>
      </c>
      <c r="B313" s="2171"/>
      <c r="C313" s="626"/>
      <c r="D313" s="626"/>
      <c r="E313" s="626"/>
      <c r="F313" s="626"/>
      <c r="G313" s="626"/>
      <c r="H313" s="626"/>
      <c r="I313" s="626"/>
      <c r="J313" s="626"/>
      <c r="K313" s="1685">
        <f>'Revenues 9-14'!H268-'Expenditures 15-22'!K312</f>
        <v>-15593387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1803</v>
      </c>
      <c r="B320" s="698" t="s">
        <v>282</v>
      </c>
      <c r="C320" s="467"/>
      <c r="D320" s="467"/>
      <c r="E320" s="467">
        <v>53921</v>
      </c>
      <c r="F320" s="467"/>
      <c r="G320" s="467"/>
      <c r="H320" s="467"/>
      <c r="I320" s="467"/>
      <c r="J320" s="467"/>
      <c r="K320" s="1671">
        <f t="shared" ref="K320:K327" si="24">SUM(C320:J320)</f>
        <v>53921</v>
      </c>
      <c r="L320" s="467">
        <v>55008</v>
      </c>
      <c r="M320" s="665"/>
      <c r="N320" s="665"/>
    </row>
    <row r="321" spans="1:14" s="674" customFormat="1" x14ac:dyDescent="0.2">
      <c r="A321" s="1519" t="s">
        <v>300</v>
      </c>
      <c r="B321" s="697" t="s">
        <v>283</v>
      </c>
      <c r="C321" s="467"/>
      <c r="D321" s="467"/>
      <c r="E321" s="467">
        <v>6335</v>
      </c>
      <c r="F321" s="467"/>
      <c r="G321" s="467"/>
      <c r="H321" s="467"/>
      <c r="I321" s="467"/>
      <c r="J321" s="467"/>
      <c r="K321" s="1671">
        <f t="shared" si="24"/>
        <v>6335</v>
      </c>
      <c r="L321" s="467">
        <v>25000</v>
      </c>
      <c r="M321" s="665"/>
      <c r="N321" s="665"/>
    </row>
    <row r="322" spans="1:14" s="674" customFormat="1" x14ac:dyDescent="0.2">
      <c r="A322" s="1519" t="s">
        <v>238</v>
      </c>
      <c r="B322" s="697" t="s">
        <v>284</v>
      </c>
      <c r="C322" s="467"/>
      <c r="D322" s="467"/>
      <c r="E322" s="467">
        <v>93219</v>
      </c>
      <c r="F322" s="467"/>
      <c r="G322" s="467"/>
      <c r="H322" s="467"/>
      <c r="I322" s="467"/>
      <c r="J322" s="467"/>
      <c r="K322" s="1671">
        <f t="shared" si="24"/>
        <v>93219</v>
      </c>
      <c r="L322" s="467">
        <v>155150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v>37808</v>
      </c>
      <c r="F325" s="467">
        <v>10485</v>
      </c>
      <c r="G325" s="467"/>
      <c r="H325" s="467"/>
      <c r="I325" s="467"/>
      <c r="J325" s="467"/>
      <c r="K325" s="1671">
        <f t="shared" si="24"/>
        <v>48293</v>
      </c>
      <c r="L325" s="467">
        <v>12500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3521</v>
      </c>
      <c r="F327" s="467"/>
      <c r="G327" s="467"/>
      <c r="H327" s="467"/>
      <c r="I327" s="467"/>
      <c r="J327" s="467"/>
      <c r="K327" s="1671">
        <f t="shared" si="24"/>
        <v>3521</v>
      </c>
      <c r="L327" s="467">
        <v>39096</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v>5044</v>
      </c>
      <c r="F329" s="474"/>
      <c r="G329" s="474"/>
      <c r="H329" s="474"/>
      <c r="I329" s="474"/>
      <c r="J329" s="474"/>
      <c r="K329" s="1699">
        <f>SUM(C329:J329)</f>
        <v>5044</v>
      </c>
      <c r="L329" s="474">
        <v>5044</v>
      </c>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199848</v>
      </c>
      <c r="F330" s="1670">
        <f t="shared" si="25"/>
        <v>10485</v>
      </c>
      <c r="G330" s="1670">
        <f t="shared" si="25"/>
        <v>0</v>
      </c>
      <c r="H330" s="1670">
        <f t="shared" si="25"/>
        <v>0</v>
      </c>
      <c r="I330" s="1670">
        <f t="shared" si="25"/>
        <v>0</v>
      </c>
      <c r="J330" s="1670">
        <f t="shared" si="25"/>
        <v>0</v>
      </c>
      <c r="K330" s="1670">
        <f>SUM(K319:K329)</f>
        <v>210333</v>
      </c>
      <c r="L330" s="1670">
        <f>SUM(L319:L329)</f>
        <v>291798</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16954</v>
      </c>
    </row>
    <row r="342" spans="1:14" ht="12.75" customHeight="1" thickTop="1" thickBot="1" x14ac:dyDescent="0.25">
      <c r="A342" s="1686" t="s">
        <v>505</v>
      </c>
      <c r="B342" s="1701"/>
      <c r="C342" s="1670">
        <f>SUM(C330)</f>
        <v>0</v>
      </c>
      <c r="D342" s="1670">
        <f>SUM(D330)</f>
        <v>0</v>
      </c>
      <c r="E342" s="1670">
        <f>SUM(E330)</f>
        <v>199848</v>
      </c>
      <c r="F342" s="1670">
        <f>SUM(F330)</f>
        <v>10485</v>
      </c>
      <c r="G342" s="1670">
        <f>SUM(G330)</f>
        <v>0</v>
      </c>
      <c r="H342" s="1670">
        <f>SUM(H330,H334,H340)</f>
        <v>0</v>
      </c>
      <c r="I342" s="1670">
        <f>SUM(I330)</f>
        <v>0</v>
      </c>
      <c r="J342" s="1670">
        <f>SUM(J330)</f>
        <v>0</v>
      </c>
      <c r="K342" s="1670">
        <f>SUM(K330,K334,K340)</f>
        <v>210333</v>
      </c>
      <c r="L342" s="1677">
        <f>SUM(L330,L334,L340,L341)</f>
        <v>308752</v>
      </c>
    </row>
    <row r="343" spans="1:14" ht="12.75" customHeight="1" thickTop="1" x14ac:dyDescent="0.2">
      <c r="A343" s="2172" t="s">
        <v>996</v>
      </c>
      <c r="B343" s="2173"/>
      <c r="C343" s="616"/>
      <c r="D343" s="616"/>
      <c r="E343" s="616"/>
      <c r="F343" s="616"/>
      <c r="G343" s="616"/>
      <c r="H343" s="616"/>
      <c r="I343" s="616"/>
      <c r="J343" s="616"/>
      <c r="K343" s="1684">
        <f>'Revenues 9-14'!J268-'Expenditures 15-22'!K342</f>
        <v>70028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133</v>
      </c>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133</v>
      </c>
    </row>
    <row r="368" spans="1:14" ht="13.5" thickTop="1" x14ac:dyDescent="0.2">
      <c r="A368" s="2159" t="s">
        <v>996</v>
      </c>
      <c r="B368" s="2160"/>
      <c r="C368" s="654"/>
      <c r="D368" s="654"/>
      <c r="E368" s="626"/>
      <c r="F368" s="626"/>
      <c r="G368" s="626"/>
      <c r="H368" s="626"/>
      <c r="I368" s="626"/>
      <c r="J368" s="623"/>
      <c r="K368" s="1671">
        <f>'Revenues 9-14'!K268-'Expenditures 15-22'!K367</f>
        <v>55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6" t="s">
        <v>1800</v>
      </c>
      <c r="B2" s="1528" t="s">
        <v>1947</v>
      </c>
      <c r="C2" s="714" t="s">
        <v>1948</v>
      </c>
      <c r="D2" s="714" t="s">
        <v>1949</v>
      </c>
      <c r="E2" s="714" t="s">
        <v>1950</v>
      </c>
      <c r="F2" s="714" t="s">
        <v>1951</v>
      </c>
    </row>
    <row r="3" spans="1:6" ht="12" customHeight="1" x14ac:dyDescent="0.2">
      <c r="A3" s="2187"/>
      <c r="B3" s="1525"/>
      <c r="C3" s="1526"/>
      <c r="D3" s="1527" t="s">
        <v>256</v>
      </c>
      <c r="E3" s="1526"/>
      <c r="F3" s="1527" t="s">
        <v>257</v>
      </c>
    </row>
    <row r="4" spans="1:6" ht="13.7" customHeight="1" x14ac:dyDescent="0.2">
      <c r="A4" s="715" t="s">
        <v>1155</v>
      </c>
      <c r="B4" s="1749">
        <f>'Revenues 9-14'!C5</f>
        <v>6007258</v>
      </c>
      <c r="C4" s="1524">
        <v>31613</v>
      </c>
      <c r="D4" s="1752">
        <f>B4-C4</f>
        <v>5975645</v>
      </c>
      <c r="E4" s="1524">
        <v>6372516</v>
      </c>
      <c r="F4" s="1752">
        <f>E4-C4</f>
        <v>6340903</v>
      </c>
    </row>
    <row r="5" spans="1:6" ht="13.7" customHeight="1" x14ac:dyDescent="0.2">
      <c r="A5" s="715" t="s">
        <v>870</v>
      </c>
      <c r="B5" s="1750">
        <f>'Revenues 9-14'!D5</f>
        <v>822914</v>
      </c>
      <c r="C5" s="585">
        <v>4331</v>
      </c>
      <c r="D5" s="1753">
        <f t="shared" ref="D5:D18" si="0">B5-C5</f>
        <v>818583</v>
      </c>
      <c r="E5" s="585">
        <v>872947</v>
      </c>
      <c r="F5" s="1753">
        <f>E5-C5</f>
        <v>868616</v>
      </c>
    </row>
    <row r="6" spans="1:6" ht="13.7" customHeight="1" x14ac:dyDescent="0.2">
      <c r="A6" s="715" t="s">
        <v>411</v>
      </c>
      <c r="B6" s="1750">
        <f>'Revenues 9-14'!E5</f>
        <v>2162044</v>
      </c>
      <c r="C6" s="585">
        <v>11378</v>
      </c>
      <c r="D6" s="1753">
        <f t="shared" si="0"/>
        <v>2150666</v>
      </c>
      <c r="E6" s="585">
        <v>2179994</v>
      </c>
      <c r="F6" s="1753">
        <f t="shared" ref="F6:F18" si="1">E6-C6</f>
        <v>2168616</v>
      </c>
    </row>
    <row r="7" spans="1:6" ht="13.7" customHeight="1" x14ac:dyDescent="0.2">
      <c r="A7" s="715" t="s">
        <v>155</v>
      </c>
      <c r="B7" s="1750">
        <f>'Revenues 9-14'!F5</f>
        <v>329169</v>
      </c>
      <c r="C7" s="585">
        <v>1732</v>
      </c>
      <c r="D7" s="1753">
        <f t="shared" si="0"/>
        <v>327437</v>
      </c>
      <c r="E7" s="585">
        <v>349179</v>
      </c>
      <c r="F7" s="1753">
        <f t="shared" si="1"/>
        <v>347447</v>
      </c>
    </row>
    <row r="8" spans="1:6" ht="13.7" customHeight="1" x14ac:dyDescent="0.2">
      <c r="A8" s="715" t="s">
        <v>1179</v>
      </c>
      <c r="B8" s="1750">
        <f>'Revenues 9-14'!G5</f>
        <v>178904</v>
      </c>
      <c r="C8" s="585">
        <v>941</v>
      </c>
      <c r="D8" s="1753">
        <f t="shared" si="0"/>
        <v>177963</v>
      </c>
      <c r="E8" s="585">
        <v>184035</v>
      </c>
      <c r="F8" s="1753">
        <f t="shared" si="1"/>
        <v>183094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82288</v>
      </c>
      <c r="C10" s="585">
        <v>433</v>
      </c>
      <c r="D10" s="1753">
        <f t="shared" si="0"/>
        <v>81855</v>
      </c>
      <c r="E10" s="585">
        <v>87295</v>
      </c>
      <c r="F10" s="1753">
        <f t="shared" si="1"/>
        <v>86862</v>
      </c>
    </row>
    <row r="11" spans="1:6" x14ac:dyDescent="0.2">
      <c r="A11" s="715" t="s">
        <v>409</v>
      </c>
      <c r="B11" s="1750">
        <f>'Revenues 9-14'!J5</f>
        <v>278140</v>
      </c>
      <c r="C11" s="585">
        <v>1464</v>
      </c>
      <c r="D11" s="1753">
        <f t="shared" si="0"/>
        <v>276676</v>
      </c>
      <c r="E11" s="585">
        <v>247917</v>
      </c>
      <c r="F11" s="1753">
        <f t="shared" si="1"/>
        <v>246453</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79652</v>
      </c>
      <c r="C13" s="585">
        <v>418</v>
      </c>
      <c r="D13" s="1753">
        <f t="shared" si="0"/>
        <v>79234</v>
      </c>
      <c r="E13" s="585">
        <v>80206</v>
      </c>
      <c r="F13" s="1753">
        <f t="shared" si="1"/>
        <v>79788</v>
      </c>
    </row>
    <row r="14" spans="1:6" ht="13.7" customHeight="1" x14ac:dyDescent="0.2">
      <c r="A14" s="715" t="s">
        <v>410</v>
      </c>
      <c r="B14" s="1750">
        <f>SUM('Revenues 9-14'!C7:D7,'Revenues 9-14'!F7:H7)</f>
        <v>65849</v>
      </c>
      <c r="C14" s="585">
        <v>348</v>
      </c>
      <c r="D14" s="1753">
        <f t="shared" si="0"/>
        <v>65501</v>
      </c>
      <c r="E14" s="585">
        <v>66082</v>
      </c>
      <c r="F14" s="1753">
        <f t="shared" si="1"/>
        <v>65734</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214615</v>
      </c>
      <c r="C16" s="585">
        <v>1129</v>
      </c>
      <c r="D16" s="1753">
        <f t="shared" si="0"/>
        <v>213486</v>
      </c>
      <c r="E16" s="585">
        <v>220856</v>
      </c>
      <c r="F16" s="1753">
        <f t="shared" si="1"/>
        <v>219727</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10220833</v>
      </c>
      <c r="C19" s="1751">
        <f>SUM(C4:C18)</f>
        <v>53787</v>
      </c>
      <c r="D19" s="1751">
        <f>SUM(D4:D18)</f>
        <v>10167046</v>
      </c>
      <c r="E19" s="1751">
        <f>SUM(E4:E18)</f>
        <v>10661027</v>
      </c>
      <c r="F19" s="1751">
        <f>SUM(F4:F18)</f>
        <v>10607240</v>
      </c>
    </row>
    <row r="20" spans="1:6" ht="13.5" thickTop="1" x14ac:dyDescent="0.2">
      <c r="B20" s="713"/>
      <c r="F20" s="716"/>
    </row>
    <row r="21" spans="1:6" x14ac:dyDescent="0.2">
      <c r="A21" s="717" t="s">
        <v>1806</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I33" sqref="I3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6"/>
      <c r="C1" s="721"/>
    </row>
    <row r="2" spans="1:7" ht="33.75" x14ac:dyDescent="0.2">
      <c r="A2" s="2213" t="s">
        <v>1800</v>
      </c>
      <c r="B2" s="2214"/>
      <c r="C2" s="1884" t="s">
        <v>1952</v>
      </c>
      <c r="D2" s="723" t="s">
        <v>1953</v>
      </c>
      <c r="E2" s="723" t="s">
        <v>1954</v>
      </c>
      <c r="F2" s="1884" t="s">
        <v>1955</v>
      </c>
    </row>
    <row r="3" spans="1:7" ht="15.75" customHeight="1" x14ac:dyDescent="0.2">
      <c r="A3" s="2215" t="s">
        <v>1114</v>
      </c>
      <c r="B3" s="2216"/>
      <c r="C3" s="2209"/>
      <c r="D3" s="2210"/>
      <c r="E3" s="2210"/>
      <c r="F3" s="2211"/>
    </row>
    <row r="4" spans="1:7" ht="12.75" customHeight="1" thickBot="1" x14ac:dyDescent="0.25">
      <c r="A4" s="2203" t="s">
        <v>630</v>
      </c>
      <c r="B4" s="2204"/>
      <c r="C4" s="581"/>
      <c r="D4" s="581"/>
      <c r="E4" s="581"/>
      <c r="F4" s="1755">
        <f>SUM(C4+D4)-E4</f>
        <v>0</v>
      </c>
    </row>
    <row r="5" spans="1:7" ht="15.75" customHeight="1" thickTop="1" x14ac:dyDescent="0.2">
      <c r="A5" s="2207" t="s">
        <v>1110</v>
      </c>
      <c r="B5" s="2202"/>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9" t="s">
        <v>631</v>
      </c>
      <c r="B15" s="2200"/>
      <c r="C15" s="1755">
        <f>SUM(C6:C14)</f>
        <v>0</v>
      </c>
      <c r="D15" s="1755">
        <f>SUM(D6:D14)</f>
        <v>0</v>
      </c>
      <c r="E15" s="1755">
        <f>SUM(E6:E14)</f>
        <v>0</v>
      </c>
      <c r="F15" s="1755">
        <f>SUM(F6:F14)</f>
        <v>0</v>
      </c>
      <c r="G15" s="552"/>
    </row>
    <row r="16" spans="1:7" s="202" customFormat="1" ht="15.75" customHeight="1" thickTop="1" x14ac:dyDescent="0.2">
      <c r="A16" s="2212" t="s">
        <v>1111</v>
      </c>
      <c r="B16" s="2202"/>
      <c r="C16" s="2196"/>
      <c r="D16" s="2197"/>
      <c r="E16" s="2197"/>
      <c r="F16" s="2198"/>
    </row>
    <row r="17" spans="1:11" ht="12.75" customHeight="1" thickBot="1" x14ac:dyDescent="0.25">
      <c r="A17" s="2194" t="s">
        <v>64</v>
      </c>
      <c r="B17" s="2195"/>
      <c r="C17" s="726"/>
      <c r="D17" s="585"/>
      <c r="E17" s="726"/>
      <c r="F17" s="1755">
        <f>SUM(C17+D17)-E17</f>
        <v>0</v>
      </c>
    </row>
    <row r="18" spans="1:11" ht="12.75" customHeight="1" thickTop="1" thickBot="1" x14ac:dyDescent="0.25">
      <c r="A18" s="2194" t="s">
        <v>6</v>
      </c>
      <c r="B18" s="2195"/>
      <c r="C18" s="726"/>
      <c r="D18" s="585"/>
      <c r="E18" s="726"/>
      <c r="F18" s="1755">
        <f>SUM(C18+D18)-E18</f>
        <v>0</v>
      </c>
    </row>
    <row r="19" spans="1:11" ht="12.75" customHeight="1" thickTop="1" thickBot="1" x14ac:dyDescent="0.25">
      <c r="A19" s="2194" t="s">
        <v>388</v>
      </c>
      <c r="B19" s="2195"/>
      <c r="C19" s="726"/>
      <c r="D19" s="585"/>
      <c r="E19" s="726"/>
      <c r="F19" s="1755">
        <f>SUM(C19+D19)-E19</f>
        <v>0</v>
      </c>
    </row>
    <row r="20" spans="1:11" ht="12.75" customHeight="1" thickTop="1" thickBot="1" x14ac:dyDescent="0.25">
      <c r="A20" s="2194" t="s">
        <v>448</v>
      </c>
      <c r="B20" s="2195"/>
      <c r="C20" s="726"/>
      <c r="D20" s="585"/>
      <c r="E20" s="726"/>
      <c r="F20" s="1755">
        <f>SUM(C20+D20)-E20</f>
        <v>0</v>
      </c>
    </row>
    <row r="21" spans="1:11" ht="14.25" thickTop="1" thickBot="1" x14ac:dyDescent="0.25">
      <c r="A21" s="2199" t="s">
        <v>632</v>
      </c>
      <c r="B21" s="2200"/>
      <c r="C21" s="1755">
        <f>SUM(C17:C20)</f>
        <v>0</v>
      </c>
      <c r="D21" s="1755">
        <f>SUM(D17:D20)</f>
        <v>0</v>
      </c>
      <c r="E21" s="1755">
        <f>SUM(E17:E20)</f>
        <v>0</v>
      </c>
      <c r="F21" s="1755">
        <f>SUM(F17:F20)</f>
        <v>0</v>
      </c>
      <c r="G21" s="552"/>
    </row>
    <row r="22" spans="1:11" ht="15.75" customHeight="1" thickTop="1" x14ac:dyDescent="0.2">
      <c r="A22" s="2201" t="s">
        <v>1112</v>
      </c>
      <c r="B22" s="2202"/>
      <c r="C22" s="2196"/>
      <c r="D22" s="2197"/>
      <c r="E22" s="2197"/>
      <c r="F22" s="2198"/>
    </row>
    <row r="23" spans="1:11" ht="13.5" thickBot="1" x14ac:dyDescent="0.25">
      <c r="A23" s="2203" t="s">
        <v>633</v>
      </c>
      <c r="B23" s="2204"/>
      <c r="C23" s="581"/>
      <c r="D23" s="581"/>
      <c r="E23" s="581"/>
      <c r="F23" s="1755">
        <f>SUM(C23+D23)-E23</f>
        <v>0</v>
      </c>
      <c r="G23" s="552"/>
    </row>
    <row r="24" spans="1:11" ht="15.75" customHeight="1" thickTop="1" x14ac:dyDescent="0.2">
      <c r="A24" s="2201" t="s">
        <v>1113</v>
      </c>
      <c r="B24" s="2202"/>
      <c r="C24" s="2196"/>
      <c r="D24" s="2197"/>
      <c r="E24" s="2197"/>
      <c r="F24" s="2198"/>
    </row>
    <row r="25" spans="1:11" ht="13.5" thickBot="1" x14ac:dyDescent="0.25">
      <c r="A25" s="2203" t="s">
        <v>634</v>
      </c>
      <c r="B25" s="2204"/>
      <c r="C25" s="581"/>
      <c r="D25" s="581"/>
      <c r="E25" s="581"/>
      <c r="F25" s="1755">
        <f>SUM(C25+D25)-E25</f>
        <v>0</v>
      </c>
      <c r="G25" s="552"/>
    </row>
    <row r="26" spans="1:11" ht="15.75" customHeight="1" thickTop="1" x14ac:dyDescent="0.2">
      <c r="A26" s="2207" t="s">
        <v>657</v>
      </c>
      <c r="B26" s="2202"/>
      <c r="C26" s="727"/>
      <c r="D26" s="727"/>
      <c r="E26" s="727"/>
      <c r="F26" s="728"/>
    </row>
    <row r="27" spans="1:11" ht="13.5" thickBot="1" x14ac:dyDescent="0.25">
      <c r="A27" s="2199" t="s">
        <v>1070</v>
      </c>
      <c r="B27" s="2200"/>
      <c r="C27" s="585"/>
      <c r="D27" s="585"/>
      <c r="E27" s="585"/>
      <c r="F27" s="1755">
        <f>SUM(C27+D27)-E27</f>
        <v>0</v>
      </c>
      <c r="G27" s="552"/>
    </row>
    <row r="28" spans="1:11" ht="7.5" customHeight="1" thickTop="1" x14ac:dyDescent="0.2">
      <c r="A28" s="593"/>
    </row>
    <row r="29" spans="1:11" ht="23.25" customHeight="1" x14ac:dyDescent="0.2">
      <c r="A29" s="2205" t="s">
        <v>582</v>
      </c>
      <c r="B29" s="2206"/>
      <c r="C29" s="729"/>
      <c r="D29" s="729"/>
      <c r="E29" s="729"/>
      <c r="F29" s="729"/>
      <c r="G29" s="729"/>
      <c r="H29" s="729"/>
      <c r="I29" s="729"/>
      <c r="J29" s="729"/>
    </row>
    <row r="30" spans="1:11" ht="33.75" x14ac:dyDescent="0.2">
      <c r="A30" s="1529" t="s">
        <v>1071</v>
      </c>
      <c r="B30" s="730" t="s">
        <v>1124</v>
      </c>
      <c r="C30" s="1885" t="s">
        <v>583</v>
      </c>
      <c r="D30" s="1885" t="s">
        <v>1673</v>
      </c>
      <c r="E30" s="1885" t="s">
        <v>1956</v>
      </c>
      <c r="F30" s="1885" t="s">
        <v>1957</v>
      </c>
      <c r="G30" s="1885" t="s">
        <v>1908</v>
      </c>
      <c r="H30" s="1885" t="s">
        <v>1958</v>
      </c>
      <c r="I30" s="1885" t="s">
        <v>1959</v>
      </c>
      <c r="J30" s="1886" t="s">
        <v>2</v>
      </c>
      <c r="K30" s="731"/>
    </row>
    <row r="31" spans="1:11" ht="12" customHeight="1" x14ac:dyDescent="0.2">
      <c r="A31" s="732" t="s">
        <v>2081</v>
      </c>
      <c r="B31" s="733">
        <v>37073</v>
      </c>
      <c r="C31" s="734">
        <v>5560000</v>
      </c>
      <c r="D31" s="735">
        <v>6</v>
      </c>
      <c r="E31" s="734">
        <v>1070000</v>
      </c>
      <c r="F31" s="734"/>
      <c r="G31" s="734"/>
      <c r="H31" s="734">
        <v>445000</v>
      </c>
      <c r="I31" s="1756">
        <f>((E31+F31)-H31)+G31</f>
        <v>625000</v>
      </c>
      <c r="J31" s="734">
        <v>535984</v>
      </c>
      <c r="K31" s="736"/>
    </row>
    <row r="32" spans="1:11" ht="12" customHeight="1" x14ac:dyDescent="0.2">
      <c r="A32" s="732" t="s">
        <v>2082</v>
      </c>
      <c r="B32" s="733">
        <v>39508</v>
      </c>
      <c r="C32" s="734">
        <v>2000000</v>
      </c>
      <c r="D32" s="735">
        <v>4</v>
      </c>
      <c r="E32" s="734">
        <v>880000</v>
      </c>
      <c r="F32" s="734"/>
      <c r="G32" s="734"/>
      <c r="H32" s="734">
        <v>180000</v>
      </c>
      <c r="I32" s="1756">
        <f>((E32+F32)-H32)+G32</f>
        <v>700000</v>
      </c>
      <c r="J32" s="734">
        <v>700000</v>
      </c>
      <c r="K32" s="736"/>
    </row>
    <row r="33" spans="1:11" ht="12" customHeight="1" x14ac:dyDescent="0.2">
      <c r="A33" s="732" t="s">
        <v>2083</v>
      </c>
      <c r="B33" s="733">
        <v>42781</v>
      </c>
      <c r="C33" s="734">
        <v>30920000</v>
      </c>
      <c r="D33" s="735">
        <v>6</v>
      </c>
      <c r="E33" s="734">
        <v>30920000</v>
      </c>
      <c r="F33" s="734"/>
      <c r="G33" s="734"/>
      <c r="H33" s="734">
        <v>180000</v>
      </c>
      <c r="I33" s="1756">
        <f t="shared" ref="I33:I48" si="1">((E33+F33)-H33)+G33</f>
        <v>30740000</v>
      </c>
      <c r="J33" s="734">
        <v>30740000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38480000</v>
      </c>
      <c r="D49" s="745"/>
      <c r="E49" s="1756">
        <f t="shared" ref="E49:J49" si="2">SUM(E31:E48)</f>
        <v>32870000</v>
      </c>
      <c r="F49" s="1756">
        <f t="shared" si="2"/>
        <v>0</v>
      </c>
      <c r="G49" s="1756">
        <f t="shared" si="2"/>
        <v>0</v>
      </c>
      <c r="H49" s="1756">
        <f t="shared" si="2"/>
        <v>805000</v>
      </c>
      <c r="I49" s="1756">
        <f t="shared" si="2"/>
        <v>32065000</v>
      </c>
      <c r="J49" s="1756">
        <f t="shared" si="2"/>
        <v>31975984</v>
      </c>
      <c r="K49" s="737"/>
    </row>
    <row r="50" spans="1:11" ht="6" customHeight="1" x14ac:dyDescent="0.2">
      <c r="A50" s="746"/>
      <c r="B50" s="736"/>
      <c r="C50" s="736"/>
      <c r="D50" s="736"/>
      <c r="E50" s="736"/>
      <c r="F50" s="736"/>
      <c r="G50" s="736"/>
      <c r="H50" s="736"/>
      <c r="I50" s="736"/>
      <c r="J50" s="746"/>
    </row>
    <row r="51" spans="1:11" x14ac:dyDescent="0.2">
      <c r="A51" s="747" t="s">
        <v>1805</v>
      </c>
      <c r="B51" s="746"/>
      <c r="C51" s="737"/>
      <c r="D51" s="737"/>
      <c r="E51" s="737"/>
      <c r="F51" s="737"/>
      <c r="G51" s="737"/>
      <c r="H51" s="736"/>
      <c r="I51" s="736"/>
      <c r="J51" s="746"/>
    </row>
    <row r="52" spans="1:11" ht="11.25" customHeight="1" x14ac:dyDescent="0.2">
      <c r="A52" s="748" t="s">
        <v>912</v>
      </c>
      <c r="B52" s="2188" t="s">
        <v>584</v>
      </c>
      <c r="C52" s="2189"/>
      <c r="D52" s="2189"/>
      <c r="E52" s="749" t="s">
        <v>845</v>
      </c>
      <c r="F52" s="2190"/>
      <c r="G52" s="2191"/>
      <c r="H52" s="736"/>
      <c r="I52" s="736"/>
      <c r="J52" s="746"/>
    </row>
    <row r="53" spans="1:11" ht="11.25" customHeight="1" x14ac:dyDescent="0.2">
      <c r="A53" s="750" t="s">
        <v>913</v>
      </c>
      <c r="B53" s="751" t="s">
        <v>951</v>
      </c>
      <c r="C53" s="746"/>
      <c r="D53" s="737"/>
      <c r="E53" s="749" t="s">
        <v>497</v>
      </c>
      <c r="F53" s="2192"/>
      <c r="G53" s="2193"/>
      <c r="H53" s="736"/>
      <c r="I53" s="736"/>
      <c r="J53" s="746"/>
    </row>
    <row r="54" spans="1:11" ht="11.25" customHeight="1" x14ac:dyDescent="0.2">
      <c r="A54" s="752" t="s">
        <v>914</v>
      </c>
      <c r="B54" s="747" t="s">
        <v>952</v>
      </c>
      <c r="C54" s="746"/>
      <c r="D54" s="737"/>
      <c r="E54" s="749" t="s">
        <v>498</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856</v>
      </c>
      <c r="B1" s="2218"/>
      <c r="C1" s="2218"/>
      <c r="D1" s="2218"/>
      <c r="E1" s="2218"/>
      <c r="F1" s="2218"/>
      <c r="G1" s="2219"/>
      <c r="H1" s="1530"/>
      <c r="I1" s="760"/>
      <c r="J1" s="433"/>
    </row>
    <row r="2" spans="1:11" ht="26.25" x14ac:dyDescent="0.2">
      <c r="A2" s="2236" t="s">
        <v>1677</v>
      </c>
      <c r="B2" s="2237"/>
      <c r="C2" s="2237"/>
      <c r="D2" s="2237"/>
      <c r="E2" s="2238"/>
      <c r="F2" s="761" t="s">
        <v>904</v>
      </c>
      <c r="G2" s="762" t="s">
        <v>1674</v>
      </c>
      <c r="H2" s="762" t="s">
        <v>410</v>
      </c>
      <c r="I2" s="762" t="s">
        <v>1158</v>
      </c>
      <c r="J2" s="762" t="s">
        <v>1810</v>
      </c>
      <c r="K2" s="762" t="s">
        <v>138</v>
      </c>
    </row>
    <row r="3" spans="1:11" x14ac:dyDescent="0.2">
      <c r="A3" s="2239" t="s">
        <v>1960</v>
      </c>
      <c r="B3" s="2240"/>
      <c r="C3" s="2240"/>
      <c r="D3" s="2240"/>
      <c r="E3" s="2241"/>
      <c r="F3" s="763"/>
      <c r="G3" s="764"/>
      <c r="H3" s="764"/>
      <c r="I3" s="764"/>
      <c r="J3" s="765"/>
      <c r="K3" s="765"/>
    </row>
    <row r="4" spans="1:11" x14ac:dyDescent="0.2">
      <c r="A4" s="2242" t="s">
        <v>369</v>
      </c>
      <c r="B4" s="2243"/>
      <c r="C4" s="2243"/>
      <c r="D4" s="2243"/>
      <c r="E4" s="2189"/>
      <c r="F4" s="766"/>
      <c r="G4" s="767"/>
      <c r="H4" s="768"/>
      <c r="I4" s="767"/>
      <c r="J4" s="769"/>
      <c r="K4" s="769"/>
    </row>
    <row r="5" spans="1:11" x14ac:dyDescent="0.2">
      <c r="A5" s="2220" t="s">
        <v>1069</v>
      </c>
      <c r="B5" s="2221"/>
      <c r="C5" s="2221"/>
      <c r="D5" s="2221"/>
      <c r="E5" s="2222"/>
      <c r="F5" s="770" t="s">
        <v>848</v>
      </c>
      <c r="G5" s="771"/>
      <c r="H5" s="764">
        <v>65849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7758</v>
      </c>
    </row>
    <row r="8" spans="1:11" x14ac:dyDescent="0.2">
      <c r="A8" s="778" t="s">
        <v>345</v>
      </c>
      <c r="B8" s="779"/>
      <c r="C8" s="779"/>
      <c r="D8" s="779"/>
      <c r="E8" s="780"/>
      <c r="F8" s="770" t="s">
        <v>851</v>
      </c>
      <c r="G8" s="782"/>
      <c r="H8" s="782"/>
      <c r="I8" s="782"/>
      <c r="J8" s="765">
        <v>9104</v>
      </c>
      <c r="K8" s="769"/>
    </row>
    <row r="9" spans="1:11" x14ac:dyDescent="0.2">
      <c r="A9" s="778" t="s">
        <v>138</v>
      </c>
      <c r="B9" s="779"/>
      <c r="C9" s="779"/>
      <c r="D9" s="779"/>
      <c r="E9" s="780"/>
      <c r="F9" s="777" t="s">
        <v>853</v>
      </c>
      <c r="G9" s="782"/>
      <c r="H9" s="771"/>
      <c r="I9" s="771"/>
      <c r="J9" s="781"/>
      <c r="K9" s="765">
        <v>20802</v>
      </c>
    </row>
    <row r="10" spans="1:11" x14ac:dyDescent="0.2">
      <c r="A10" s="2220" t="s">
        <v>1811</v>
      </c>
      <c r="B10" s="2221"/>
      <c r="C10" s="2221"/>
      <c r="D10" s="2221"/>
      <c r="E10" s="2223"/>
      <c r="F10" s="783" t="s">
        <v>862</v>
      </c>
      <c r="G10" s="782"/>
      <c r="H10" s="784"/>
      <c r="I10" s="764"/>
      <c r="J10" s="765"/>
      <c r="K10" s="765"/>
    </row>
    <row r="11" spans="1:11" x14ac:dyDescent="0.2">
      <c r="A11" s="2220" t="s">
        <v>160</v>
      </c>
      <c r="B11" s="2221"/>
      <c r="C11" s="2221"/>
      <c r="D11" s="2221"/>
      <c r="E11" s="2222"/>
      <c r="F11" s="770" t="s">
        <v>852</v>
      </c>
      <c r="G11" s="771"/>
      <c r="H11" s="764"/>
      <c r="I11" s="764"/>
      <c r="J11" s="765"/>
      <c r="K11" s="773"/>
    </row>
    <row r="12" spans="1:11" ht="13.5" thickBot="1" x14ac:dyDescent="0.25">
      <c r="A12" s="2247" t="s">
        <v>905</v>
      </c>
      <c r="B12" s="2248"/>
      <c r="C12" s="2248"/>
      <c r="D12" s="2248"/>
      <c r="E12" s="2249"/>
      <c r="F12" s="1757"/>
      <c r="G12" s="1758">
        <f>SUM(G5:G11)</f>
        <v>0</v>
      </c>
      <c r="H12" s="1758">
        <f>SUM(H5:H11)</f>
        <v>65849</v>
      </c>
      <c r="I12" s="1758">
        <f>SUM(I5:I11)</f>
        <v>0</v>
      </c>
      <c r="J12" s="1758">
        <f>SUM(J5:J11)</f>
        <v>9104</v>
      </c>
      <c r="K12" s="1758">
        <f>SUM(K5:K11)</f>
        <v>28560</v>
      </c>
    </row>
    <row r="13" spans="1:11" ht="13.5" thickTop="1" x14ac:dyDescent="0.2">
      <c r="A13" s="2244" t="s">
        <v>370</v>
      </c>
      <c r="B13" s="2245"/>
      <c r="C13" s="2245"/>
      <c r="D13" s="2245"/>
      <c r="E13" s="2246"/>
      <c r="F13" s="785"/>
      <c r="G13" s="786"/>
      <c r="H13" s="787"/>
      <c r="I13" s="788"/>
      <c r="J13" s="788"/>
      <c r="K13" s="788"/>
    </row>
    <row r="14" spans="1:11" x14ac:dyDescent="0.2">
      <c r="A14" s="2227" t="s">
        <v>456</v>
      </c>
      <c r="B14" s="2227"/>
      <c r="C14" s="2227"/>
      <c r="D14" s="2227"/>
      <c r="E14" s="2228"/>
      <c r="F14" s="789" t="s">
        <v>854</v>
      </c>
      <c r="G14" s="782"/>
      <c r="H14" s="764">
        <v>65849</v>
      </c>
      <c r="I14" s="771"/>
      <c r="J14" s="773"/>
      <c r="K14" s="765">
        <v>28560</v>
      </c>
    </row>
    <row r="15" spans="1:11" x14ac:dyDescent="0.2">
      <c r="A15" s="2221" t="s">
        <v>4</v>
      </c>
      <c r="B15" s="2221"/>
      <c r="C15" s="2221"/>
      <c r="D15" s="2221"/>
      <c r="E15" s="2222"/>
      <c r="F15" s="789" t="s">
        <v>855</v>
      </c>
      <c r="G15" s="771"/>
      <c r="H15" s="764"/>
      <c r="I15" s="764"/>
      <c r="J15" s="765">
        <v>9104</v>
      </c>
      <c r="K15" s="765"/>
    </row>
    <row r="16" spans="1:11" x14ac:dyDescent="0.2">
      <c r="A16" s="2221" t="s">
        <v>298</v>
      </c>
      <c r="B16" s="2221"/>
      <c r="C16" s="2221"/>
      <c r="D16" s="2221"/>
      <c r="E16" s="2222"/>
      <c r="F16" s="789" t="s">
        <v>923</v>
      </c>
      <c r="G16" s="772"/>
      <c r="H16" s="767"/>
      <c r="I16" s="767"/>
      <c r="J16" s="769"/>
      <c r="K16" s="769"/>
    </row>
    <row r="17" spans="1:11" x14ac:dyDescent="0.2">
      <c r="A17" s="2252" t="s">
        <v>935</v>
      </c>
      <c r="B17" s="2252"/>
      <c r="C17" s="2252"/>
      <c r="D17" s="2252"/>
      <c r="E17" s="2253"/>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29" t="s">
        <v>1807</v>
      </c>
      <c r="B19" s="2229"/>
      <c r="C19" s="2229"/>
      <c r="D19" s="2229"/>
      <c r="E19" s="2230"/>
      <c r="F19" s="789" t="s">
        <v>933</v>
      </c>
      <c r="G19" s="782"/>
      <c r="H19" s="782"/>
      <c r="I19" s="782"/>
      <c r="J19" s="765"/>
      <c r="K19" s="795"/>
    </row>
    <row r="20" spans="1:11" x14ac:dyDescent="0.2">
      <c r="A20" s="2231" t="s">
        <v>1812</v>
      </c>
      <c r="B20" s="2232"/>
      <c r="C20" s="2232"/>
      <c r="D20" s="2232"/>
      <c r="E20" s="2233"/>
      <c r="F20" s="789" t="s">
        <v>934</v>
      </c>
      <c r="G20" s="782"/>
      <c r="H20" s="782"/>
      <c r="I20" s="782"/>
      <c r="J20" s="765"/>
      <c r="K20" s="795"/>
    </row>
    <row r="21" spans="1:11" ht="13.5" thickBot="1" x14ac:dyDescent="0.25">
      <c r="A21" s="2250" t="s">
        <v>638</v>
      </c>
      <c r="B21" s="2250"/>
      <c r="C21" s="2250"/>
      <c r="D21" s="2250"/>
      <c r="E21" s="2250"/>
      <c r="F21" s="1759"/>
      <c r="G21" s="792"/>
      <c r="H21" s="796"/>
      <c r="I21" s="796"/>
      <c r="J21" s="1760">
        <f>SUM(J18:J20)</f>
        <v>0</v>
      </c>
      <c r="K21" s="793"/>
    </row>
    <row r="22" spans="1:11" ht="13.5" thickTop="1" x14ac:dyDescent="0.2">
      <c r="A22" s="2221" t="s">
        <v>1813</v>
      </c>
      <c r="B22" s="2221"/>
      <c r="C22" s="2221"/>
      <c r="D22" s="2221"/>
      <c r="E22" s="2222"/>
      <c r="F22" s="789" t="s">
        <v>862</v>
      </c>
      <c r="G22" s="782"/>
      <c r="H22" s="764"/>
      <c r="I22" s="764"/>
      <c r="J22" s="797"/>
      <c r="K22" s="765"/>
    </row>
    <row r="23" spans="1:11" ht="13.5" thickBot="1" x14ac:dyDescent="0.25">
      <c r="A23" s="2251" t="s">
        <v>906</v>
      </c>
      <c r="B23" s="2250"/>
      <c r="C23" s="2250"/>
      <c r="D23" s="2250"/>
      <c r="E23" s="2250"/>
      <c r="F23" s="1761"/>
      <c r="G23" s="1758">
        <f>SUM(G14:G16,G21,G22)</f>
        <v>0</v>
      </c>
      <c r="H23" s="1758">
        <f>SUM(H14:H16,H21,H22)</f>
        <v>65849</v>
      </c>
      <c r="I23" s="1758">
        <f>SUM(I14:I16,I21,I22)</f>
        <v>0</v>
      </c>
      <c r="J23" s="1758">
        <f>SUM(J14:J16,J21,J22)</f>
        <v>9104</v>
      </c>
      <c r="K23" s="1758">
        <f>SUM(K14:K16,K21,K22)</f>
        <v>28560</v>
      </c>
    </row>
    <row r="24" spans="1:11" ht="14.25" thickTop="1" thickBot="1" x14ac:dyDescent="0.25">
      <c r="A24" s="2251" t="s">
        <v>1961</v>
      </c>
      <c r="B24" s="2250"/>
      <c r="C24" s="2250"/>
      <c r="D24" s="2250"/>
      <c r="E24" s="2250"/>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4"/>
      <c r="I31" s="2225"/>
      <c r="J31" s="2225"/>
      <c r="K31" s="2225"/>
    </row>
    <row r="32" spans="1:11" x14ac:dyDescent="0.2">
      <c r="A32" s="809"/>
      <c r="B32" s="237"/>
      <c r="C32" s="237"/>
      <c r="D32" s="237"/>
      <c r="E32" s="805"/>
      <c r="F32" s="811" t="s">
        <v>540</v>
      </c>
      <c r="G32" s="764"/>
      <c r="H32" s="2226"/>
      <c r="I32" s="2225"/>
      <c r="J32" s="2225"/>
      <c r="K32" s="2225"/>
    </row>
    <row r="33" spans="1:11" ht="1.5" customHeight="1" x14ac:dyDescent="0.2">
      <c r="A33" s="812" t="s">
        <v>1169</v>
      </c>
      <c r="B33" s="364"/>
      <c r="C33" s="364"/>
      <c r="D33" s="364"/>
      <c r="E33" s="364"/>
      <c r="F33" s="364"/>
      <c r="G33" s="813"/>
      <c r="H33" s="2226"/>
      <c r="I33" s="2225"/>
      <c r="J33" s="2225"/>
      <c r="K33" s="2225"/>
    </row>
    <row r="34" spans="1:11" x14ac:dyDescent="0.2">
      <c r="A34" s="814" t="s">
        <v>1814</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34"/>
      <c r="C41" s="2234"/>
      <c r="D41" s="2234"/>
      <c r="E41" s="2234"/>
      <c r="F41" s="223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1808</v>
      </c>
      <c r="B46" s="408" t="s">
        <v>1675</v>
      </c>
    </row>
    <row r="47" spans="1:11" s="823" customFormat="1" ht="12.75" customHeight="1" x14ac:dyDescent="0.2">
      <c r="A47" s="821"/>
      <c r="B47" s="822" t="s">
        <v>1676</v>
      </c>
      <c r="E47" s="822"/>
      <c r="K47" s="824"/>
    </row>
    <row r="48" spans="1:11" ht="12.75" customHeight="1" x14ac:dyDescent="0.2">
      <c r="A48" s="1532" t="s">
        <v>1809</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1906</v>
      </c>
      <c r="B1" s="2257"/>
      <c r="C1" s="2258"/>
      <c r="D1" s="826"/>
      <c r="E1" s="827"/>
      <c r="F1" s="827"/>
      <c r="G1" s="828"/>
      <c r="H1" s="829"/>
      <c r="I1" s="830"/>
      <c r="J1" s="2254"/>
      <c r="K1" s="2255"/>
      <c r="L1" s="2255"/>
    </row>
    <row r="2" spans="1:14" ht="69.75" customHeight="1" x14ac:dyDescent="0.2">
      <c r="A2" s="831" t="s">
        <v>1678</v>
      </c>
      <c r="B2" s="832" t="s">
        <v>378</v>
      </c>
      <c r="C2" s="833" t="s">
        <v>1962</v>
      </c>
      <c r="D2" s="833" t="s">
        <v>1963</v>
      </c>
      <c r="E2" s="833" t="s">
        <v>1964</v>
      </c>
      <c r="F2" s="833" t="s">
        <v>1965</v>
      </c>
      <c r="G2" s="833" t="s">
        <v>605</v>
      </c>
      <c r="H2" s="833" t="s">
        <v>1966</v>
      </c>
      <c r="I2" s="833" t="s">
        <v>1967</v>
      </c>
      <c r="J2" s="833" t="s">
        <v>1968</v>
      </c>
      <c r="K2" s="833" t="s">
        <v>1969</v>
      </c>
      <c r="L2" s="833" t="s">
        <v>1970</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164660</v>
      </c>
      <c r="D5" s="841"/>
      <c r="E5" s="841"/>
      <c r="F5" s="1760">
        <f>(C5+D5)-E5</f>
        <v>164660</v>
      </c>
      <c r="G5" s="837"/>
      <c r="H5" s="842"/>
      <c r="I5" s="842"/>
      <c r="J5" s="842"/>
      <c r="K5" s="793"/>
      <c r="L5" s="1769">
        <f>F5-K5</f>
        <v>164660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16343445</v>
      </c>
      <c r="D8" s="844">
        <v>15982856</v>
      </c>
      <c r="E8" s="844"/>
      <c r="F8" s="1760">
        <f>(C8+D8)-E8</f>
        <v>32326301</v>
      </c>
      <c r="G8" s="843">
        <v>50</v>
      </c>
      <c r="H8" s="765">
        <v>6110214</v>
      </c>
      <c r="I8" s="765">
        <v>583317</v>
      </c>
      <c r="J8" s="765"/>
      <c r="K8" s="1769">
        <f>(H8+I8)-J8</f>
        <v>6693531</v>
      </c>
      <c r="L8" s="1769">
        <f>F8-K8</f>
        <v>25632770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4024177</v>
      </c>
      <c r="D10" s="846"/>
      <c r="E10" s="846"/>
      <c r="F10" s="1764">
        <f>(C10+D10)-E10</f>
        <v>4024177</v>
      </c>
      <c r="G10" s="843">
        <v>20</v>
      </c>
      <c r="H10" s="847">
        <v>2567400</v>
      </c>
      <c r="I10" s="847">
        <v>135865</v>
      </c>
      <c r="J10" s="847"/>
      <c r="K10" s="1769">
        <f>(H10+I10)-J10</f>
        <v>2703265</v>
      </c>
      <c r="L10" s="1769">
        <f>F10-K10</f>
        <v>1320912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4236401</v>
      </c>
      <c r="D12" s="844">
        <v>177234</v>
      </c>
      <c r="E12" s="844"/>
      <c r="F12" s="1760">
        <f>(C12+D12)-E12</f>
        <v>4413635</v>
      </c>
      <c r="G12" s="843">
        <v>10</v>
      </c>
      <c r="H12" s="765">
        <v>3497648</v>
      </c>
      <c r="I12" s="765">
        <v>159065</v>
      </c>
      <c r="J12" s="765"/>
      <c r="K12" s="1769">
        <f>(H12+I12)-J12</f>
        <v>3656713</v>
      </c>
      <c r="L12" s="1769">
        <f>F12-K12</f>
        <v>756922</v>
      </c>
    </row>
    <row r="13" spans="1:14" ht="14.25" thickTop="1" thickBot="1" x14ac:dyDescent="0.25">
      <c r="A13" s="848" t="s">
        <v>1122</v>
      </c>
      <c r="B13" s="840">
        <v>252</v>
      </c>
      <c r="C13" s="844">
        <v>295540</v>
      </c>
      <c r="D13" s="844"/>
      <c r="E13" s="844"/>
      <c r="F13" s="1760">
        <f>(C13+D13)-E13</f>
        <v>295540</v>
      </c>
      <c r="G13" s="843">
        <v>5</v>
      </c>
      <c r="H13" s="765">
        <v>266084</v>
      </c>
      <c r="I13" s="765">
        <v>6945</v>
      </c>
      <c r="J13" s="765"/>
      <c r="K13" s="1769">
        <f>(H13+I13)-J13</f>
        <v>273029</v>
      </c>
      <c r="L13" s="1769">
        <f>F13-K13</f>
        <v>22511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25064223</v>
      </c>
      <c r="D16" s="1760">
        <f>SUM(D3,D5:D6,D8:D10,D12:D15)</f>
        <v>16160090</v>
      </c>
      <c r="E16" s="1760">
        <f>SUM(E3,E5:E6,E8:E10,E12:E15)</f>
        <v>0</v>
      </c>
      <c r="F16" s="1760">
        <f>SUM(F3,F5:F6,F8:F10,F12:F15)</f>
        <v>41224313</v>
      </c>
      <c r="G16" s="843"/>
      <c r="H16" s="1760">
        <f>SUM(H3,H6,H8:H10,H12:H14,)</f>
        <v>12441346</v>
      </c>
      <c r="I16" s="1760">
        <f>SUM(I3,I6,I8:I10,I12:I14,)</f>
        <v>885192</v>
      </c>
      <c r="J16" s="1760">
        <f>SUM(J3,J6,J8:J10,J12:J14,)</f>
        <v>0</v>
      </c>
      <c r="K16" s="1760">
        <f>(H16+I16)-J16</f>
        <v>13326538</v>
      </c>
      <c r="L16" s="1760">
        <f>F16-K16</f>
        <v>27897775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885192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39"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1971</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11991229</v>
      </c>
      <c r="G8" s="865"/>
    </row>
    <row r="9" spans="1:7" x14ac:dyDescent="0.2">
      <c r="A9" s="869" t="s">
        <v>460</v>
      </c>
      <c r="B9" s="870" t="s">
        <v>1874</v>
      </c>
      <c r="C9" s="871"/>
      <c r="D9" s="869" t="s">
        <v>501</v>
      </c>
      <c r="E9" s="868"/>
      <c r="F9" s="1909">
        <f>'Expenditures 15-22'!K151</f>
        <v>742597</v>
      </c>
      <c r="G9" s="872"/>
    </row>
    <row r="10" spans="1:7" x14ac:dyDescent="0.2">
      <c r="A10" s="869" t="s">
        <v>499</v>
      </c>
      <c r="B10" s="870" t="s">
        <v>1875</v>
      </c>
      <c r="C10" s="871"/>
      <c r="D10" s="869" t="s">
        <v>501</v>
      </c>
      <c r="E10" s="868"/>
      <c r="F10" s="1909">
        <f>'Expenditures 15-22'!K174</f>
        <v>2180324</v>
      </c>
      <c r="G10" s="872"/>
    </row>
    <row r="11" spans="1:7" x14ac:dyDescent="0.2">
      <c r="A11" s="869" t="s">
        <v>461</v>
      </c>
      <c r="B11" s="870" t="s">
        <v>1876</v>
      </c>
      <c r="C11" s="871"/>
      <c r="D11" s="869" t="s">
        <v>501</v>
      </c>
      <c r="E11" s="868"/>
      <c r="F11" s="1909">
        <f>'Expenditures 15-22'!K210</f>
        <v>868857</v>
      </c>
      <c r="G11" s="872"/>
    </row>
    <row r="12" spans="1:7" x14ac:dyDescent="0.2">
      <c r="A12" s="869" t="s">
        <v>462</v>
      </c>
      <c r="B12" s="870" t="s">
        <v>1877</v>
      </c>
      <c r="C12" s="871"/>
      <c r="D12" s="869" t="s">
        <v>501</v>
      </c>
      <c r="E12" s="868"/>
      <c r="F12" s="1909">
        <f>'Expenditures 15-22'!K295</f>
        <v>384298</v>
      </c>
      <c r="G12" s="872"/>
    </row>
    <row r="13" spans="1:7" x14ac:dyDescent="0.2">
      <c r="A13" s="869" t="s">
        <v>106</v>
      </c>
      <c r="B13" s="870" t="s">
        <v>1878</v>
      </c>
      <c r="C13" s="871"/>
      <c r="D13" s="869" t="s">
        <v>501</v>
      </c>
      <c r="E13" s="868"/>
      <c r="F13" s="1909">
        <f>'Expenditures 15-22'!K342</f>
        <v>210333</v>
      </c>
      <c r="G13" s="873"/>
    </row>
    <row r="14" spans="1:7" ht="12" customHeight="1" thickBot="1" x14ac:dyDescent="0.25">
      <c r="A14" s="1770"/>
      <c r="B14" s="1771"/>
      <c r="C14" s="1772"/>
      <c r="D14" s="1773" t="s">
        <v>501</v>
      </c>
      <c r="E14" s="1774" t="s">
        <v>958</v>
      </c>
      <c r="F14" s="1775">
        <f>SUM(F8:F13)</f>
        <v>16377638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1995</v>
      </c>
      <c r="C30" s="880">
        <f>'Revenues 9-14'!B150</f>
        <v>3499</v>
      </c>
      <c r="D30" s="881" t="str">
        <f>'Revenues 9-14'!A150</f>
        <v>Adult Ed - Other (Describe &amp; Itemize)</v>
      </c>
      <c r="E30" s="868"/>
      <c r="F30" s="1914">
        <f>('Revenues 9-14'!D150+'Revenues 9-14'!F150)</f>
        <v>0</v>
      </c>
      <c r="G30" s="865"/>
    </row>
    <row r="31" spans="1:7" x14ac:dyDescent="0.2">
      <c r="A31" s="869" t="s">
        <v>1097</v>
      </c>
      <c r="B31" s="870" t="s">
        <v>1996</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1997</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1998</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16255</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5817</v>
      </c>
      <c r="G52" s="865"/>
    </row>
    <row r="53" spans="1:7" x14ac:dyDescent="0.2">
      <c r="A53" s="869" t="s">
        <v>459</v>
      </c>
      <c r="B53" s="869" t="s">
        <v>1475</v>
      </c>
      <c r="C53" s="889">
        <f>'Expenditures 15-22'!B102</f>
        <v>4000</v>
      </c>
      <c r="D53" s="888" t="str">
        <f>'Expenditures 15-22'!A102</f>
        <v>Total Payments to Other Govt Units</v>
      </c>
      <c r="E53" s="868"/>
      <c r="F53" s="1913">
        <f>'Expenditures 15-22'!K102</f>
        <v>917005</v>
      </c>
      <c r="G53" s="865"/>
    </row>
    <row r="54" spans="1:7" x14ac:dyDescent="0.2">
      <c r="A54" s="869" t="s">
        <v>459</v>
      </c>
      <c r="B54" s="869" t="s">
        <v>1476</v>
      </c>
      <c r="C54" s="889" t="s">
        <v>982</v>
      </c>
      <c r="D54" s="885" t="s">
        <v>1095</v>
      </c>
      <c r="E54" s="868"/>
      <c r="F54" s="1913">
        <f>'Expenditures 15-22'!G114</f>
        <v>156386</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12318</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805000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8530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1108</v>
      </c>
      <c r="G71" s="865"/>
    </row>
    <row r="72" spans="1:8" x14ac:dyDescent="0.2">
      <c r="A72" s="869" t="s">
        <v>462</v>
      </c>
      <c r="B72" s="869" t="s">
        <v>1893</v>
      </c>
      <c r="C72" s="886">
        <f>'Expenditures 15-22'!B280</f>
        <v>3000</v>
      </c>
      <c r="D72" s="876" t="s">
        <v>449</v>
      </c>
      <c r="E72" s="868"/>
      <c r="F72" s="1913">
        <f>'Expenditures 15-22'!K280</f>
        <v>63</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1922482</v>
      </c>
      <c r="G76" s="865"/>
    </row>
    <row r="77" spans="1:8" s="893" customFormat="1" ht="12" customHeight="1" thickTop="1" thickBot="1" x14ac:dyDescent="0.25">
      <c r="A77" s="1779"/>
      <c r="B77" s="1776"/>
      <c r="C77" s="1772"/>
      <c r="D77" s="1777" t="s">
        <v>1897</v>
      </c>
      <c r="E77" s="1774"/>
      <c r="F77" s="1780">
        <f>(F14-F76)</f>
        <v>14455156</v>
      </c>
      <c r="G77" s="869"/>
    </row>
    <row r="78" spans="1:8" s="893" customFormat="1" ht="12" customHeight="1" thickTop="1" x14ac:dyDescent="0.2">
      <c r="A78" s="1781"/>
      <c r="B78" s="1776"/>
      <c r="C78" s="1772"/>
      <c r="D78" s="1777" t="s">
        <v>2058</v>
      </c>
      <c r="E78" s="1774"/>
      <c r="F78" s="898">
        <v>1227.5</v>
      </c>
      <c r="G78" s="899"/>
      <c r="H78" s="869"/>
    </row>
    <row r="79" spans="1:8" s="893" customFormat="1" ht="12" customHeight="1" thickBot="1" x14ac:dyDescent="0.25">
      <c r="A79" s="1782"/>
      <c r="B79" s="1776"/>
      <c r="C79" s="1772"/>
      <c r="D79" s="1777" t="s">
        <v>1898</v>
      </c>
      <c r="E79" s="1774" t="s">
        <v>958</v>
      </c>
      <c r="F79" s="1783">
        <f>IF(F78&gt;0,F77/F78," Complete Line 78")</f>
        <v>11776.09450101833</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225346</v>
      </c>
      <c r="G94" s="912"/>
    </row>
    <row r="95" spans="1:7" x14ac:dyDescent="0.2">
      <c r="A95" s="908" t="s">
        <v>140</v>
      </c>
      <c r="B95" s="908" t="s">
        <v>175</v>
      </c>
      <c r="C95" s="910">
        <v>1700</v>
      </c>
      <c r="D95" s="918" t="str">
        <f>'Revenues 9-14'!A82</f>
        <v>Total District/School Activity Income</v>
      </c>
      <c r="E95" s="906"/>
      <c r="F95" s="1789">
        <f>SUM('Revenues 9-14'!C82,'Revenues 9-14'!D82)</f>
        <v>62376</v>
      </c>
      <c r="G95" s="912"/>
    </row>
    <row r="96" spans="1:7" x14ac:dyDescent="0.2">
      <c r="A96" s="908" t="s">
        <v>459</v>
      </c>
      <c r="B96" s="908" t="s">
        <v>176</v>
      </c>
      <c r="C96" s="910">
        <f>'Revenues 9-14'!B84</f>
        <v>1811</v>
      </c>
      <c r="D96" s="911" t="str">
        <f>'Revenues 9-14'!A84</f>
        <v>Rentals - Regular Textbooks</v>
      </c>
      <c r="E96" s="906"/>
      <c r="F96" s="1789">
        <f>'Revenues 9-14'!C84</f>
        <v>96600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8659</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1999</v>
      </c>
      <c r="C105" s="913">
        <v>3100</v>
      </c>
      <c r="D105" s="919" t="str">
        <f>'Revenues 9-14'!A132</f>
        <v>Total Special Education</v>
      </c>
      <c r="E105" s="906"/>
      <c r="F105" s="1789">
        <f>SUM('Revenues 9-14'!C132:D132,'Revenues 9-14'!F132)</f>
        <v>223595</v>
      </c>
      <c r="G105" s="912"/>
    </row>
    <row r="106" spans="1:7" x14ac:dyDescent="0.2">
      <c r="A106" s="908" t="s">
        <v>673</v>
      </c>
      <c r="B106" s="908" t="s">
        <v>2000</v>
      </c>
      <c r="C106" s="920">
        <v>3200</v>
      </c>
      <c r="D106" s="911" t="str">
        <f>'Revenues 9-14'!A141</f>
        <v>Total Career and Technical Education</v>
      </c>
      <c r="E106" s="906"/>
      <c r="F106" s="1789">
        <f>SUM('Revenues 9-14'!C141,'Revenues 9-14'!D141,'Revenues 9-14'!G141)</f>
        <v>35455</v>
      </c>
      <c r="G106" s="912"/>
    </row>
    <row r="107" spans="1:7" x14ac:dyDescent="0.2">
      <c r="A107" s="921" t="s">
        <v>664</v>
      </c>
      <c r="B107" s="908" t="s">
        <v>2001</v>
      </c>
      <c r="C107" s="920">
        <v>3300</v>
      </c>
      <c r="D107" s="911" t="str">
        <f>'Revenues 9-14'!A145</f>
        <v>Total Bilingual Ed</v>
      </c>
      <c r="E107" s="906"/>
      <c r="F107" s="1789">
        <f>SUM('Revenues 9-14'!C145,'Revenues 9-14'!G145)</f>
        <v>0</v>
      </c>
      <c r="G107" s="912"/>
    </row>
    <row r="108" spans="1:7" x14ac:dyDescent="0.2">
      <c r="A108" s="908" t="s">
        <v>459</v>
      </c>
      <c r="B108" s="908" t="s">
        <v>2002</v>
      </c>
      <c r="C108" s="920">
        <f>'Revenues 9-14'!B146</f>
        <v>3360</v>
      </c>
      <c r="D108" s="911" t="str">
        <f>'Revenues 9-14'!A146</f>
        <v>State Free Lunch &amp; Breakfast</v>
      </c>
      <c r="E108" s="906"/>
      <c r="F108" s="1789">
        <f>'Revenues 9-14'!C146</f>
        <v>7072</v>
      </c>
      <c r="G108" s="912"/>
    </row>
    <row r="109" spans="1:7" x14ac:dyDescent="0.2">
      <c r="A109" s="908" t="s">
        <v>673</v>
      </c>
      <c r="B109" s="908" t="s">
        <v>2003</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9">
        <f>SUM('Revenues 9-14'!C148,'Revenues 9-14'!D148)</f>
        <v>20802</v>
      </c>
      <c r="G110" s="912"/>
    </row>
    <row r="111" spans="1:7" x14ac:dyDescent="0.2">
      <c r="A111" s="908" t="s">
        <v>668</v>
      </c>
      <c r="B111" s="908" t="s">
        <v>2005</v>
      </c>
      <c r="C111" s="922">
        <v>3500</v>
      </c>
      <c r="D111" s="911" t="str">
        <f>'Revenues 9-14'!A155</f>
        <v>Total Transportation</v>
      </c>
      <c r="E111" s="906"/>
      <c r="F111" s="1789">
        <f>SUM('Revenues 9-14'!C155,'Revenues 9-14'!D155,'Revenues 9-14'!F155,'Revenues 9-14'!G155)</f>
        <v>427564</v>
      </c>
      <c r="G111" s="912"/>
    </row>
    <row r="112" spans="1:7" x14ac:dyDescent="0.2">
      <c r="A112" s="908" t="s">
        <v>459</v>
      </c>
      <c r="B112" s="908" t="s">
        <v>2006</v>
      </c>
      <c r="C112" s="920">
        <f>'Revenues 9-14'!B156</f>
        <v>3610</v>
      </c>
      <c r="D112" s="911" t="str">
        <f>'Revenues 9-14'!A156</f>
        <v>Learning Improvement - Change Grants</v>
      </c>
      <c r="E112" s="906"/>
      <c r="F112" s="1789">
        <f>'Revenues 9-14'!C156</f>
        <v>0</v>
      </c>
      <c r="G112" s="912"/>
    </row>
    <row r="113" spans="1:7" x14ac:dyDescent="0.2">
      <c r="A113" s="908" t="s">
        <v>668</v>
      </c>
      <c r="B113" s="908" t="s">
        <v>2007</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2009</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2010</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2011</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2012</v>
      </c>
      <c r="C118" s="924">
        <f>'Revenues 9-14'!B163</f>
        <v>3780</v>
      </c>
      <c r="D118" s="925" t="str">
        <f>'Revenues 9-14'!A163</f>
        <v>Technology - Technology for Success</v>
      </c>
      <c r="E118" s="906"/>
      <c r="F118" s="1907">
        <f>SUM('Revenues 9-14'!C163:G163)</f>
        <v>0</v>
      </c>
      <c r="G118" s="912"/>
    </row>
    <row r="119" spans="1:7" x14ac:dyDescent="0.2">
      <c r="A119" s="923" t="s">
        <v>504</v>
      </c>
      <c r="B119" s="923" t="s">
        <v>2013</v>
      </c>
      <c r="C119" s="924">
        <f>'Revenues 9-14'!B164</f>
        <v>3815</v>
      </c>
      <c r="D119" s="925" t="str">
        <f>'Revenues 9-14'!A164</f>
        <v>State Charter Schools</v>
      </c>
      <c r="E119" s="906"/>
      <c r="F119" s="1907">
        <f>SUM('Revenues 9-14'!C164,'Revenues 9-14'!F164)</f>
        <v>0</v>
      </c>
      <c r="G119" s="912"/>
    </row>
    <row r="120" spans="1:7" x14ac:dyDescent="0.2">
      <c r="A120" s="927" t="s">
        <v>460</v>
      </c>
      <c r="B120" s="927" t="s">
        <v>2014</v>
      </c>
      <c r="C120" s="928">
        <f>'Revenues 9-14'!B167</f>
        <v>3925</v>
      </c>
      <c r="D120" s="929" t="str">
        <f>'Revenues 9-14'!A167</f>
        <v>School Infrastructure - Maintenance Projects</v>
      </c>
      <c r="E120" s="906"/>
      <c r="F120" s="1789">
        <f>'Revenues 9-14'!D167</f>
        <v>0</v>
      </c>
      <c r="G120" s="930"/>
    </row>
    <row r="121" spans="1:7" x14ac:dyDescent="0.2">
      <c r="A121" s="927" t="s">
        <v>500</v>
      </c>
      <c r="B121" s="927" t="s">
        <v>2015</v>
      </c>
      <c r="C121" s="928">
        <f>'Revenues 9-14'!B168</f>
        <v>3999</v>
      </c>
      <c r="D121" s="929" t="s">
        <v>543</v>
      </c>
      <c r="E121" s="931"/>
      <c r="F121" s="1789">
        <f>SUM('Revenues 9-14'!C168:G168,'Revenues 9-14'!J168)</f>
        <v>2617</v>
      </c>
      <c r="G121" s="930"/>
    </row>
    <row r="122" spans="1:7" x14ac:dyDescent="0.2">
      <c r="A122" s="927" t="s">
        <v>459</v>
      </c>
      <c r="B122" s="927" t="s">
        <v>2016</v>
      </c>
      <c r="C122" s="932">
        <f>'Revenues 9-14'!B177</f>
        <v>4045</v>
      </c>
      <c r="D122" s="929" t="str">
        <f>'Revenues 9-14'!A177 &amp; " (Subtract)"</f>
        <v>Head Start (Subtract)</v>
      </c>
      <c r="E122" s="906"/>
      <c r="F122" s="1789">
        <f>SUM(-'Revenues 9-14'!C177)</f>
        <v>0</v>
      </c>
      <c r="G122" s="930"/>
    </row>
    <row r="123" spans="1:7" x14ac:dyDescent="0.2">
      <c r="A123" s="927" t="s">
        <v>668</v>
      </c>
      <c r="B123" s="927" t="s">
        <v>2017</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2018</v>
      </c>
      <c r="C124" s="932">
        <v>4100</v>
      </c>
      <c r="D124" s="933" t="str">
        <f>'Revenues 9-14'!A188</f>
        <v>Total Title V</v>
      </c>
      <c r="E124" s="906"/>
      <c r="F124" s="1789">
        <f>SUM('Revenues 9-14'!C188,'Revenues 9-14'!D188,'Revenues 9-14'!F188,'Revenues 9-14'!G188)</f>
        <v>0</v>
      </c>
      <c r="G124" s="930"/>
    </row>
    <row r="125" spans="1:7" x14ac:dyDescent="0.2">
      <c r="A125" s="927" t="s">
        <v>664</v>
      </c>
      <c r="B125" s="927" t="s">
        <v>2019</v>
      </c>
      <c r="C125" s="932">
        <v>4200</v>
      </c>
      <c r="D125" s="929" t="str">
        <f>'Revenues 9-14'!A198</f>
        <v>Total Food Service</v>
      </c>
      <c r="E125" s="906"/>
      <c r="F125" s="1789">
        <f>SUM('Revenues 9-14'!C198,'Revenues 9-14'!G198)</f>
        <v>390233</v>
      </c>
      <c r="G125" s="930"/>
    </row>
    <row r="126" spans="1:7" x14ac:dyDescent="0.2">
      <c r="A126" s="927" t="s">
        <v>668</v>
      </c>
      <c r="B126" s="927" t="s">
        <v>2020</v>
      </c>
      <c r="C126" s="932">
        <v>4300</v>
      </c>
      <c r="D126" s="933" t="str">
        <f>'Revenues 9-14'!A204</f>
        <v>Total Title I</v>
      </c>
      <c r="E126" s="906"/>
      <c r="F126" s="1789">
        <f>SUM('Revenues 9-14'!C204,'Revenues 9-14'!D204,'Revenues 9-14'!F204,'Revenues 9-14'!G204)</f>
        <v>314652</v>
      </c>
      <c r="G126" s="930"/>
    </row>
    <row r="127" spans="1:7" x14ac:dyDescent="0.2">
      <c r="A127" s="927" t="s">
        <v>668</v>
      </c>
      <c r="B127" s="927" t="s">
        <v>2021</v>
      </c>
      <c r="C127" s="932">
        <v>4400</v>
      </c>
      <c r="D127" s="933" t="str">
        <f>'Revenues 9-14'!A209</f>
        <v>Total Title IV</v>
      </c>
      <c r="E127" s="906"/>
      <c r="F127" s="1789">
        <f>SUM('Revenues 9-14'!C209,'Revenues 9-14'!D209,'Revenues 9-14'!F209,'Revenues 9-14'!G209)</f>
        <v>18880</v>
      </c>
      <c r="G127" s="930"/>
    </row>
    <row r="128" spans="1:7" x14ac:dyDescent="0.2">
      <c r="A128" s="927" t="s">
        <v>668</v>
      </c>
      <c r="B128" s="927" t="s">
        <v>2022</v>
      </c>
      <c r="C128" s="932">
        <f>'Revenues 9-14'!B213</f>
        <v>4620</v>
      </c>
      <c r="D128" s="933" t="str">
        <f>'Revenues 9-14'!A213</f>
        <v>Fed - Spec Education - IDEA - Flow Through</v>
      </c>
      <c r="E128" s="906"/>
      <c r="F128" s="1789">
        <f>SUM('Revenues 9-14'!C213:D213,'Revenues 9-14'!F213:G213)</f>
        <v>287540</v>
      </c>
      <c r="G128" s="930"/>
    </row>
    <row r="129" spans="1:7" x14ac:dyDescent="0.2">
      <c r="A129" s="927" t="s">
        <v>668</v>
      </c>
      <c r="B129" s="927" t="s">
        <v>2023</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2024</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2025</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9">
        <v>0</v>
      </c>
      <c r="G138" s="905"/>
    </row>
    <row r="139" spans="1:7" s="867" customFormat="1" hidden="1" x14ac:dyDescent="0.2">
      <c r="A139" s="934" t="s">
        <v>206</v>
      </c>
      <c r="B139" s="934" t="s">
        <v>2032</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2035</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2040</v>
      </c>
      <c r="C157" s="940" t="s">
        <v>841</v>
      </c>
      <c r="D157" s="941" t="s">
        <v>777</v>
      </c>
      <c r="E157" s="942"/>
      <c r="F157" s="1789">
        <f>SUM(F133:F156)</f>
        <v>0</v>
      </c>
      <c r="G157" s="905"/>
    </row>
    <row r="158" spans="1:7" s="867" customFormat="1" x14ac:dyDescent="0.2">
      <c r="A158" s="938" t="s">
        <v>459</v>
      </c>
      <c r="B158" s="939" t="s">
        <v>2041</v>
      </c>
      <c r="C158" s="940" t="s">
        <v>1427</v>
      </c>
      <c r="D158" s="941" t="s">
        <v>1428</v>
      </c>
      <c r="E158" s="942"/>
      <c r="F158" s="1789">
        <f>SUM('Revenues 9-14'!C253)</f>
        <v>0</v>
      </c>
      <c r="G158" s="905"/>
    </row>
    <row r="159" spans="1:7" s="867" customFormat="1" x14ac:dyDescent="0.2">
      <c r="A159" s="938" t="s">
        <v>500</v>
      </c>
      <c r="B159" s="939" t="s">
        <v>2042</v>
      </c>
      <c r="C159" s="940" t="s">
        <v>1466</v>
      </c>
      <c r="D159" s="941" t="s">
        <v>1467</v>
      </c>
      <c r="E159" s="942"/>
      <c r="F159" s="1789">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2045</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2046</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2047</v>
      </c>
      <c r="C164" s="932">
        <f>'Revenues 9-14'!B259</f>
        <v>4932</v>
      </c>
      <c r="D164" s="933" t="str">
        <f>'Revenues 9-14'!A259</f>
        <v>Title II - Teacher Quality</v>
      </c>
      <c r="E164" s="906"/>
      <c r="F164" s="1907">
        <f>SUM('Revenues 9-14'!C259,'Revenues 9-14'!D259,'Revenues 9-14'!F259,'Revenues 9-14'!G259)</f>
        <v>31477</v>
      </c>
      <c r="G164" s="930"/>
    </row>
    <row r="165" spans="1:7" x14ac:dyDescent="0.2">
      <c r="A165" s="927" t="s">
        <v>668</v>
      </c>
      <c r="B165" s="927" t="s">
        <v>2048</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1993</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1994</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2049</v>
      </c>
      <c r="C168" s="932">
        <f>'Revenues 9-14'!B263</f>
        <v>4991</v>
      </c>
      <c r="D168" s="933" t="str">
        <f>'Revenues 9-14'!A263</f>
        <v>Medicaid Matching Funds - Administrative Outreach</v>
      </c>
      <c r="E168" s="906"/>
      <c r="F168" s="1789">
        <f>SUM('Revenues 9-14'!C263:D263,'Revenues 9-14'!F263:G263)</f>
        <v>21104</v>
      </c>
      <c r="G168" s="947">
        <v>6320</v>
      </c>
    </row>
    <row r="169" spans="1:7" x14ac:dyDescent="0.2">
      <c r="A169" s="927" t="s">
        <v>668</v>
      </c>
      <c r="B169" s="927" t="s">
        <v>2050</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2051</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2052</v>
      </c>
      <c r="E174" s="1787" t="s">
        <v>958</v>
      </c>
      <c r="F174" s="1788">
        <f>SUM(F84:F132,F157:F172)</f>
        <v>2173972</v>
      </c>
    </row>
    <row r="175" spans="1:7" ht="12" customHeight="1" x14ac:dyDescent="0.2">
      <c r="A175" s="1770"/>
      <c r="B175" s="1784"/>
      <c r="C175" s="1785"/>
      <c r="D175" s="1786" t="s">
        <v>2053</v>
      </c>
      <c r="E175" s="1787"/>
      <c r="F175" s="1789">
        <f>'PCTC-OEPP 27-28'!F77-F174</f>
        <v>12281184</v>
      </c>
    </row>
    <row r="176" spans="1:7" ht="12" customHeight="1" x14ac:dyDescent="0.2">
      <c r="A176" s="1770"/>
      <c r="B176" s="1784"/>
      <c r="C176" s="1785"/>
      <c r="D176" s="1786" t="s">
        <v>1815</v>
      </c>
      <c r="E176" s="1787"/>
      <c r="F176" s="1789">
        <f>'Cap Outlay Deprec 26'!I18</f>
        <v>885192</v>
      </c>
    </row>
    <row r="177" spans="1:7" ht="12" customHeight="1" x14ac:dyDescent="0.2">
      <c r="A177" s="1770"/>
      <c r="B177" s="1784"/>
      <c r="C177" s="1785"/>
      <c r="D177" s="1786" t="s">
        <v>2054</v>
      </c>
      <c r="E177" s="1787"/>
      <c r="F177" s="1789">
        <f>F175+F176</f>
        <v>13166376</v>
      </c>
    </row>
    <row r="178" spans="1:7" ht="12" customHeight="1" x14ac:dyDescent="0.2">
      <c r="A178" s="1770"/>
      <c r="B178" s="1790"/>
      <c r="C178" s="1785"/>
      <c r="D178" s="1786" t="str">
        <f>D78</f>
        <v>9 Month ADA from District Average Daily Attendance/Prior General State Aid Inquiry 2018-2019</v>
      </c>
      <c r="E178" s="1787"/>
      <c r="F178" s="1791">
        <f>'PCTC-OEPP 27-28'!F78</f>
        <v>1227.5</v>
      </c>
      <c r="G178" s="930"/>
    </row>
    <row r="179" spans="1:7" ht="12" customHeight="1" thickBot="1" x14ac:dyDescent="0.25">
      <c r="A179" s="1770"/>
      <c r="B179" s="1790"/>
      <c r="C179" s="1785"/>
      <c r="D179" s="1786" t="s">
        <v>2055</v>
      </c>
      <c r="E179" s="1787" t="s">
        <v>1545</v>
      </c>
      <c r="F179" s="1792">
        <f>F177/F178</f>
        <v>10726.171894093686</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1990</v>
      </c>
      <c r="B182" s="1923"/>
      <c r="C182" s="1924"/>
      <c r="D182" s="1923"/>
      <c r="E182" s="1924"/>
      <c r="F182" s="1923"/>
      <c r="G182" s="1923"/>
    </row>
    <row r="183" spans="1:7" s="1922" customFormat="1" ht="12.2" customHeight="1" x14ac:dyDescent="0.2">
      <c r="A183" s="1925" t="s">
        <v>1992</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10"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1830</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3" t="s">
        <v>1816</v>
      </c>
      <c r="B4" s="2274"/>
      <c r="C4" s="2274"/>
      <c r="D4" s="2274"/>
      <c r="E4" s="2274"/>
      <c r="F4" s="2274"/>
      <c r="G4" s="2275"/>
    </row>
    <row r="5" spans="1:7" x14ac:dyDescent="0.25">
      <c r="A5" s="2276"/>
      <c r="B5" s="2277"/>
      <c r="C5" s="2277"/>
      <c r="D5" s="2277"/>
      <c r="E5" s="2277"/>
      <c r="F5" s="2277"/>
      <c r="G5" s="2278"/>
    </row>
    <row r="6" spans="1:7" ht="18.75" x14ac:dyDescent="0.25">
      <c r="A6" s="1938" t="s">
        <v>2062</v>
      </c>
      <c r="B6" s="1939"/>
      <c r="C6" s="1939"/>
      <c r="D6" s="1939"/>
      <c r="E6" s="1939"/>
      <c r="F6" s="1939"/>
      <c r="G6" s="1940"/>
    </row>
    <row r="7" spans="1:7" ht="18.75" x14ac:dyDescent="0.25">
      <c r="A7" s="1534" t="s">
        <v>1817</v>
      </c>
      <c r="B7" s="1535"/>
      <c r="C7" s="1535"/>
      <c r="D7" s="1535"/>
      <c r="E7" s="1535"/>
      <c r="F7" s="1535"/>
      <c r="G7" s="1536"/>
    </row>
    <row r="8" spans="1:7" ht="30.75" customHeight="1" x14ac:dyDescent="0.25">
      <c r="A8" s="2279" t="s">
        <v>1929</v>
      </c>
      <c r="B8" s="2280"/>
      <c r="C8" s="2280"/>
      <c r="D8" s="2280"/>
      <c r="E8" s="2280"/>
      <c r="F8" s="2280"/>
      <c r="G8" s="2281"/>
    </row>
    <row r="9" spans="1:7" ht="15.75" customHeight="1" x14ac:dyDescent="0.25">
      <c r="A9" s="2282" t="s">
        <v>1904</v>
      </c>
      <c r="B9" s="2283"/>
      <c r="C9" s="2283"/>
      <c r="D9" s="2283"/>
      <c r="E9" s="2283"/>
      <c r="F9" s="2283"/>
      <c r="G9" s="2284"/>
    </row>
    <row r="10" spans="1:7" ht="35.25" customHeight="1" x14ac:dyDescent="0.25">
      <c r="A10" s="2279" t="s">
        <v>2061</v>
      </c>
      <c r="B10" s="2280"/>
      <c r="C10" s="2280"/>
      <c r="D10" s="2280"/>
      <c r="E10" s="2280"/>
      <c r="F10" s="2280"/>
      <c r="G10" s="2281"/>
    </row>
    <row r="11" spans="1:7" ht="15" customHeight="1" x14ac:dyDescent="0.25">
      <c r="A11" s="1537" t="s">
        <v>1818</v>
      </c>
      <c r="B11" s="1538"/>
      <c r="C11" s="1538"/>
      <c r="D11" s="1538"/>
      <c r="E11" s="1538"/>
      <c r="F11" s="1538"/>
      <c r="G11" s="1539"/>
    </row>
    <row r="12" spans="1:7" ht="17.25" customHeight="1" x14ac:dyDescent="0.25">
      <c r="A12" s="2279" t="s">
        <v>1931</v>
      </c>
      <c r="B12" s="2280"/>
      <c r="C12" s="2280"/>
      <c r="D12" s="2280"/>
      <c r="E12" s="2280"/>
      <c r="F12" s="2280"/>
      <c r="G12" s="2281"/>
    </row>
    <row r="13" spans="1:7" ht="15" customHeight="1" x14ac:dyDescent="0.25">
      <c r="A13" s="1537" t="s">
        <v>1823</v>
      </c>
      <c r="B13" s="1538"/>
      <c r="C13" s="1538"/>
      <c r="D13" s="1538"/>
      <c r="E13" s="1538"/>
      <c r="F13" s="1538"/>
      <c r="G13" s="1539"/>
    </row>
    <row r="14" spans="1:7" ht="32.25" customHeight="1" x14ac:dyDescent="0.25">
      <c r="A14" s="2270" t="s">
        <v>1972</v>
      </c>
      <c r="B14" s="2271"/>
      <c r="C14" s="2271"/>
      <c r="D14" s="2271"/>
      <c r="E14" s="2271"/>
      <c r="F14" s="2271"/>
      <c r="G14" s="2272"/>
    </row>
    <row r="15" spans="1:7" x14ac:dyDescent="0.25">
      <c r="A15" s="1661" t="s">
        <v>1831</v>
      </c>
      <c r="B15" s="1662"/>
      <c r="C15" s="1662"/>
      <c r="D15" s="1662"/>
      <c r="E15" s="1662"/>
      <c r="F15" s="1662"/>
      <c r="G15" s="1663"/>
    </row>
    <row r="16" spans="1:7" ht="61.5" customHeight="1" x14ac:dyDescent="0.25">
      <c r="A16" s="1546" t="s">
        <v>1824</v>
      </c>
      <c r="B16" s="1546" t="s">
        <v>1825</v>
      </c>
      <c r="C16" s="1546" t="s">
        <v>1826</v>
      </c>
      <c r="D16" s="1547" t="s">
        <v>1827</v>
      </c>
      <c r="E16" s="1547" t="s">
        <v>1819</v>
      </c>
      <c r="F16" s="1547" t="s">
        <v>1828</v>
      </c>
      <c r="G16" s="1547" t="s">
        <v>1829</v>
      </c>
    </row>
    <row r="17" spans="1:8" x14ac:dyDescent="0.25">
      <c r="A17" s="1648" t="s">
        <v>1832</v>
      </c>
      <c r="B17" s="1649" t="s">
        <v>1822</v>
      </c>
      <c r="C17" s="1650" t="s">
        <v>1820</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2084</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293055</v>
      </c>
      <c r="F10" s="974"/>
      <c r="G10" s="975"/>
      <c r="H10" s="162"/>
      <c r="I10" s="162"/>
    </row>
    <row r="11" spans="1:9" s="668" customFormat="1" ht="22.5" customHeight="1" x14ac:dyDescent="0.2">
      <c r="A11" s="2290" t="s">
        <v>1973</v>
      </c>
      <c r="B11" s="2291"/>
      <c r="C11" s="2291"/>
      <c r="D11" s="2292"/>
      <c r="E11" s="977">
        <v>43645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7589770</v>
      </c>
      <c r="F19" s="1799"/>
      <c r="G19" s="1801">
        <f>'Expenditures 15-22'!K33-SUM('Expenditures 15-22'!G33,'Expenditures 15-22'!I33)+'Expenditures 15-22'!D229</f>
        <v>7589770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387671</v>
      </c>
      <c r="F21" s="1802"/>
      <c r="G21" s="1805">
        <f>'Expenditures 15-22'!K42-SUM('Expenditures 15-22'!G42,'Expenditures 15-22'!I42)+'Expenditures 15-22'!K120-SUM('Expenditures 15-22'!G120,'Expenditures 15-22'!I120)+'Expenditures 15-22'!K180-SUM('Expenditures 15-22'!G180,'Expenditures 15-22'!I180)+'Expenditures 15-22'!D238</f>
        <v>387671</v>
      </c>
      <c r="H21" s="987"/>
      <c r="I21" s="162"/>
    </row>
    <row r="22" spans="1:9" s="668" customFormat="1" ht="12" customHeight="1" x14ac:dyDescent="0.2">
      <c r="A22" s="994" t="s">
        <v>564</v>
      </c>
      <c r="B22" s="995"/>
      <c r="C22" s="993">
        <v>2200</v>
      </c>
      <c r="D22" s="1802"/>
      <c r="E22" s="1804">
        <f>'Expenditures 15-22'!K47-SUM('Expenditures 15-22'!G47,'Expenditures 15-22'!I47)+'Expenditures 15-22'!D243</f>
        <v>568410</v>
      </c>
      <c r="F22" s="1802"/>
      <c r="G22" s="1805">
        <f>'Expenditures 15-22'!K47-SUM('Expenditures 15-22'!G47,'Expenditures 15-22'!I47)+'Expenditures 15-22'!D243</f>
        <v>568410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559075</v>
      </c>
      <c r="F23" s="1802"/>
      <c r="G23" s="1804">
        <f>'Expenditures 15-22'!K53-SUM('Expenditures 15-22'!G53,'Expenditures 15-22'!I53)+'Expenditures 15-22'!D257+'Expenditures 15-22'!K330-SUM('Expenditures 15-22'!G330,'Expenditures 15-22'!I330)</f>
        <v>559075</v>
      </c>
      <c r="H23" s="987"/>
      <c r="I23" s="162"/>
    </row>
    <row r="24" spans="1:9" s="668" customFormat="1" ht="12" customHeight="1" x14ac:dyDescent="0.2">
      <c r="A24" s="994" t="s">
        <v>566</v>
      </c>
      <c r="B24" s="995"/>
      <c r="C24" s="993">
        <v>2400</v>
      </c>
      <c r="D24" s="1802"/>
      <c r="E24" s="1804">
        <f>'Expenditures 15-22'!K57-SUM('Expenditures 15-22'!G57,'Expenditures 15-22'!I57)+'Expenditures 15-22'!D261</f>
        <v>826445</v>
      </c>
      <c r="F24" s="1802"/>
      <c r="G24" s="1805">
        <f>'Expenditures 15-22'!K57-SUM('Expenditures 15-22'!G57,'Expenditures 15-22'!I57)+'Expenditures 15-22'!D261</f>
        <v>826445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203879</v>
      </c>
      <c r="E27" s="1804">
        <f>E8</f>
        <v>0</v>
      </c>
      <c r="F27" s="1804">
        <f>'Expenditures 15-22'!K60-SUM('Expenditures 15-22'!G60,'Expenditures 15-22'!I60)+'Expenditures 15-22'!D264-E8</f>
        <v>203879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1391228</v>
      </c>
      <c r="F28" s="1806">
        <f>'Expenditures 15-22'!K61-SUM('Expenditures 15-22'!G61,'Expenditures 15-22'!I61)+'Expenditures 15-22'!K124-SUM('Expenditures 15-22'!G124,'Expenditures 15-22'!I124)+'Expenditures 15-22'!D266-E9</f>
        <v>1391228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867755</v>
      </c>
      <c r="F29" s="1802"/>
      <c r="G29" s="1805">
        <f>'Expenditures 15-22'!K62-SUM('Expenditures 15-22'!G62,'Expenditures 15-22'!I62)+'Expenditures 15-22'!K125-SUM('Expenditures 15-22'!G125,'Expenditures 15-22'!I125)+'Expenditures 15-22'!K182-SUM('Expenditures 15-22'!G182,'Expenditures 15-22'!I182)+'Expenditures 15-22'!D267</f>
        <v>867755</v>
      </c>
      <c r="H29" s="985"/>
    </row>
    <row r="30" spans="1:9" ht="12" customHeight="1" x14ac:dyDescent="0.2">
      <c r="A30" s="994" t="s">
        <v>100</v>
      </c>
      <c r="B30" s="997"/>
      <c r="C30" s="993">
        <v>2560</v>
      </c>
      <c r="D30" s="1802"/>
      <c r="E30" s="1804">
        <f>'Expenditures 15-22'!K63-SUM('Expenditures 15-22'!G63,'Expenditures 15-22'!I63)+'Expenditures 15-22'!D268-E10</f>
        <v>391232</v>
      </c>
      <c r="F30" s="1802"/>
      <c r="G30" s="1804">
        <f>'Expenditures 15-22'!K63-SUM('Expenditures 15-22'!G63,'Expenditures 15-22'!I63)+'Expenditures 15-22'!D268-E10</f>
        <v>391232</v>
      </c>
    </row>
    <row r="31" spans="1:9" ht="12" customHeight="1" x14ac:dyDescent="0.2">
      <c r="A31" s="994" t="s">
        <v>101</v>
      </c>
      <c r="B31" s="997"/>
      <c r="C31" s="993">
        <v>2570</v>
      </c>
      <c r="D31" s="1804">
        <f>'Expenditures 15-22'!K64-SUM('Expenditures 15-22'!G64,'Expenditures 15-22'!I64)+'Expenditures 15-22'!D269-E12</f>
        <v>16826</v>
      </c>
      <c r="E31" s="1804">
        <f>E12</f>
        <v>0</v>
      </c>
      <c r="F31" s="1804">
        <f>'Expenditures 15-22'!K64-SUM('Expenditures 15-22'!G64,'Expenditures 15-22'!I64)+'Expenditures 15-22'!D269-E12</f>
        <v>16826</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1849</v>
      </c>
      <c r="E36" s="1804">
        <f>E13</f>
        <v>0</v>
      </c>
      <c r="F36" s="1804">
        <f>'Expenditures 15-22'!K70-SUM('Expenditures 15-22'!G70,'Expenditures 15-22'!I70)+'Expenditures 15-22'!D275-E13</f>
        <v>1849</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5880</v>
      </c>
      <c r="F39" s="1802"/>
      <c r="G39" s="1804">
        <f>'Expenditures 15-22'!K75-SUM('Expenditures 15-22'!G75,'Expenditures 15-22'!I75)+'Expenditures 15-22'!K130-SUM('Expenditures 15-22'!G130,'Expenditures 15-22'!I130)+'Expenditures 15-22'!K185-SUM('Expenditures 15-22'!G185,'Expenditures 15-22'!I185)+'Expenditures 15-22'!D280</f>
        <v>5880</v>
      </c>
    </row>
    <row r="40" spans="1:7" ht="12" customHeight="1" x14ac:dyDescent="0.2">
      <c r="A40" s="990" t="s">
        <v>1821</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222554</v>
      </c>
      <c r="E41" s="1806">
        <f>SUM(E19:E40)</f>
        <v>12587466</v>
      </c>
      <c r="F41" s="1806">
        <f>SUM(F19:F39)</f>
        <v>1613782</v>
      </c>
      <c r="G41" s="1806">
        <f>SUM(G19:G40)</f>
        <v>11196238</v>
      </c>
    </row>
    <row r="42" spans="1:7" x14ac:dyDescent="0.2">
      <c r="A42" s="987"/>
      <c r="B42" s="162"/>
      <c r="C42" s="1001"/>
      <c r="D42" s="2288" t="s">
        <v>522</v>
      </c>
      <c r="E42" s="2289"/>
      <c r="F42" s="1002" t="s">
        <v>523</v>
      </c>
      <c r="G42" s="1003"/>
    </row>
    <row r="43" spans="1:7" ht="12" customHeight="1" x14ac:dyDescent="0.2">
      <c r="A43" s="987"/>
      <c r="B43" s="162"/>
      <c r="C43" s="1001"/>
      <c r="D43" s="1807" t="s">
        <v>473</v>
      </c>
      <c r="E43" s="1808">
        <f>D41</f>
        <v>222554</v>
      </c>
      <c r="F43" s="1807" t="s">
        <v>473</v>
      </c>
      <c r="G43" s="1808">
        <f>F41</f>
        <v>1613782</v>
      </c>
    </row>
    <row r="44" spans="1:7" ht="12" customHeight="1" x14ac:dyDescent="0.2">
      <c r="A44" s="987"/>
      <c r="B44" s="162"/>
      <c r="C44" s="1001"/>
      <c r="D44" s="1807" t="s">
        <v>474</v>
      </c>
      <c r="E44" s="1808">
        <f>E41</f>
        <v>12587466</v>
      </c>
      <c r="F44" s="1807" t="s">
        <v>474</v>
      </c>
      <c r="G44" s="1808">
        <f>G41</f>
        <v>11196238</v>
      </c>
    </row>
    <row r="45" spans="1:7" ht="12" customHeight="1" x14ac:dyDescent="0.2">
      <c r="A45" s="987"/>
      <c r="B45" s="162"/>
      <c r="C45" s="162"/>
      <c r="D45" s="1809" t="s">
        <v>1006</v>
      </c>
      <c r="E45" s="1810">
        <f>(E43/E44)</f>
        <v>1.7680603864193158E-2</v>
      </c>
      <c r="F45" s="1809" t="s">
        <v>1006</v>
      </c>
      <c r="G45" s="1810">
        <f>(G43/G44)</f>
        <v>0.14413609285547521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7" t="s">
        <v>1379</v>
      </c>
      <c r="B1" s="2307"/>
      <c r="C1" s="2307"/>
      <c r="D1" s="2307"/>
      <c r="E1" s="2307"/>
      <c r="F1" s="2307"/>
    </row>
    <row r="2" spans="1:10" x14ac:dyDescent="0.2">
      <c r="A2" s="1887" t="s">
        <v>1909</v>
      </c>
      <c r="B2" s="1848"/>
      <c r="C2" s="1887"/>
      <c r="D2" s="1848"/>
      <c r="E2" s="1848"/>
      <c r="F2" s="1849"/>
    </row>
    <row r="3" spans="1:10" x14ac:dyDescent="0.2">
      <c r="A3" s="1887" t="s">
        <v>1974</v>
      </c>
      <c r="B3" s="1848"/>
      <c r="C3" s="1887"/>
      <c r="D3" s="1848"/>
      <c r="E3" s="1848"/>
      <c r="F3" s="1849"/>
    </row>
    <row r="4" spans="1:10" ht="3.75" customHeight="1" x14ac:dyDescent="0.2">
      <c r="A4" s="1848"/>
      <c r="B4" s="1848"/>
      <c r="C4" s="1848"/>
      <c r="D4" s="1848"/>
      <c r="E4" s="1848"/>
      <c r="F4" s="1849"/>
    </row>
    <row r="5" spans="1:10" ht="15" x14ac:dyDescent="0.25">
      <c r="A5" s="2308" t="s">
        <v>1546</v>
      </c>
      <c r="B5" s="2309"/>
      <c r="C5" s="2310"/>
      <c r="D5" s="2310"/>
      <c r="E5" s="2310"/>
      <c r="F5" s="2310"/>
    </row>
    <row r="6" spans="1:10" ht="12" customHeight="1" x14ac:dyDescent="0.25">
      <c r="A6" s="1850"/>
      <c r="B6" s="1851"/>
      <c r="C6" s="2311" t="str">
        <f>COVER!A17</f>
        <v>Paxton-Buckley-Loda CUD 10</v>
      </c>
      <c r="D6" s="2311"/>
      <c r="E6" s="2311"/>
      <c r="F6" s="1852"/>
    </row>
    <row r="7" spans="1:10" ht="11.25" customHeight="1" thickBot="1" x14ac:dyDescent="0.3">
      <c r="A7" s="1850"/>
      <c r="B7" s="1851"/>
      <c r="C7" s="2312">
        <f>COVER!A13</f>
        <v>9027010026</v>
      </c>
      <c r="D7" s="2312"/>
      <c r="E7" s="2312"/>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2085</v>
      </c>
      <c r="D26" s="1865" t="s">
        <v>2085</v>
      </c>
      <c r="E26" s="1868" t="s">
        <v>2085</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3"/>
      <c r="B39" s="1873"/>
      <c r="C39" s="1873"/>
      <c r="D39" s="1873"/>
      <c r="E39" s="1873"/>
      <c r="F39" s="1873"/>
    </row>
    <row r="40" spans="1:11" s="1870" customFormat="1" ht="12" customHeight="1" x14ac:dyDescent="0.25">
      <c r="A40" s="1874" t="s">
        <v>1391</v>
      </c>
      <c r="B40" s="1875"/>
      <c r="C40" s="2302"/>
      <c r="D40" s="2302"/>
      <c r="E40" s="2302"/>
      <c r="F40" s="2303"/>
      <c r="H40" s="1879"/>
      <c r="I40" s="1879"/>
      <c r="J40" s="1879"/>
      <c r="K40" s="1879"/>
    </row>
    <row r="41" spans="1:11" s="1870" customFormat="1" ht="12" customHeight="1" x14ac:dyDescent="0.25">
      <c r="A41" s="2304"/>
      <c r="B41" s="2305"/>
      <c r="C41" s="2305"/>
      <c r="D41" s="2305"/>
      <c r="E41" s="2305"/>
      <c r="F41" s="2306"/>
      <c r="H41" s="1879"/>
      <c r="I41" s="1879"/>
      <c r="J41" s="1879"/>
      <c r="K41" s="1879"/>
    </row>
    <row r="42" spans="1:11" s="1870" customFormat="1" ht="12" customHeight="1" x14ac:dyDescent="0.25">
      <c r="A42" s="2304"/>
      <c r="B42" s="2305"/>
      <c r="C42" s="2305"/>
      <c r="D42" s="2305"/>
      <c r="E42" s="2305"/>
      <c r="F42" s="2306"/>
      <c r="H42" s="1879"/>
      <c r="I42" s="1879"/>
      <c r="J42" s="1879"/>
      <c r="K42" s="1879"/>
    </row>
    <row r="43" spans="1:11" s="1870" customFormat="1" ht="15" x14ac:dyDescent="0.25">
      <c r="A43" s="2293"/>
      <c r="B43" s="2294"/>
      <c r="C43" s="2294"/>
      <c r="D43" s="2294"/>
      <c r="E43" s="2294"/>
      <c r="F43" s="2295"/>
      <c r="H43" s="1879"/>
      <c r="I43" s="1879"/>
      <c r="J43" s="1879"/>
      <c r="K43" s="1879"/>
    </row>
    <row r="44" spans="1:11" s="1870" customFormat="1" ht="12" hidden="1" customHeight="1" x14ac:dyDescent="0.25">
      <c r="A44" s="2293"/>
      <c r="B44" s="2294"/>
      <c r="C44" s="2294"/>
      <c r="D44" s="2294"/>
      <c r="E44" s="2294"/>
      <c r="F44" s="229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0" t="str">
        <f>COVER!A17</f>
        <v>Paxton-Buckley-Loda CUD 10</v>
      </c>
      <c r="J6" s="2321"/>
      <c r="Q6" s="1664"/>
    </row>
    <row r="7" spans="1:17" x14ac:dyDescent="0.2">
      <c r="A7" s="2322" t="s">
        <v>869</v>
      </c>
      <c r="B7" s="2323"/>
      <c r="C7" s="2323"/>
      <c r="D7" s="2323"/>
      <c r="E7" s="2324"/>
      <c r="F7" s="1017"/>
      <c r="G7" s="1009"/>
      <c r="H7" s="1016" t="s">
        <v>372</v>
      </c>
      <c r="I7" s="2325">
        <f>COVER!A13</f>
        <v>9027010026</v>
      </c>
      <c r="J7" s="2325"/>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1975</v>
      </c>
      <c r="F9" s="1023"/>
      <c r="G9" s="1023"/>
      <c r="H9" s="1896" t="s">
        <v>1976</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183121</v>
      </c>
      <c r="F12" s="1039"/>
      <c r="G12" s="1811">
        <f t="shared" ref="G12:G18" si="0">SUM(E12:F12)</f>
        <v>183121</v>
      </c>
      <c r="H12" s="1040">
        <v>192000</v>
      </c>
      <c r="I12" s="1039"/>
      <c r="J12" s="1811">
        <f t="shared" ref="J12:J18" si="1">SUM(H12:I12)</f>
        <v>192000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16826</v>
      </c>
      <c r="F16" s="1039"/>
      <c r="G16" s="1811">
        <f t="shared" si="0"/>
        <v>16826</v>
      </c>
      <c r="H16" s="1040">
        <v>18000</v>
      </c>
      <c r="I16" s="1039"/>
      <c r="J16" s="1811">
        <f t="shared" si="1"/>
        <v>18000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9" t="s">
        <v>7</v>
      </c>
      <c r="C18" s="2330"/>
      <c r="D18" s="2331"/>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199947</v>
      </c>
      <c r="F19" s="1813">
        <f t="shared" si="2"/>
        <v>0</v>
      </c>
      <c r="G19" s="1813">
        <f t="shared" si="2"/>
        <v>199947</v>
      </c>
      <c r="H19" s="1813">
        <f t="shared" si="2"/>
        <v>210000</v>
      </c>
      <c r="I19" s="1813">
        <f t="shared" si="2"/>
        <v>0</v>
      </c>
      <c r="J19" s="1813">
        <f t="shared" si="2"/>
        <v>210000</v>
      </c>
    </row>
    <row r="20" spans="1:10" ht="13.5" thickTop="1" x14ac:dyDescent="0.2">
      <c r="A20" s="1035">
        <v>9</v>
      </c>
      <c r="B20" s="2332" t="s">
        <v>1977</v>
      </c>
      <c r="C20" s="2332"/>
      <c r="D20" s="2333"/>
      <c r="E20" s="1046"/>
      <c r="F20" s="1046"/>
      <c r="G20" s="1046"/>
      <c r="H20" s="1046"/>
      <c r="I20" s="1046"/>
      <c r="J20" s="1814">
        <f>IF(AND(G19&gt;0,J19&gt;0),(((J19-G19)/G19)),"Enter Budget Data")</f>
        <v>5.0278323755795287E-2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1979</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2087</v>
      </c>
    </row>
    <row r="6" spans="1:2" x14ac:dyDescent="0.2">
      <c r="A6" s="1068"/>
      <c r="B6" s="329" t="s">
        <v>2088</v>
      </c>
    </row>
    <row r="7" spans="1:2" x14ac:dyDescent="0.2">
      <c r="A7" s="1068"/>
      <c r="B7" s="329" t="s">
        <v>2089</v>
      </c>
    </row>
    <row r="8" spans="1:2" x14ac:dyDescent="0.2">
      <c r="A8" s="1068"/>
      <c r="B8" s="329" t="s">
        <v>2090</v>
      </c>
    </row>
    <row r="9" spans="1:2" x14ac:dyDescent="0.2">
      <c r="A9" s="1069"/>
    </row>
    <row r="10" spans="1:2" x14ac:dyDescent="0.2">
      <c r="A10" s="1069">
        <v>2</v>
      </c>
      <c r="B10" s="1942" t="s">
        <v>2091</v>
      </c>
    </row>
    <row r="11" spans="1:2" x14ac:dyDescent="0.2">
      <c r="A11" s="1069"/>
      <c r="B11" s="329" t="s">
        <v>2092</v>
      </c>
    </row>
    <row r="12" spans="1:2" x14ac:dyDescent="0.2">
      <c r="A12" s="1069"/>
      <c r="B12" s="329" t="s">
        <v>2093</v>
      </c>
    </row>
    <row r="13" spans="1:2" x14ac:dyDescent="0.2">
      <c r="A13" s="1069"/>
      <c r="B13" s="329" t="s">
        <v>2094</v>
      </c>
    </row>
    <row r="14" spans="1:2" x14ac:dyDescent="0.2">
      <c r="A14" s="1069"/>
      <c r="B14" s="329" t="s">
        <v>2095</v>
      </c>
    </row>
    <row r="15" spans="1:2" x14ac:dyDescent="0.2">
      <c r="A15" s="1069"/>
    </row>
    <row r="16" spans="1:2" x14ac:dyDescent="0.2">
      <c r="A16" s="1069">
        <v>3</v>
      </c>
      <c r="B16" s="1942" t="s">
        <v>2096</v>
      </c>
    </row>
    <row r="17" spans="1:2" x14ac:dyDescent="0.2">
      <c r="A17" s="1069"/>
      <c r="B17" s="329" t="s">
        <v>2097</v>
      </c>
    </row>
    <row r="18" spans="1:2" x14ac:dyDescent="0.2">
      <c r="A18" s="1069"/>
      <c r="B18" s="329" t="s">
        <v>2098</v>
      </c>
    </row>
    <row r="19" spans="1:2" x14ac:dyDescent="0.2">
      <c r="A19" s="1069"/>
    </row>
    <row r="20" spans="1:2" x14ac:dyDescent="0.2">
      <c r="A20" s="1069">
        <v>4</v>
      </c>
      <c r="B20" s="1942" t="s">
        <v>2099</v>
      </c>
    </row>
    <row r="21" spans="1:2" x14ac:dyDescent="0.2">
      <c r="A21" s="1069"/>
      <c r="B21" s="329" t="s">
        <v>2100</v>
      </c>
    </row>
    <row r="22" spans="1:2" x14ac:dyDescent="0.2">
      <c r="A22" s="1069"/>
    </row>
    <row r="23" spans="1:2" x14ac:dyDescent="0.2">
      <c r="A23" s="1069">
        <v>5</v>
      </c>
      <c r="B23" s="1942" t="s">
        <v>2101</v>
      </c>
    </row>
    <row r="24" spans="1:2" x14ac:dyDescent="0.2">
      <c r="A24" s="1069"/>
      <c r="B24" s="329" t="s">
        <v>2102</v>
      </c>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Paxton-Buckley-Loda CUD 10</v>
      </c>
    </row>
    <row r="65" spans="2:2" x14ac:dyDescent="0.2">
      <c r="B65" s="1070">
        <f>COVER!A13</f>
        <v>9027010026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9" t="s">
        <v>1685</v>
      </c>
      <c r="B18" s="233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7"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1983</v>
      </c>
      <c r="B2" s="2351"/>
      <c r="C2" s="2351"/>
      <c r="D2" s="2351"/>
      <c r="E2" s="2351"/>
      <c r="F2" s="2352"/>
      <c r="G2" s="1074"/>
      <c r="H2" s="1074"/>
    </row>
    <row r="3" spans="1:8" ht="57" customHeight="1" x14ac:dyDescent="0.2">
      <c r="A3" s="2353" t="s">
        <v>1686</v>
      </c>
      <c r="B3" s="2354"/>
      <c r="C3" s="2354"/>
      <c r="D3" s="2354"/>
      <c r="E3" s="2354"/>
      <c r="F3" s="2355"/>
      <c r="G3" s="1074"/>
      <c r="H3" s="1074"/>
    </row>
    <row r="4" spans="1:8" ht="14.25" customHeight="1" x14ac:dyDescent="0.2">
      <c r="A4" s="2359" t="s">
        <v>1984</v>
      </c>
      <c r="B4" s="2360"/>
      <c r="C4" s="2360"/>
      <c r="D4" s="2360"/>
      <c r="E4" s="2360"/>
      <c r="F4" s="2361"/>
      <c r="G4" s="1074"/>
      <c r="H4" s="1074"/>
    </row>
    <row r="5" spans="1:8" ht="14.25" customHeight="1" x14ac:dyDescent="0.2">
      <c r="A5" s="2362" t="s">
        <v>1980</v>
      </c>
      <c r="B5" s="2363"/>
      <c r="C5" s="2363"/>
      <c r="D5" s="2363"/>
      <c r="E5" s="2363"/>
      <c r="F5" s="2364"/>
      <c r="G5" s="1074"/>
      <c r="H5" s="1074"/>
    </row>
    <row r="6" spans="1:8" s="1075" customFormat="1" ht="41.25" customHeight="1" x14ac:dyDescent="0.2">
      <c r="A6" s="2356" t="s">
        <v>1691</v>
      </c>
      <c r="B6" s="2357"/>
      <c r="C6" s="2357"/>
      <c r="D6" s="2357"/>
      <c r="E6" s="2357"/>
      <c r="F6" s="2358"/>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12492147</v>
      </c>
      <c r="C8" s="1815">
        <f>'Acct Summary 7-8'!D8</f>
        <v>846487</v>
      </c>
      <c r="D8" s="1815">
        <f>'Acct Summary 7-8'!F8</f>
        <v>859466</v>
      </c>
      <c r="E8" s="1815">
        <f>'Acct Summary 7-8'!I8</f>
        <v>82926</v>
      </c>
      <c r="F8" s="1815">
        <f>SUM(B8:E8)</f>
        <v>14281026</v>
      </c>
    </row>
    <row r="9" spans="1:8" s="1079" customFormat="1" ht="14.25" customHeight="1" thickBot="1" x14ac:dyDescent="0.25">
      <c r="A9" s="1078" t="s">
        <v>1369</v>
      </c>
      <c r="B9" s="1816">
        <f>'Acct Summary 7-8'!C17</f>
        <v>11991229</v>
      </c>
      <c r="C9" s="1816">
        <f>'Acct Summary 7-8'!D17</f>
        <v>742597</v>
      </c>
      <c r="D9" s="1816">
        <f>'Acct Summary 7-8'!F17</f>
        <v>868857</v>
      </c>
      <c r="E9" s="1815"/>
      <c r="F9" s="1815">
        <f>SUM(B9:E9)</f>
        <v>13602683</v>
      </c>
    </row>
    <row r="10" spans="1:8" s="1079" customFormat="1" ht="14.25" thickTop="1" thickBot="1" x14ac:dyDescent="0.25">
      <c r="A10" s="1080" t="s">
        <v>1370</v>
      </c>
      <c r="B10" s="1817">
        <f>(B8-B9)</f>
        <v>500918</v>
      </c>
      <c r="C10" s="1817">
        <f>(C8-C9)</f>
        <v>103890</v>
      </c>
      <c r="D10" s="1817">
        <f>(D8-D9)</f>
        <v>-9391</v>
      </c>
      <c r="E10" s="1816">
        <f>(E8-E9)</f>
        <v>82926</v>
      </c>
      <c r="F10" s="1818">
        <f>SUM(F8-F9)</f>
        <v>678343</v>
      </c>
    </row>
    <row r="11" spans="1:8" s="1079" customFormat="1" ht="14.25" thickTop="1" thickBot="1" x14ac:dyDescent="0.25">
      <c r="A11" s="1081" t="s">
        <v>1981</v>
      </c>
      <c r="B11" s="1819">
        <f>'Acct Summary 7-8'!C81</f>
        <v>5138650</v>
      </c>
      <c r="C11" s="1819">
        <f>'Acct Summary 7-8'!D81</f>
        <v>579017</v>
      </c>
      <c r="D11" s="1819">
        <f>'Acct Summary 7-8'!F81</f>
        <v>182758</v>
      </c>
      <c r="E11" s="1819">
        <f>'Acct Summary 7-8'!I81</f>
        <v>720982</v>
      </c>
      <c r="F11" s="1820">
        <f>SUM(B11:E11)</f>
        <v>6621407</v>
      </c>
    </row>
    <row r="12" spans="1:8" ht="16.5" customHeight="1" thickTop="1" x14ac:dyDescent="0.2">
      <c r="A12" s="1082"/>
      <c r="B12" s="1083"/>
      <c r="C12" s="2344" t="str">
        <f>IF(AND(F10&lt;0,F11&gt;=0,ABS(F10*3)&gt;ABS(F11)),A16,IF(AND(F10&lt;0,F11&gt;0,ABS(F10*3)&lt;=ABS(F11)),A17,IF(AND(F10&lt;0,F11&lt;0),A16,IF(F11=0,A19,A18))))</f>
        <v>Balanced - no deficit reduction plan is required.</v>
      </c>
      <c r="D12" s="2345"/>
      <c r="E12" s="2345"/>
      <c r="F12" s="2346"/>
    </row>
    <row r="13" spans="1:8" ht="19.5" customHeight="1" x14ac:dyDescent="0.2">
      <c r="A13" s="1084"/>
      <c r="B13" s="1085"/>
      <c r="C13" s="2344"/>
      <c r="D13" s="2345"/>
      <c r="E13" s="2345"/>
      <c r="F13" s="2346"/>
      <c r="H13" s="1074"/>
    </row>
    <row r="14" spans="1:8" ht="19.5" customHeight="1" x14ac:dyDescent="0.2">
      <c r="A14" s="1084"/>
      <c r="B14" s="1085"/>
      <c r="C14" s="2344"/>
      <c r="D14" s="2345"/>
      <c r="E14" s="2345"/>
      <c r="F14" s="2346"/>
      <c r="H14" s="1074"/>
    </row>
    <row r="15" spans="1:8" ht="17.25" customHeight="1" x14ac:dyDescent="0.2">
      <c r="A15" s="1084"/>
      <c r="B15" s="1085"/>
      <c r="C15" s="2347"/>
      <c r="D15" s="2348"/>
      <c r="E15" s="2348"/>
      <c r="F15" s="2349"/>
      <c r="H15" s="1074"/>
    </row>
    <row r="16" spans="1:8" s="310" customFormat="1" ht="51.75" hidden="1" customHeight="1" x14ac:dyDescent="0.2">
      <c r="A16" s="2343" t="s">
        <v>1687</v>
      </c>
      <c r="B16" s="2343"/>
      <c r="C16" s="2343"/>
      <c r="D16" s="2343"/>
      <c r="E16" s="2343"/>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1"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5" t="s">
        <v>665</v>
      </c>
      <c r="B3" s="2366"/>
      <c r="C3" s="2366"/>
      <c r="D3" s="2367"/>
    </row>
    <row r="4" spans="1:4" x14ac:dyDescent="0.2">
      <c r="A4" s="1152" t="s">
        <v>1692</v>
      </c>
      <c r="B4" s="1153"/>
      <c r="C4" s="1154"/>
      <c r="D4" s="1155"/>
    </row>
    <row r="5" spans="1:4" ht="21" customHeight="1" x14ac:dyDescent="0.2">
      <c r="A5" s="1148"/>
      <c r="B5" s="1149">
        <v>1</v>
      </c>
      <c r="C5" s="1150" t="s">
        <v>1833</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6" t="s">
        <v>1504</v>
      </c>
      <c r="D7" s="2377"/>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0" t="s">
        <v>314</v>
      </c>
      <c r="D21" s="2381"/>
    </row>
    <row r="22" spans="1:10" ht="12.75" x14ac:dyDescent="0.2">
      <c r="A22" s="1139"/>
      <c r="B22" s="1140">
        <v>2</v>
      </c>
      <c r="C22" s="2378" t="s">
        <v>1524</v>
      </c>
      <c r="D22" s="2379"/>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2" t="s">
        <v>536</v>
      </c>
      <c r="D43" s="2383"/>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4" t="s">
        <v>784</v>
      </c>
      <c r="D56" s="2375"/>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74" t="s">
        <v>1696</v>
      </c>
      <c r="D70" s="2375"/>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9027010026</v>
      </c>
    </row>
    <row r="3" spans="1:2" x14ac:dyDescent="0.2">
      <c r="A3" t="s">
        <v>956</v>
      </c>
      <c r="B3" s="138" t="str">
        <f>COVER!A15</f>
        <v>FORD</v>
      </c>
    </row>
    <row r="4" spans="1:2" x14ac:dyDescent="0.2">
      <c r="A4" t="s">
        <v>1007</v>
      </c>
      <c r="B4" s="138" t="str">
        <f>COVER!A17</f>
        <v>Paxton-Buckley-Loda CUD 10</v>
      </c>
    </row>
    <row r="5" spans="1:2" x14ac:dyDescent="0.2">
      <c r="A5" t="s">
        <v>704</v>
      </c>
      <c r="B5" s="138" t="str">
        <f>COVER!A38</f>
        <v>CLIFF MCCLURE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1802207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5138650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5138650</v>
      </c>
      <c r="D92" s="2" t="str">
        <f t="shared" si="0"/>
        <v>Error?</v>
      </c>
    </row>
    <row r="93" spans="1:4" x14ac:dyDescent="0.2">
      <c r="A93" s="5">
        <v>32</v>
      </c>
      <c r="B93" s="138">
        <f>'Assets-Liab 5-6'!C41</f>
        <v>5138650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241297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579017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579017</v>
      </c>
      <c r="D123" s="2" t="str">
        <f t="shared" si="0"/>
        <v>Error?</v>
      </c>
    </row>
    <row r="124" spans="1:4" x14ac:dyDescent="0.2">
      <c r="A124" s="5">
        <v>63</v>
      </c>
      <c r="B124" s="138">
        <f>'Assets-Liab 5-6'!D41</f>
        <v>579017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612083</v>
      </c>
      <c r="D129" s="2" t="str">
        <f t="shared" si="1"/>
        <v>Error?</v>
      </c>
    </row>
    <row r="130" spans="1:4" x14ac:dyDescent="0.2">
      <c r="A130" s="5">
        <v>69</v>
      </c>
      <c r="B130" s="138">
        <f>'Assets-Liab 5-6'!E12</f>
        <v>0</v>
      </c>
      <c r="D130" s="2" t="str">
        <f t="shared" si="1"/>
        <v>Error?</v>
      </c>
    </row>
    <row r="131" spans="1:4" x14ac:dyDescent="0.2">
      <c r="A131" s="5">
        <v>70</v>
      </c>
      <c r="B131" s="138">
        <f>'Assets-Liab 5-6'!E13</f>
        <v>612083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523067</v>
      </c>
      <c r="C139" s="2" t="s">
        <v>573</v>
      </c>
      <c r="D139" s="2" t="str">
        <f t="shared" si="1"/>
        <v>Error?</v>
      </c>
    </row>
    <row r="140" spans="1:4" x14ac:dyDescent="0.2">
      <c r="A140" s="5">
        <v>79</v>
      </c>
      <c r="B140" s="138">
        <f>'Assets-Liab 5-6'!E39</f>
        <v>89016</v>
      </c>
      <c r="D140" s="2" t="str">
        <f t="shared" si="1"/>
        <v>Error?</v>
      </c>
    </row>
    <row r="141" spans="1:4" x14ac:dyDescent="0.2">
      <c r="A141" s="5">
        <v>80</v>
      </c>
      <c r="B141" s="138">
        <f>'Assets-Liab 5-6'!E41</f>
        <v>612083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96520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182758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182758</v>
      </c>
      <c r="D170" s="2" t="str">
        <f t="shared" si="1"/>
        <v>Error?</v>
      </c>
    </row>
    <row r="171" spans="1:4" x14ac:dyDescent="0.2">
      <c r="A171" s="5">
        <v>110</v>
      </c>
      <c r="B171" s="138">
        <f>'Assets-Liab 5-6'!F41</f>
        <v>182758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112460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112460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6978</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112460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12877095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12893182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12893182</v>
      </c>
      <c r="D212" s="2" t="str">
        <f t="shared" si="2"/>
        <v>Error?</v>
      </c>
    </row>
    <row r="213" spans="1:4" x14ac:dyDescent="0.2">
      <c r="A213" s="12">
        <v>152</v>
      </c>
      <c r="B213" s="138">
        <f>'Assets-Liab 5-6'!H41</f>
        <v>12893182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164660</v>
      </c>
      <c r="D273" s="2" t="str">
        <f t="shared" si="3"/>
        <v>Error?</v>
      </c>
    </row>
    <row r="274" spans="1:4" x14ac:dyDescent="0.2">
      <c r="A274" s="5">
        <v>213</v>
      </c>
      <c r="B274" s="138">
        <f>'Assets-Liab 5-6'!M17</f>
        <v>32326301</v>
      </c>
      <c r="D274" s="2" t="str">
        <f t="shared" si="3"/>
        <v>Error?</v>
      </c>
    </row>
    <row r="275" spans="1:4" x14ac:dyDescent="0.2">
      <c r="A275" s="5">
        <v>214</v>
      </c>
      <c r="B275" s="138">
        <f>'Assets-Liab 5-6'!M18</f>
        <v>4024177</v>
      </c>
      <c r="D275" s="2" t="str">
        <f t="shared" si="3"/>
        <v>Error?</v>
      </c>
    </row>
    <row r="276" spans="1:4" x14ac:dyDescent="0.2">
      <c r="A276" s="5">
        <v>215</v>
      </c>
      <c r="B276" s="138">
        <f>'Assets-Liab 5-6'!M19</f>
        <v>4709175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41224313</v>
      </c>
      <c r="C279" s="2" t="s">
        <v>573</v>
      </c>
      <c r="D279" s="2" t="str">
        <f t="shared" si="3"/>
        <v>Error?</v>
      </c>
    </row>
    <row r="280" spans="1:4" x14ac:dyDescent="0.2">
      <c r="A280" s="5">
        <v>219</v>
      </c>
      <c r="B280" s="138">
        <f>'Assets-Liab 5-6'!M40</f>
        <v>41224313</v>
      </c>
      <c r="D280" s="2" t="str">
        <f t="shared" si="3"/>
        <v>Error?</v>
      </c>
    </row>
    <row r="281" spans="1:4" x14ac:dyDescent="0.2">
      <c r="A281" s="5">
        <v>220</v>
      </c>
      <c r="B281" s="138">
        <f>'Assets-Liab 5-6'!M41</f>
        <v>41224313</v>
      </c>
      <c r="C281" s="2" t="s">
        <v>573</v>
      </c>
      <c r="D281" s="2" t="str">
        <f t="shared" si="3"/>
        <v>Error?</v>
      </c>
    </row>
    <row r="282" spans="1:4" x14ac:dyDescent="0.2">
      <c r="A282" s="5">
        <v>221</v>
      </c>
      <c r="B282" s="138">
        <f>'Assets-Liab 5-6'!N21</f>
        <v>89016</v>
      </c>
      <c r="D282" s="2" t="str">
        <f t="shared" si="3"/>
        <v>Error?</v>
      </c>
    </row>
    <row r="283" spans="1:4" x14ac:dyDescent="0.2">
      <c r="A283" s="5">
        <v>222</v>
      </c>
      <c r="B283" s="138">
        <f>'Assets-Liab 5-6'!N22</f>
        <v>31975984</v>
      </c>
      <c r="D283" s="2" t="str">
        <f t="shared" si="3"/>
        <v>Error?</v>
      </c>
    </row>
    <row r="284" spans="1:4" x14ac:dyDescent="0.2">
      <c r="A284" s="5">
        <v>223</v>
      </c>
      <c r="B284" s="138">
        <f>'Assets-Liab 5-6'!N23</f>
        <v>32065000</v>
      </c>
      <c r="C284" s="2" t="s">
        <v>573</v>
      </c>
      <c r="D284" s="2" t="str">
        <f t="shared" si="3"/>
        <v>Error?</v>
      </c>
    </row>
    <row r="285" spans="1:4" x14ac:dyDescent="0.2">
      <c r="A285" s="5">
        <v>224</v>
      </c>
      <c r="B285" s="138">
        <f>'Assets-Liab 5-6'!N36</f>
        <v>32065000</v>
      </c>
      <c r="D285" s="2" t="str">
        <f t="shared" si="3"/>
        <v>Error?</v>
      </c>
    </row>
    <row r="286" spans="1:4" x14ac:dyDescent="0.2">
      <c r="A286" s="10">
        <v>225</v>
      </c>
      <c r="D286" s="2" t="str">
        <f t="shared" si="3"/>
        <v>OK</v>
      </c>
    </row>
    <row r="287" spans="1:4" x14ac:dyDescent="0.2">
      <c r="A287" s="5">
        <v>226</v>
      </c>
      <c r="B287" s="138">
        <f>'Assets-Liab 5-6'!N37</f>
        <v>32065000</v>
      </c>
      <c r="C287" s="2" t="s">
        <v>573</v>
      </c>
      <c r="D287" s="2" t="str">
        <f t="shared" si="3"/>
        <v>Error?</v>
      </c>
    </row>
    <row r="288" spans="1:4" x14ac:dyDescent="0.2">
      <c r="A288" s="5">
        <v>227</v>
      </c>
      <c r="B288" s="138">
        <f>'Assets-Liab 5-6'!N41</f>
        <v>32065000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3491637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294982</v>
      </c>
      <c r="D717" s="2" t="str">
        <f t="shared" si="10"/>
        <v>Error?</v>
      </c>
    </row>
    <row r="718" spans="1:4" x14ac:dyDescent="0.2">
      <c r="A718" s="5">
        <v>657</v>
      </c>
      <c r="B718" s="138">
        <f>'Expenditures 15-22'!C14</f>
        <v>168012</v>
      </c>
      <c r="D718" s="2" t="str">
        <f t="shared" si="10"/>
        <v>Error?</v>
      </c>
    </row>
    <row r="719" spans="1:4" x14ac:dyDescent="0.2">
      <c r="A719" s="5">
        <v>658</v>
      </c>
      <c r="B719" s="138">
        <f>'Expenditures 15-22'!C15</f>
        <v>15100</v>
      </c>
      <c r="D719" s="2" t="str">
        <f t="shared" si="10"/>
        <v>Error?</v>
      </c>
    </row>
    <row r="720" spans="1:4" x14ac:dyDescent="0.2">
      <c r="A720" s="5">
        <v>659</v>
      </c>
      <c r="B720" s="138">
        <f>'Expenditures 15-22'!C33</f>
        <v>5570156</v>
      </c>
      <c r="C720" s="2" t="s">
        <v>573</v>
      </c>
      <c r="D720" s="2" t="str">
        <f t="shared" si="10"/>
        <v>Error?</v>
      </c>
    </row>
    <row r="721" spans="1:4" x14ac:dyDescent="0.2">
      <c r="A721" s="5">
        <v>660</v>
      </c>
      <c r="B721" s="138">
        <f>'Expenditures 15-22'!C36</f>
        <v>86882</v>
      </c>
      <c r="D721" s="2" t="str">
        <f t="shared" si="10"/>
        <v>Error?</v>
      </c>
    </row>
    <row r="722" spans="1:4" x14ac:dyDescent="0.2">
      <c r="A722" s="5">
        <v>661</v>
      </c>
      <c r="B722" s="138">
        <f>'Expenditures 15-22'!C37</f>
        <v>192373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279255</v>
      </c>
      <c r="C727" s="2" t="s">
        <v>573</v>
      </c>
      <c r="D727" s="2" t="str">
        <f t="shared" si="10"/>
        <v>Error?</v>
      </c>
    </row>
    <row r="728" spans="1:4" x14ac:dyDescent="0.2">
      <c r="A728" s="5">
        <v>667</v>
      </c>
      <c r="B728" s="138">
        <f>'Expenditures 15-22'!C44</f>
        <v>159070</v>
      </c>
      <c r="D728" s="2" t="str">
        <f t="shared" si="10"/>
        <v>Error?</v>
      </c>
    </row>
    <row r="729" spans="1:4" x14ac:dyDescent="0.2">
      <c r="A729" s="5">
        <v>668</v>
      </c>
      <c r="B729" s="138">
        <f>'Expenditures 15-22'!C45</f>
        <v>103572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262642</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138921</v>
      </c>
      <c r="D733" s="2" t="str">
        <f t="shared" si="10"/>
        <v>Error?</v>
      </c>
    </row>
    <row r="734" spans="1:4" x14ac:dyDescent="0.2">
      <c r="A734" s="5">
        <v>673</v>
      </c>
      <c r="B734" s="138">
        <f>'Expenditures 15-22'!C53</f>
        <v>138921</v>
      </c>
      <c r="C734" s="2" t="s">
        <v>573</v>
      </c>
      <c r="D734" s="2" t="str">
        <f t="shared" si="10"/>
        <v>Error?</v>
      </c>
    </row>
    <row r="735" spans="1:4" x14ac:dyDescent="0.2">
      <c r="A735" s="5">
        <v>674</v>
      </c>
      <c r="B735" s="138">
        <f>'Expenditures 15-22'!C55</f>
        <v>568203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568203</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154129</v>
      </c>
      <c r="D739" s="2" t="str">
        <f t="shared" si="10"/>
        <v>Error?</v>
      </c>
    </row>
    <row r="740" spans="1:4" x14ac:dyDescent="0.2">
      <c r="A740" s="5">
        <v>679</v>
      </c>
      <c r="B740" s="138">
        <f>'Expenditures 15-22'!C61</f>
        <v>479483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259337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892949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1500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1500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2143470</v>
      </c>
      <c r="C755" s="2" t="s">
        <v>573</v>
      </c>
      <c r="D755" s="2" t="str">
        <f t="shared" si="10"/>
        <v>Error?</v>
      </c>
    </row>
    <row r="756" spans="1:4" x14ac:dyDescent="0.2">
      <c r="A756" s="5">
        <v>695</v>
      </c>
      <c r="B756" s="138">
        <f>'Expenditures 15-22'!C75</f>
        <v>4375</v>
      </c>
      <c r="D756" s="2" t="str">
        <f t="shared" si="10"/>
        <v>Error?</v>
      </c>
    </row>
    <row r="757" spans="1:4" x14ac:dyDescent="0.2">
      <c r="A757" s="5">
        <v>696</v>
      </c>
      <c r="B757" s="138">
        <f>'Expenditures 15-22'!C114</f>
        <v>7718001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891692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73385</v>
      </c>
      <c r="D775" s="2" t="str">
        <f t="shared" si="11"/>
        <v>Error?</v>
      </c>
    </row>
    <row r="776" spans="1:4" x14ac:dyDescent="0.2">
      <c r="A776" s="5">
        <v>715</v>
      </c>
      <c r="B776" s="138">
        <f>'Expenditures 15-22'!D14</f>
        <v>16002</v>
      </c>
      <c r="D776" s="2" t="str">
        <f t="shared" si="11"/>
        <v>Error?</v>
      </c>
    </row>
    <row r="777" spans="1:4" x14ac:dyDescent="0.2">
      <c r="A777" s="5">
        <v>716</v>
      </c>
      <c r="B777" s="138">
        <f>'Expenditures 15-22'!D15</f>
        <v>1155</v>
      </c>
      <c r="D777" s="2" t="str">
        <f t="shared" si="11"/>
        <v>Error?</v>
      </c>
    </row>
    <row r="778" spans="1:4" x14ac:dyDescent="0.2">
      <c r="A778" s="5">
        <v>717</v>
      </c>
      <c r="B778" s="138">
        <f>'Expenditures 15-22'!D33</f>
        <v>1449296</v>
      </c>
      <c r="C778" s="2" t="s">
        <v>573</v>
      </c>
      <c r="D778" s="2" t="str">
        <f t="shared" si="11"/>
        <v>Error?</v>
      </c>
    </row>
    <row r="779" spans="1:4" x14ac:dyDescent="0.2">
      <c r="A779" s="5">
        <v>718</v>
      </c>
      <c r="B779" s="138">
        <f>'Expenditures 15-22'!D36</f>
        <v>23064</v>
      </c>
      <c r="D779" s="2" t="str">
        <f t="shared" si="11"/>
        <v>Error?</v>
      </c>
    </row>
    <row r="780" spans="1:4" x14ac:dyDescent="0.2">
      <c r="A780" s="5">
        <v>719</v>
      </c>
      <c r="B780" s="138">
        <f>'Expenditures 15-22'!D37</f>
        <v>45373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68437</v>
      </c>
      <c r="C785" s="2" t="s">
        <v>573</v>
      </c>
      <c r="D785" s="2" t="str">
        <f t="shared" si="11"/>
        <v>Error?</v>
      </c>
    </row>
    <row r="786" spans="1:4" x14ac:dyDescent="0.2">
      <c r="A786" s="5">
        <v>725</v>
      </c>
      <c r="B786" s="138">
        <f>'Expenditures 15-22'!D44</f>
        <v>32507</v>
      </c>
      <c r="D786" s="2" t="str">
        <f t="shared" si="11"/>
        <v>Error?</v>
      </c>
    </row>
    <row r="787" spans="1:4" x14ac:dyDescent="0.2">
      <c r="A787" s="5">
        <v>726</v>
      </c>
      <c r="B787" s="138">
        <f>'Expenditures 15-22'!D45</f>
        <v>13565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46072</v>
      </c>
      <c r="C789" s="2" t="s">
        <v>573</v>
      </c>
      <c r="D789" s="2" t="str">
        <f t="shared" si="11"/>
        <v>Error?</v>
      </c>
    </row>
    <row r="790" spans="1:4" x14ac:dyDescent="0.2">
      <c r="A790" s="5">
        <v>729</v>
      </c>
      <c r="B790" s="138">
        <f>'Expenditures 15-22'!D49</f>
        <v>93928</v>
      </c>
      <c r="D790" s="2" t="str">
        <f t="shared" si="11"/>
        <v>Error?</v>
      </c>
    </row>
    <row r="791" spans="1:4" x14ac:dyDescent="0.2">
      <c r="A791" s="5">
        <v>730</v>
      </c>
      <c r="B791" s="138">
        <f>'Expenditures 15-22'!D50</f>
        <v>22855</v>
      </c>
      <c r="D791" s="2" t="str">
        <f t="shared" si="11"/>
        <v>Error?</v>
      </c>
    </row>
    <row r="792" spans="1:4" x14ac:dyDescent="0.2">
      <c r="A792" s="5">
        <v>731</v>
      </c>
      <c r="B792" s="138">
        <f>'Expenditures 15-22'!D53</f>
        <v>116783</v>
      </c>
      <c r="C792" s="2" t="s">
        <v>573</v>
      </c>
      <c r="D792" s="2" t="str">
        <f t="shared" si="11"/>
        <v>Error?</v>
      </c>
    </row>
    <row r="793" spans="1:4" x14ac:dyDescent="0.2">
      <c r="A793" s="5">
        <v>732</v>
      </c>
      <c r="B793" s="138">
        <f>'Expenditures 15-22'!D55</f>
        <v>118729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118729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18719</v>
      </c>
      <c r="D797" s="2" t="str">
        <f t="shared" si="11"/>
        <v>Error?</v>
      </c>
    </row>
    <row r="798" spans="1:4" x14ac:dyDescent="0.2">
      <c r="A798" s="5">
        <v>737</v>
      </c>
      <c r="B798" s="138">
        <f>'Expenditures 15-22'!D61</f>
        <v>74962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89303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182984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327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327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533332</v>
      </c>
      <c r="C813" s="2" t="s">
        <v>573</v>
      </c>
      <c r="D813" s="2" t="str">
        <f t="shared" si="11"/>
        <v>Error?</v>
      </c>
    </row>
    <row r="814" spans="1:4" x14ac:dyDescent="0.2">
      <c r="A814" s="5">
        <v>753</v>
      </c>
      <c r="B814" s="138">
        <f>'Expenditures 15-22'!D75</f>
        <v>1090</v>
      </c>
      <c r="D814" s="2" t="str">
        <f t="shared" si="11"/>
        <v>Error?</v>
      </c>
    </row>
    <row r="815" spans="1:4" x14ac:dyDescent="0.2">
      <c r="A815" s="5">
        <v>754</v>
      </c>
      <c r="B815" s="138">
        <f>'Expenditures 15-22'!D114</f>
        <v>1983718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29741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14324</v>
      </c>
      <c r="D833" s="2" t="str">
        <f t="shared" si="12"/>
        <v>Error?</v>
      </c>
    </row>
    <row r="834" spans="1:4" x14ac:dyDescent="0.2">
      <c r="A834" s="5">
        <v>773</v>
      </c>
      <c r="B834" s="138">
        <f>'Expenditures 15-22'!E14</f>
        <v>63004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113953</v>
      </c>
      <c r="C836" s="2" t="s">
        <v>573</v>
      </c>
      <c r="D836" s="2" t="str">
        <f t="shared" si="12"/>
        <v>Error?</v>
      </c>
    </row>
    <row r="837" spans="1:4" x14ac:dyDescent="0.2">
      <c r="A837" s="5">
        <v>776</v>
      </c>
      <c r="B837" s="138">
        <f>'Expenditures 15-22'!E36</f>
        <v>21264</v>
      </c>
      <c r="D837" s="2" t="str">
        <f t="shared" si="12"/>
        <v>Error?</v>
      </c>
    </row>
    <row r="838" spans="1:4" x14ac:dyDescent="0.2">
      <c r="A838" s="5">
        <v>777</v>
      </c>
      <c r="B838" s="138">
        <f>'Expenditures 15-22'!E37</f>
        <v>310</v>
      </c>
      <c r="D838" s="2" t="str">
        <f t="shared" si="12"/>
        <v>Error?</v>
      </c>
    </row>
    <row r="839" spans="1:4" x14ac:dyDescent="0.2">
      <c r="A839" s="5">
        <v>778</v>
      </c>
      <c r="B839" s="138">
        <f>'Expenditures 15-22'!E38</f>
        <v>5138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26712</v>
      </c>
      <c r="C843" s="2" t="s">
        <v>573</v>
      </c>
      <c r="D843" s="2" t="str">
        <f t="shared" si="12"/>
        <v>Error?</v>
      </c>
    </row>
    <row r="844" spans="1:4" x14ac:dyDescent="0.2">
      <c r="A844" s="5">
        <v>783</v>
      </c>
      <c r="B844" s="138">
        <f>'Expenditures 15-22'!E44</f>
        <v>140842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6000</v>
      </c>
      <c r="D846" s="2" t="str">
        <f t="shared" si="12"/>
        <v>Error?</v>
      </c>
    </row>
    <row r="847" spans="1:4" x14ac:dyDescent="0.2">
      <c r="A847" s="5">
        <v>786</v>
      </c>
      <c r="B847" s="138">
        <f>'Expenditures 15-22'!E47</f>
        <v>146842</v>
      </c>
      <c r="C847" s="2" t="s">
        <v>573</v>
      </c>
      <c r="D847" s="2" t="str">
        <f t="shared" si="12"/>
        <v>Error?</v>
      </c>
    </row>
    <row r="848" spans="1:4" x14ac:dyDescent="0.2">
      <c r="A848" s="5">
        <v>787</v>
      </c>
      <c r="B848" s="138">
        <f>'Expenditures 15-22'!E49</f>
        <v>47553</v>
      </c>
      <c r="D848" s="2" t="str">
        <f t="shared" si="12"/>
        <v>Error?</v>
      </c>
    </row>
    <row r="849" spans="1:4" x14ac:dyDescent="0.2">
      <c r="A849" s="5">
        <v>788</v>
      </c>
      <c r="B849" s="138">
        <f>'Expenditures 15-22'!E50</f>
        <v>6020</v>
      </c>
      <c r="D849" s="2" t="str">
        <f t="shared" si="12"/>
        <v>Error?</v>
      </c>
    </row>
    <row r="850" spans="1:4" x14ac:dyDescent="0.2">
      <c r="A850" s="5">
        <v>789</v>
      </c>
      <c r="B850" s="138">
        <f>'Expenditures 15-22'!E53</f>
        <v>53573</v>
      </c>
      <c r="C850" s="2" t="s">
        <v>573</v>
      </c>
      <c r="D850" s="2" t="str">
        <f t="shared" si="12"/>
        <v>Error?</v>
      </c>
    </row>
    <row r="851" spans="1:4" x14ac:dyDescent="0.2">
      <c r="A851" s="5">
        <v>790</v>
      </c>
      <c r="B851" s="138">
        <f>'Expenditures 15-22'!E55</f>
        <v>85550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85550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13989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274877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288866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601543</v>
      </c>
      <c r="C871" s="2" t="s">
        <v>573</v>
      </c>
      <c r="D871" s="2" t="str">
        <f t="shared" si="12"/>
        <v>Error?</v>
      </c>
    </row>
    <row r="872" spans="1:4" x14ac:dyDescent="0.2">
      <c r="A872" s="5">
        <v>811</v>
      </c>
      <c r="B872" s="138">
        <f>'Expenditures 15-22'!E75</f>
        <v>215</v>
      </c>
      <c r="D872" s="2" t="str">
        <f t="shared" si="12"/>
        <v>Error?</v>
      </c>
    </row>
    <row r="873" spans="1:4" x14ac:dyDescent="0.2">
      <c r="A873" s="5">
        <v>812</v>
      </c>
      <c r="B873" s="138">
        <f>'Expenditures 15-22'!E114</f>
        <v>715711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103077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30465</v>
      </c>
      <c r="D891" s="2" t="str">
        <f t="shared" si="12"/>
        <v>Error?</v>
      </c>
    </row>
    <row r="892" spans="1:4" x14ac:dyDescent="0.2">
      <c r="A892" s="5">
        <v>831</v>
      </c>
      <c r="B892" s="138">
        <f>'Expenditures 15-22'!F14</f>
        <v>59160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290134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526</v>
      </c>
      <c r="D896" s="2" t="str">
        <f t="shared" si="13"/>
        <v>Error?</v>
      </c>
    </row>
    <row r="897" spans="1:4" x14ac:dyDescent="0.2">
      <c r="A897" s="5">
        <v>836</v>
      </c>
      <c r="B897" s="138">
        <f>'Expenditures 15-22'!F38</f>
        <v>5006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5532</v>
      </c>
      <c r="C901" s="2" t="s">
        <v>573</v>
      </c>
      <c r="D901" s="2" t="str">
        <f t="shared" si="13"/>
        <v>Error?</v>
      </c>
    </row>
    <row r="902" spans="1:4" x14ac:dyDescent="0.2">
      <c r="A902" s="5">
        <v>841</v>
      </c>
      <c r="B902" s="138">
        <f>'Expenditures 15-22'!F44</f>
        <v>79698</v>
      </c>
      <c r="D902" s="2" t="str">
        <f t="shared" si="13"/>
        <v>Error?</v>
      </c>
    </row>
    <row r="903" spans="1:4" x14ac:dyDescent="0.2">
      <c r="A903" s="5">
        <v>842</v>
      </c>
      <c r="B903" s="138">
        <f>'Expenditures 15-22'!F45</f>
        <v>17828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97526</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12355</v>
      </c>
      <c r="D907" s="2" t="str">
        <f t="shared" si="13"/>
        <v>Error?</v>
      </c>
    </row>
    <row r="908" spans="1:4" x14ac:dyDescent="0.2">
      <c r="A908" s="5">
        <v>847</v>
      </c>
      <c r="B908" s="138">
        <f>'Expenditures 15-22'!F53</f>
        <v>12355</v>
      </c>
      <c r="C908" s="2" t="s">
        <v>573</v>
      </c>
      <c r="D908" s="2" t="str">
        <f t="shared" si="13"/>
        <v>Error?</v>
      </c>
    </row>
    <row r="909" spans="1:4" x14ac:dyDescent="0.2">
      <c r="A909" s="5">
        <v>848</v>
      </c>
      <c r="B909" s="138">
        <f>'Expenditures 15-22'!F55</f>
        <v>31143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31143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1507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18178</v>
      </c>
      <c r="D916" s="2" t="str">
        <f t="shared" si="13"/>
        <v>Error?</v>
      </c>
    </row>
    <row r="917" spans="1:4" x14ac:dyDescent="0.2">
      <c r="A917" s="5">
        <v>856</v>
      </c>
      <c r="B917" s="138">
        <f>'Expenditures 15-22'!F64</f>
        <v>16826</v>
      </c>
      <c r="D917" s="2" t="str">
        <f t="shared" si="13"/>
        <v>Error?</v>
      </c>
    </row>
    <row r="918" spans="1:4" x14ac:dyDescent="0.2">
      <c r="A918" s="10">
        <v>857</v>
      </c>
      <c r="D918" s="2" t="str">
        <f t="shared" si="13"/>
        <v>OK</v>
      </c>
    </row>
    <row r="919" spans="1:4" x14ac:dyDescent="0.2">
      <c r="A919" s="5">
        <v>858</v>
      </c>
      <c r="B919" s="138">
        <f>'Expenditures 15-22'!F65</f>
        <v>36511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183067</v>
      </c>
      <c r="C929" s="2" t="s">
        <v>573</v>
      </c>
      <c r="D929" s="2" t="str">
        <f t="shared" si="13"/>
        <v>Error?</v>
      </c>
    </row>
    <row r="930" spans="1:4" x14ac:dyDescent="0.2">
      <c r="A930" s="5">
        <v>869</v>
      </c>
      <c r="B930" s="138">
        <f>'Expenditures 15-22'!F75</f>
        <v>137</v>
      </c>
      <c r="D930" s="2" t="str">
        <f t="shared" si="13"/>
        <v>Error?</v>
      </c>
    </row>
    <row r="931" spans="1:4" x14ac:dyDescent="0.2">
      <c r="A931" s="5">
        <v>870</v>
      </c>
      <c r="B931" s="138">
        <f>'Expenditures 15-22'!F114</f>
        <v>473338</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2306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19414</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21720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123304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123304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9288</v>
      </c>
      <c r="D967" s="2" t="str">
        <f t="shared" si="14"/>
        <v>Error?</v>
      </c>
    </row>
    <row r="968" spans="1:4" x14ac:dyDescent="0.2">
      <c r="A968" s="5">
        <v>907</v>
      </c>
      <c r="B968" s="138">
        <f>'Expenditures 15-22'!G56</f>
        <v>0</v>
      </c>
      <c r="D968" s="2" t="str">
        <f t="shared" si="14"/>
        <v>Error?</v>
      </c>
    </row>
    <row r="969" spans="1:4" x14ac:dyDescent="0.2">
      <c r="A969" s="5">
        <v>908</v>
      </c>
      <c r="B969" s="138">
        <f>'Expenditures 15-22'!G57</f>
        <v>9288</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2074</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2074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134666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156386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385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22240</v>
      </c>
      <c r="D1022" s="2" t="str">
        <f t="shared" si="14"/>
        <v>Error?</v>
      </c>
    </row>
    <row r="1023" spans="1:4" x14ac:dyDescent="0.2">
      <c r="A1023" s="5">
        <v>962</v>
      </c>
      <c r="B1023" s="138">
        <f>'Expenditures 15-22'!H50</f>
        <v>2970</v>
      </c>
      <c r="D1023" s="2" t="str">
        <f t="shared" ref="D1023:D1086" si="15">IF(ISBLANK(B1023),"OK",IF(A1023-B1023=0,"OK","Error?"))</f>
        <v>Error?</v>
      </c>
    </row>
    <row r="1024" spans="1:4" x14ac:dyDescent="0.2">
      <c r="A1024" s="5">
        <v>963</v>
      </c>
      <c r="B1024" s="138">
        <f>'Expenditures 15-22'!H53</f>
        <v>25210</v>
      </c>
      <c r="C1024" s="2" t="s">
        <v>573</v>
      </c>
      <c r="D1024" s="2" t="str">
        <f t="shared" si="15"/>
        <v>Error?</v>
      </c>
    </row>
    <row r="1025" spans="1:4" x14ac:dyDescent="0.2">
      <c r="A1025" s="5">
        <v>964</v>
      </c>
      <c r="B1025" s="138">
        <f>'Expenditures 15-22'!H55</f>
        <v>1475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1475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26685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917005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944075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4518838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413156</v>
      </c>
      <c r="C1105" s="2" t="s">
        <v>573</v>
      </c>
      <c r="D1105" s="2" t="str">
        <f t="shared" si="16"/>
        <v>Error?</v>
      </c>
    </row>
    <row r="1106" spans="1:4" x14ac:dyDescent="0.2">
      <c r="A1106" s="5">
        <v>1045</v>
      </c>
      <c r="B1106" s="138">
        <f>'Expenditures 15-22'!K14</f>
        <v>325592</v>
      </c>
      <c r="C1106" s="2" t="s">
        <v>573</v>
      </c>
      <c r="D1106" s="2" t="str">
        <f t="shared" si="16"/>
        <v>Error?</v>
      </c>
    </row>
    <row r="1107" spans="1:4" x14ac:dyDescent="0.2">
      <c r="A1107" s="5">
        <v>1046</v>
      </c>
      <c r="B1107" s="138">
        <f>'Expenditures 15-22'!K15</f>
        <v>16255</v>
      </c>
      <c r="C1107" s="2" t="s">
        <v>573</v>
      </c>
      <c r="D1107" s="2" t="str">
        <f t="shared" si="16"/>
        <v>Error?</v>
      </c>
    </row>
    <row r="1108" spans="1:4" x14ac:dyDescent="0.2">
      <c r="A1108" s="5">
        <v>1047</v>
      </c>
      <c r="B1108" s="138">
        <f>'Expenditures 15-22'!K33</f>
        <v>7445644</v>
      </c>
      <c r="C1108" s="2" t="s">
        <v>573</v>
      </c>
      <c r="D1108" s="2" t="str">
        <f t="shared" si="16"/>
        <v>Error?</v>
      </c>
    </row>
    <row r="1109" spans="1:4" x14ac:dyDescent="0.2">
      <c r="A1109" s="5">
        <v>1048</v>
      </c>
      <c r="B1109" s="138">
        <f>'Expenditures 15-22'!K36</f>
        <v>131210</v>
      </c>
      <c r="C1109" s="2" t="s">
        <v>573</v>
      </c>
      <c r="D1109" s="2" t="str">
        <f t="shared" si="16"/>
        <v>Error?</v>
      </c>
    </row>
    <row r="1110" spans="1:4" x14ac:dyDescent="0.2">
      <c r="A1110" s="5">
        <v>1049</v>
      </c>
      <c r="B1110" s="138">
        <f>'Expenditures 15-22'!K37</f>
        <v>238582</v>
      </c>
      <c r="C1110" s="2" t="s">
        <v>573</v>
      </c>
      <c r="D1110" s="2" t="str">
        <f t="shared" si="16"/>
        <v>Error?</v>
      </c>
    </row>
    <row r="1111" spans="1:4" x14ac:dyDescent="0.2">
      <c r="A1111" s="5">
        <v>1050</v>
      </c>
      <c r="B1111" s="138">
        <f>'Expenditures 15-22'!K38</f>
        <v>10144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379936</v>
      </c>
      <c r="C1115" s="2" t="s">
        <v>573</v>
      </c>
      <c r="D1115" s="2" t="str">
        <f t="shared" si="16"/>
        <v>Error?</v>
      </c>
    </row>
    <row r="1116" spans="1:4" x14ac:dyDescent="0.2">
      <c r="A1116" s="5">
        <v>1055</v>
      </c>
      <c r="B1116" s="138">
        <f>'Expenditures 15-22'!K44</f>
        <v>535421</v>
      </c>
      <c r="C1116" s="2" t="s">
        <v>573</v>
      </c>
      <c r="D1116" s="2" t="str">
        <f t="shared" si="16"/>
        <v>Error?</v>
      </c>
    </row>
    <row r="1117" spans="1:4" x14ac:dyDescent="0.2">
      <c r="A1117" s="5">
        <v>1056</v>
      </c>
      <c r="B1117" s="138">
        <f>'Expenditures 15-22'!K45</f>
        <v>134965</v>
      </c>
      <c r="C1117" s="2" t="s">
        <v>573</v>
      </c>
      <c r="D1117" s="2" t="str">
        <f t="shared" si="16"/>
        <v>Error?</v>
      </c>
    </row>
    <row r="1118" spans="1:4" x14ac:dyDescent="0.2">
      <c r="A1118" s="5">
        <v>1057</v>
      </c>
      <c r="B1118" s="138">
        <f>'Expenditures 15-22'!K46</f>
        <v>6000</v>
      </c>
      <c r="C1118" s="2" t="s">
        <v>573</v>
      </c>
      <c r="D1118" s="2" t="str">
        <f t="shared" si="16"/>
        <v>Error?</v>
      </c>
    </row>
    <row r="1119" spans="1:4" x14ac:dyDescent="0.2">
      <c r="A1119" s="5">
        <v>1058</v>
      </c>
      <c r="B1119" s="138">
        <f>'Expenditures 15-22'!K47</f>
        <v>676386</v>
      </c>
      <c r="C1119" s="2" t="s">
        <v>573</v>
      </c>
      <c r="D1119" s="2" t="str">
        <f t="shared" si="16"/>
        <v>Error?</v>
      </c>
    </row>
    <row r="1120" spans="1:4" x14ac:dyDescent="0.2">
      <c r="A1120" s="5">
        <v>1059</v>
      </c>
      <c r="B1120" s="138">
        <f>'Expenditures 15-22'!K49</f>
        <v>163721</v>
      </c>
      <c r="C1120" s="2" t="s">
        <v>573</v>
      </c>
      <c r="D1120" s="2" t="str">
        <f t="shared" si="16"/>
        <v>Error?</v>
      </c>
    </row>
    <row r="1121" spans="1:4" x14ac:dyDescent="0.2">
      <c r="A1121" s="5">
        <v>1060</v>
      </c>
      <c r="B1121" s="138">
        <f>'Expenditures 15-22'!K50</f>
        <v>183121</v>
      </c>
      <c r="C1121" s="2" t="s">
        <v>573</v>
      </c>
      <c r="D1121" s="2" t="str">
        <f t="shared" si="16"/>
        <v>Error?</v>
      </c>
    </row>
    <row r="1122" spans="1:4" x14ac:dyDescent="0.2">
      <c r="A1122" s="5">
        <v>1061</v>
      </c>
      <c r="B1122" s="138">
        <f>'Expenditures 15-22'!K53</f>
        <v>346842</v>
      </c>
      <c r="C1122" s="2" t="s">
        <v>573</v>
      </c>
      <c r="D1122" s="2" t="str">
        <f t="shared" si="16"/>
        <v>Error?</v>
      </c>
    </row>
    <row r="1123" spans="1:4" x14ac:dyDescent="0.2">
      <c r="A1123" s="5">
        <v>1062</v>
      </c>
      <c r="B1123" s="138">
        <f>'Expenditures 15-22'!K55</f>
        <v>814388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814388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176429</v>
      </c>
      <c r="C1127" s="2" t="s">
        <v>573</v>
      </c>
      <c r="D1127" s="2" t="str">
        <f t="shared" si="16"/>
        <v>Error?</v>
      </c>
    </row>
    <row r="1128" spans="1:4" x14ac:dyDescent="0.2">
      <c r="A1128" s="5">
        <v>1067</v>
      </c>
      <c r="B1128" s="138">
        <f>'Expenditures 15-22'!K61</f>
        <v>568434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641695</v>
      </c>
      <c r="C1130" s="2" t="s">
        <v>573</v>
      </c>
      <c r="D1130" s="2" t="str">
        <f t="shared" si="16"/>
        <v>Error?</v>
      </c>
    </row>
    <row r="1131" spans="1:4" x14ac:dyDescent="0.2">
      <c r="A1131" s="5">
        <v>1070</v>
      </c>
      <c r="B1131" s="138">
        <f>'Expenditures 15-22'!K64</f>
        <v>16826</v>
      </c>
      <c r="C1131" s="2" t="s">
        <v>573</v>
      </c>
      <c r="D1131" s="2" t="str">
        <f t="shared" si="16"/>
        <v>Error?</v>
      </c>
    </row>
    <row r="1132" spans="1:4" x14ac:dyDescent="0.2">
      <c r="A1132" s="10">
        <v>1071</v>
      </c>
      <c r="D1132" s="2" t="str">
        <f t="shared" si="16"/>
        <v>OK</v>
      </c>
    </row>
    <row r="1133" spans="1:4" x14ac:dyDescent="0.2">
      <c r="A1133" s="5">
        <v>1072</v>
      </c>
      <c r="B1133" s="138">
        <f>'Expenditures 15-22'!K65</f>
        <v>1403384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1827</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1827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3622763</v>
      </c>
      <c r="C1143" s="2" t="s">
        <v>573</v>
      </c>
      <c r="D1143" s="2" t="str">
        <f t="shared" si="16"/>
        <v>Error?</v>
      </c>
    </row>
    <row r="1144" spans="1:4" x14ac:dyDescent="0.2">
      <c r="A1144" s="5">
        <v>1083</v>
      </c>
      <c r="B1144" s="138">
        <f>'Expenditures 15-22'!K75</f>
        <v>5817</v>
      </c>
      <c r="C1144" s="2" t="s">
        <v>573</v>
      </c>
      <c r="D1144" s="2" t="str">
        <f t="shared" si="16"/>
        <v>Error?</v>
      </c>
    </row>
    <row r="1145" spans="1:4" x14ac:dyDescent="0.2">
      <c r="A1145" s="5">
        <v>1084</v>
      </c>
      <c r="B1145" s="138">
        <f>'Expenditures 15-22'!K102</f>
        <v>917005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11991229</v>
      </c>
      <c r="C1152" s="2" t="s">
        <v>573</v>
      </c>
      <c r="D1152" s="2" t="str">
        <f t="shared" si="17"/>
        <v>Error?</v>
      </c>
    </row>
    <row r="1153" spans="1:4" x14ac:dyDescent="0.2">
      <c r="A1153" s="5">
        <v>1092</v>
      </c>
      <c r="B1153" s="138">
        <f>'Expenditures 15-22'!K115</f>
        <v>500918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67547</v>
      </c>
      <c r="D1221" s="2" t="str">
        <f t="shared" si="18"/>
        <v>Error?</v>
      </c>
    </row>
    <row r="1222" spans="1:4" x14ac:dyDescent="0.2">
      <c r="A1222" s="10">
        <v>1161</v>
      </c>
      <c r="D1222" s="2" t="str">
        <f t="shared" si="18"/>
        <v>OK</v>
      </c>
    </row>
    <row r="1223" spans="1:4" x14ac:dyDescent="0.2">
      <c r="A1223" s="5">
        <v>1162</v>
      </c>
      <c r="B1223" s="138">
        <f>'Expenditures 15-22'!C127</f>
        <v>67547</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67547</v>
      </c>
      <c r="C1225" s="2" t="s">
        <v>573</v>
      </c>
      <c r="D1225" s="2" t="str">
        <f t="shared" si="18"/>
        <v>Error?</v>
      </c>
    </row>
    <row r="1226" spans="1:4" x14ac:dyDescent="0.2">
      <c r="A1226" s="5">
        <v>1165</v>
      </c>
      <c r="B1226" s="138">
        <f>'Expenditures 15-22'!C151</f>
        <v>67547</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35</v>
      </c>
      <c r="D1229" s="2" t="str">
        <f t="shared" si="18"/>
        <v>Error?</v>
      </c>
    </row>
    <row r="1230" spans="1:4" x14ac:dyDescent="0.2">
      <c r="A1230" s="10">
        <v>1169</v>
      </c>
      <c r="D1230" s="2" t="str">
        <f t="shared" si="18"/>
        <v>OK</v>
      </c>
    </row>
    <row r="1231" spans="1:4" x14ac:dyDescent="0.2">
      <c r="A1231" s="5">
        <v>1170</v>
      </c>
      <c r="B1231" s="138">
        <f>'Expenditures 15-22'!D127</f>
        <v>35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35</v>
      </c>
      <c r="C1233" s="2" t="s">
        <v>573</v>
      </c>
      <c r="D1233" s="2" t="str">
        <f t="shared" si="18"/>
        <v>Error?</v>
      </c>
    </row>
    <row r="1234" spans="1:4" x14ac:dyDescent="0.2">
      <c r="A1234" s="5">
        <v>1173</v>
      </c>
      <c r="B1234" s="138">
        <f>'Expenditures 15-22'!D151</f>
        <v>35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299613</v>
      </c>
      <c r="D1237" s="2" t="str">
        <f t="shared" si="18"/>
        <v>Error?</v>
      </c>
    </row>
    <row r="1238" spans="1:4" x14ac:dyDescent="0.2">
      <c r="A1238" s="10">
        <v>1177</v>
      </c>
      <c r="D1238" s="2" t="str">
        <f t="shared" si="18"/>
        <v>OK</v>
      </c>
    </row>
    <row r="1239" spans="1:4" x14ac:dyDescent="0.2">
      <c r="A1239" s="5">
        <v>1178</v>
      </c>
      <c r="B1239" s="138">
        <f>'Expenditures 15-22'!E127</f>
        <v>299613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299613</v>
      </c>
      <c r="C1241" s="2" t="s">
        <v>573</v>
      </c>
      <c r="D1241" s="2" t="str">
        <f t="shared" si="18"/>
        <v>Error?</v>
      </c>
    </row>
    <row r="1242" spans="1:4" x14ac:dyDescent="0.2">
      <c r="A1242" s="5">
        <v>1181</v>
      </c>
      <c r="B1242" s="138">
        <f>'Expenditures 15-22'!E151</f>
        <v>299613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363084</v>
      </c>
      <c r="D1245" s="2" t="str">
        <f t="shared" si="18"/>
        <v>Error?</v>
      </c>
    </row>
    <row r="1246" spans="1:4" x14ac:dyDescent="0.2">
      <c r="A1246" s="10">
        <v>1185</v>
      </c>
      <c r="D1246" s="2" t="str">
        <f t="shared" si="18"/>
        <v>OK</v>
      </c>
    </row>
    <row r="1247" spans="1:4" x14ac:dyDescent="0.2">
      <c r="A1247" s="5">
        <v>1186</v>
      </c>
      <c r="B1247" s="138">
        <f>'Expenditures 15-22'!F127</f>
        <v>363084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363084</v>
      </c>
      <c r="C1249" s="2" t="s">
        <v>573</v>
      </c>
      <c r="D1249" s="2" t="str">
        <f t="shared" si="18"/>
        <v>Error?</v>
      </c>
    </row>
    <row r="1250" spans="1:4" x14ac:dyDescent="0.2">
      <c r="A1250" s="5">
        <v>1189</v>
      </c>
      <c r="B1250" s="138">
        <f>'Expenditures 15-22'!F151</f>
        <v>363084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12318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12318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12318</v>
      </c>
      <c r="C1258" s="2" t="s">
        <v>573</v>
      </c>
      <c r="D1258" s="2" t="str">
        <f t="shared" si="18"/>
        <v>Error?</v>
      </c>
    </row>
    <row r="1259" spans="1:4" x14ac:dyDescent="0.2">
      <c r="A1259" s="5">
        <v>1198</v>
      </c>
      <c r="B1259" s="138">
        <f>'Expenditures 15-22'!G151</f>
        <v>12318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742597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742597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742597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742597</v>
      </c>
      <c r="C1288" s="2" t="s">
        <v>573</v>
      </c>
      <c r="D1288" s="2" t="str">
        <f t="shared" si="19"/>
        <v>Error?</v>
      </c>
    </row>
    <row r="1289" spans="1:4" x14ac:dyDescent="0.2">
      <c r="A1289" s="5">
        <v>1228</v>
      </c>
      <c r="B1289" s="138">
        <f>'Expenditures 15-22'!K152</f>
        <v>103890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1374024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805000</v>
      </c>
      <c r="D1315" s="2" t="str">
        <f t="shared" si="19"/>
        <v>Error?</v>
      </c>
    </row>
    <row r="1316" spans="1:4" x14ac:dyDescent="0.2">
      <c r="A1316" s="5">
        <v>1255</v>
      </c>
      <c r="B1316" s="138">
        <f>'Expenditures 15-22'!H171</f>
        <v>1300</v>
      </c>
      <c r="D1316" s="2" t="str">
        <f t="shared" si="19"/>
        <v>Error?</v>
      </c>
    </row>
    <row r="1317" spans="1:4" x14ac:dyDescent="0.2">
      <c r="A1317" s="5">
        <v>1256</v>
      </c>
      <c r="B1317" s="138">
        <f>'Expenditures 15-22'!H172</f>
        <v>2180324</v>
      </c>
      <c r="C1317" s="2" t="s">
        <v>573</v>
      </c>
      <c r="D1317" s="2" t="str">
        <f t="shared" si="19"/>
        <v>Error?</v>
      </c>
    </row>
    <row r="1318" spans="1:4" x14ac:dyDescent="0.2">
      <c r="A1318" s="5">
        <v>1257</v>
      </c>
      <c r="B1318" s="138">
        <f>'Expenditures 15-22'!H174</f>
        <v>2180324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1374024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805000</v>
      </c>
      <c r="C1329" s="2" t="s">
        <v>573</v>
      </c>
      <c r="D1329" s="2" t="str">
        <f t="shared" si="19"/>
        <v>Error?</v>
      </c>
    </row>
    <row r="1330" spans="1:4" x14ac:dyDescent="0.2">
      <c r="A1330" s="5">
        <v>1269</v>
      </c>
      <c r="B1330" s="138">
        <f>'Expenditures 15-22'!K171</f>
        <v>1300</v>
      </c>
      <c r="C1330" s="2" t="s">
        <v>573</v>
      </c>
      <c r="D1330" s="2" t="str">
        <f t="shared" si="19"/>
        <v>Error?</v>
      </c>
    </row>
    <row r="1331" spans="1:4" x14ac:dyDescent="0.2">
      <c r="A1331" s="5">
        <v>1270</v>
      </c>
      <c r="B1331" s="138">
        <f>'Expenditures 15-22'!K172</f>
        <v>2180324</v>
      </c>
      <c r="C1331" s="2" t="s">
        <v>573</v>
      </c>
      <c r="D1331" s="2" t="str">
        <f t="shared" si="19"/>
        <v>Error?</v>
      </c>
    </row>
    <row r="1332" spans="1:4" x14ac:dyDescent="0.2">
      <c r="A1332" s="5">
        <v>1271</v>
      </c>
      <c r="B1332" s="138">
        <f>'Expenditures 15-22'!K174</f>
        <v>2180324</v>
      </c>
      <c r="C1332" s="2" t="s">
        <v>573</v>
      </c>
      <c r="D1332" s="2" t="str">
        <f t="shared" si="19"/>
        <v>Error?</v>
      </c>
    </row>
    <row r="1333" spans="1:4" x14ac:dyDescent="0.2">
      <c r="A1333" s="5">
        <v>1272</v>
      </c>
      <c r="B1333" s="138">
        <f>'Expenditures 15-22'!K175</f>
        <v>-2043</v>
      </c>
      <c r="C1333" s="2" t="s">
        <v>573</v>
      </c>
      <c r="D1333" s="2" t="str">
        <f t="shared" si="19"/>
        <v>Error?</v>
      </c>
    </row>
    <row r="1334" spans="1:4" x14ac:dyDescent="0.2">
      <c r="A1334" s="10">
        <v>1273</v>
      </c>
      <c r="D1334" s="2" t="str">
        <f t="shared" si="19"/>
        <v>OK</v>
      </c>
    </row>
    <row r="1335" spans="1:4" x14ac:dyDescent="0.2">
      <c r="A1335" s="5">
        <v>1274</v>
      </c>
      <c r="B1335" s="138">
        <f>'Expenditures 15-22'!C182</f>
        <v>56955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56955</v>
      </c>
      <c r="C1339" s="2" t="s">
        <v>573</v>
      </c>
      <c r="D1339" s="2" t="str">
        <f t="shared" si="19"/>
        <v>Error?</v>
      </c>
    </row>
    <row r="1340" spans="1:4" x14ac:dyDescent="0.2">
      <c r="A1340" s="5">
        <v>1279</v>
      </c>
      <c r="B1340" s="138">
        <f>'Expenditures 15-22'!C210</f>
        <v>56955</v>
      </c>
      <c r="C1340" s="2" t="s">
        <v>573</v>
      </c>
      <c r="D1340" s="2" t="str">
        <f t="shared" si="19"/>
        <v>Error?</v>
      </c>
    </row>
    <row r="1341" spans="1:4" x14ac:dyDescent="0.2">
      <c r="A1341" s="5">
        <v>1280</v>
      </c>
      <c r="B1341" s="138">
        <f>'Expenditures 15-22'!D182</f>
        <v>1687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1687</v>
      </c>
      <c r="C1345" s="2" t="s">
        <v>573</v>
      </c>
      <c r="D1345" s="2" t="str">
        <f t="shared" si="20"/>
        <v>Error?</v>
      </c>
    </row>
    <row r="1346" spans="1:4" x14ac:dyDescent="0.2">
      <c r="A1346" s="5">
        <v>1285</v>
      </c>
      <c r="B1346" s="138">
        <f>'Expenditures 15-22'!D210</f>
        <v>1687</v>
      </c>
      <c r="C1346" s="2" t="s">
        <v>573</v>
      </c>
      <c r="D1346" s="2" t="str">
        <f t="shared" si="20"/>
        <v>Error?</v>
      </c>
    </row>
    <row r="1347" spans="1:4" x14ac:dyDescent="0.2">
      <c r="A1347" s="5">
        <v>1286</v>
      </c>
      <c r="B1347" s="138">
        <f>'Expenditures 15-22'!E182</f>
        <v>729811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729811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729811</v>
      </c>
      <c r="C1353" s="2" t="s">
        <v>573</v>
      </c>
      <c r="D1353" s="2" t="str">
        <f t="shared" si="20"/>
        <v>Error?</v>
      </c>
    </row>
    <row r="1354" spans="1:4" x14ac:dyDescent="0.2">
      <c r="A1354" s="5">
        <v>1293</v>
      </c>
      <c r="B1354" s="138">
        <f>'Expenditures 15-22'!F182</f>
        <v>71874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71874</v>
      </c>
      <c r="C1358" s="2" t="s">
        <v>573</v>
      </c>
      <c r="D1358" s="2" t="str">
        <f t="shared" si="20"/>
        <v>Error?</v>
      </c>
    </row>
    <row r="1359" spans="1:4" x14ac:dyDescent="0.2">
      <c r="A1359" s="5">
        <v>1298</v>
      </c>
      <c r="B1359" s="138">
        <f>'Expenditures 15-22'!F210</f>
        <v>71874</v>
      </c>
      <c r="C1359" s="2" t="s">
        <v>573</v>
      </c>
      <c r="D1359" s="2" t="str">
        <f t="shared" si="20"/>
        <v>Error?</v>
      </c>
    </row>
    <row r="1360" spans="1:4" x14ac:dyDescent="0.2">
      <c r="A1360" s="5">
        <v>1299</v>
      </c>
      <c r="B1360" s="138">
        <f>'Expenditures 15-22'!G182</f>
        <v>8530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8530</v>
      </c>
      <c r="C1364" s="2" t="s">
        <v>573</v>
      </c>
      <c r="D1364" s="2" t="str">
        <f t="shared" si="20"/>
        <v>Error?</v>
      </c>
    </row>
    <row r="1365" spans="1:4" x14ac:dyDescent="0.2">
      <c r="A1365" s="5">
        <v>1304</v>
      </c>
      <c r="B1365" s="138">
        <f>'Expenditures 15-22'!G210</f>
        <v>8530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868857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868857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868857</v>
      </c>
      <c r="C1388" s="2" t="s">
        <v>573</v>
      </c>
      <c r="D1388" s="2" t="str">
        <f t="shared" si="20"/>
        <v>Error?</v>
      </c>
    </row>
    <row r="1389" spans="1:4" x14ac:dyDescent="0.2">
      <c r="A1389" s="5">
        <v>1328</v>
      </c>
      <c r="B1389" s="138">
        <f>'Expenditures 15-22'!K211</f>
        <v>-9391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4050</v>
      </c>
      <c r="D1407" s="2" t="str">
        <f t="shared" ref="D1407:D1470" si="21">IF(ISBLANK(B1407),"OK",IF(A1407-B1407=0,"OK","Error?"))</f>
        <v>Error?</v>
      </c>
    </row>
    <row r="1408" spans="1:4" x14ac:dyDescent="0.2">
      <c r="A1408" s="5">
        <v>1347</v>
      </c>
      <c r="B1408" s="138">
        <f>'Expenditures 15-22'!D223</f>
        <v>5487</v>
      </c>
      <c r="D1408" s="2" t="str">
        <f t="shared" si="21"/>
        <v>Error?</v>
      </c>
    </row>
    <row r="1409" spans="1:4" x14ac:dyDescent="0.2">
      <c r="A1409" s="5">
        <v>1348</v>
      </c>
      <c r="B1409" s="138">
        <f>'Expenditures 15-22'!D224</f>
        <v>1108</v>
      </c>
      <c r="D1409" s="2" t="str">
        <f t="shared" si="21"/>
        <v>Error?</v>
      </c>
    </row>
    <row r="1410" spans="1:4" x14ac:dyDescent="0.2">
      <c r="A1410" s="5">
        <v>1349</v>
      </c>
      <c r="B1410" s="138">
        <f>'Expenditures 15-22'!D229</f>
        <v>165846</v>
      </c>
      <c r="C1410" s="2" t="s">
        <v>573</v>
      </c>
      <c r="D1410" s="2" t="str">
        <f t="shared" si="21"/>
        <v>Error?</v>
      </c>
    </row>
    <row r="1411" spans="1:4" x14ac:dyDescent="0.2">
      <c r="A1411" s="5">
        <v>1350</v>
      </c>
      <c r="B1411" s="138">
        <f>'Expenditures 15-22'!D232</f>
        <v>1295</v>
      </c>
      <c r="D1411" s="2" t="str">
        <f t="shared" si="21"/>
        <v>Error?</v>
      </c>
    </row>
    <row r="1412" spans="1:4" x14ac:dyDescent="0.2">
      <c r="A1412" s="5">
        <v>1351</v>
      </c>
      <c r="B1412" s="138">
        <f>'Expenditures 15-22'!D233</f>
        <v>6440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7735</v>
      </c>
      <c r="C1417" s="2" t="s">
        <v>573</v>
      </c>
      <c r="D1417" s="2" t="str">
        <f t="shared" si="21"/>
        <v>Error?</v>
      </c>
    </row>
    <row r="1418" spans="1:4" x14ac:dyDescent="0.2">
      <c r="A1418" s="5">
        <v>1357</v>
      </c>
      <c r="B1418" s="138">
        <f>'Expenditures 15-22'!D240</f>
        <v>7168</v>
      </c>
      <c r="D1418" s="2" t="str">
        <f t="shared" si="21"/>
        <v>Error?</v>
      </c>
    </row>
    <row r="1419" spans="1:4" x14ac:dyDescent="0.2">
      <c r="A1419" s="5">
        <v>1358</v>
      </c>
      <c r="B1419" s="138">
        <f>'Expenditures 15-22'!D241</f>
        <v>8160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15328</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1900</v>
      </c>
      <c r="D1423" s="2" t="str">
        <f t="shared" si="21"/>
        <v>Error?</v>
      </c>
    </row>
    <row r="1424" spans="1:4" x14ac:dyDescent="0.2">
      <c r="A1424" s="5">
        <v>1363</v>
      </c>
      <c r="B1424" s="138">
        <f>'Expenditures 15-22'!D257</f>
        <v>1900</v>
      </c>
      <c r="C1424" s="2" t="s">
        <v>573</v>
      </c>
      <c r="D1424" s="2" t="str">
        <f t="shared" si="21"/>
        <v>Error?</v>
      </c>
    </row>
    <row r="1425" spans="1:4" x14ac:dyDescent="0.2">
      <c r="A1425" s="5">
        <v>1364</v>
      </c>
      <c r="B1425" s="138">
        <f>'Expenditures 15-22'!D259</f>
        <v>21345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21345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29524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92515</v>
      </c>
      <c r="D1431" s="2" t="str">
        <f t="shared" si="21"/>
        <v>Error?</v>
      </c>
    </row>
    <row r="1432" spans="1:4" x14ac:dyDescent="0.2">
      <c r="A1432" s="5">
        <v>1371</v>
      </c>
      <c r="B1432" s="138">
        <f>'Expenditures 15-22'!D267</f>
        <v>7428</v>
      </c>
      <c r="D1432" s="2" t="str">
        <f t="shared" si="21"/>
        <v>Error?</v>
      </c>
    </row>
    <row r="1433" spans="1:4" x14ac:dyDescent="0.2">
      <c r="A1433" s="5">
        <v>1372</v>
      </c>
      <c r="B1433" s="138">
        <f>'Expenditures 15-22'!D268</f>
        <v>42592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172059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22</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22</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218389</v>
      </c>
      <c r="C1446" s="2" t="s">
        <v>573</v>
      </c>
      <c r="D1446" s="2" t="str">
        <f t="shared" si="21"/>
        <v>Error?</v>
      </c>
    </row>
    <row r="1447" spans="1:4" x14ac:dyDescent="0.2">
      <c r="A1447" s="5">
        <v>1386</v>
      </c>
      <c r="B1447" s="138">
        <f>'Expenditures 15-22'!D280</f>
        <v>63</v>
      </c>
      <c r="D1447" s="2" t="str">
        <f t="shared" si="21"/>
        <v>Error?</v>
      </c>
    </row>
    <row r="1448" spans="1:4" x14ac:dyDescent="0.2">
      <c r="A1448" s="5">
        <v>1387</v>
      </c>
      <c r="B1448" s="138">
        <f>'Expenditures 15-22'!D295</f>
        <v>384298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4050</v>
      </c>
      <c r="C1471" s="2" t="s">
        <v>573</v>
      </c>
      <c r="D1471" s="2" t="str">
        <f t="shared" ref="D1471:D1534" si="22">IF(ISBLANK(B1471),"OK",IF(A1471-B1471=0,"OK","Error?"))</f>
        <v>Error?</v>
      </c>
    </row>
    <row r="1472" spans="1:4" x14ac:dyDescent="0.2">
      <c r="A1472" s="5">
        <v>1411</v>
      </c>
      <c r="B1472" s="138">
        <f>'Expenditures 15-22'!K223</f>
        <v>5487</v>
      </c>
      <c r="C1472" s="2" t="s">
        <v>573</v>
      </c>
      <c r="D1472" s="2" t="str">
        <f t="shared" si="22"/>
        <v>Error?</v>
      </c>
    </row>
    <row r="1473" spans="1:4" x14ac:dyDescent="0.2">
      <c r="A1473" s="5">
        <v>1412</v>
      </c>
      <c r="B1473" s="138">
        <f>'Expenditures 15-22'!K224</f>
        <v>1108</v>
      </c>
      <c r="C1473" s="2" t="s">
        <v>573</v>
      </c>
      <c r="D1473" s="2" t="str">
        <f t="shared" si="22"/>
        <v>Error?</v>
      </c>
    </row>
    <row r="1474" spans="1:4" x14ac:dyDescent="0.2">
      <c r="A1474" s="5">
        <v>1413</v>
      </c>
      <c r="B1474" s="138">
        <f>'Expenditures 15-22'!K229</f>
        <v>165846</v>
      </c>
      <c r="C1474" s="2" t="s">
        <v>573</v>
      </c>
      <c r="D1474" s="2" t="str">
        <f t="shared" si="22"/>
        <v>Error?</v>
      </c>
    </row>
    <row r="1475" spans="1:4" x14ac:dyDescent="0.2">
      <c r="A1475" s="5">
        <v>1414</v>
      </c>
      <c r="B1475" s="138">
        <f>'Expenditures 15-22'!K232</f>
        <v>1295</v>
      </c>
      <c r="C1475" s="2" t="s">
        <v>573</v>
      </c>
      <c r="D1475" s="2" t="str">
        <f t="shared" si="22"/>
        <v>Error?</v>
      </c>
    </row>
    <row r="1476" spans="1:4" x14ac:dyDescent="0.2">
      <c r="A1476" s="5">
        <v>1415</v>
      </c>
      <c r="B1476" s="138">
        <f>'Expenditures 15-22'!K233</f>
        <v>6440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7735</v>
      </c>
      <c r="C1481" s="2" t="s">
        <v>573</v>
      </c>
      <c r="D1481" s="2" t="str">
        <f t="shared" si="22"/>
        <v>Error?</v>
      </c>
    </row>
    <row r="1482" spans="1:4" x14ac:dyDescent="0.2">
      <c r="A1482" s="5">
        <v>1421</v>
      </c>
      <c r="B1482" s="138">
        <f>'Expenditures 15-22'!K240</f>
        <v>7168</v>
      </c>
      <c r="C1482" s="2" t="s">
        <v>573</v>
      </c>
      <c r="D1482" s="2" t="str">
        <f t="shared" si="22"/>
        <v>Error?</v>
      </c>
    </row>
    <row r="1483" spans="1:4" x14ac:dyDescent="0.2">
      <c r="A1483" s="5">
        <v>1422</v>
      </c>
      <c r="B1483" s="138">
        <f>'Expenditures 15-22'!K241</f>
        <v>8160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15328</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1900</v>
      </c>
      <c r="C1487" s="2" t="s">
        <v>573</v>
      </c>
      <c r="D1487" s="2" t="str">
        <f t="shared" si="22"/>
        <v>Error?</v>
      </c>
    </row>
    <row r="1488" spans="1:4" x14ac:dyDescent="0.2">
      <c r="A1488" s="5">
        <v>1427</v>
      </c>
      <c r="B1488" s="138">
        <f>'Expenditures 15-22'!K257</f>
        <v>1900</v>
      </c>
      <c r="C1488" s="2" t="s">
        <v>573</v>
      </c>
      <c r="D1488" s="2" t="str">
        <f t="shared" si="22"/>
        <v>Error?</v>
      </c>
    </row>
    <row r="1489" spans="1:4" x14ac:dyDescent="0.2">
      <c r="A1489" s="5">
        <v>1428</v>
      </c>
      <c r="B1489" s="138">
        <f>'Expenditures 15-22'!K259</f>
        <v>21345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21345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29524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92515</v>
      </c>
      <c r="C1495" s="2" t="s">
        <v>573</v>
      </c>
      <c r="D1495" s="2" t="str">
        <f t="shared" si="22"/>
        <v>Error?</v>
      </c>
    </row>
    <row r="1496" spans="1:4" x14ac:dyDescent="0.2">
      <c r="A1496" s="5">
        <v>1435</v>
      </c>
      <c r="B1496" s="138">
        <f>'Expenditures 15-22'!K267</f>
        <v>7428</v>
      </c>
      <c r="C1496" s="2" t="s">
        <v>573</v>
      </c>
      <c r="D1496" s="2" t="str">
        <f t="shared" si="22"/>
        <v>Error?</v>
      </c>
    </row>
    <row r="1497" spans="1:4" x14ac:dyDescent="0.2">
      <c r="A1497" s="5">
        <v>1436</v>
      </c>
      <c r="B1497" s="138">
        <f>'Expenditures 15-22'!K268</f>
        <v>42592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172059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22</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22</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218389</v>
      </c>
      <c r="C1510" s="2" t="s">
        <v>573</v>
      </c>
      <c r="D1510" s="2" t="str">
        <f t="shared" si="22"/>
        <v>Error?</v>
      </c>
    </row>
    <row r="1511" spans="1:4" x14ac:dyDescent="0.2">
      <c r="A1511" s="5">
        <v>1450</v>
      </c>
      <c r="B1511" s="138">
        <f>'Expenditures 15-22'!K280</f>
        <v>63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384298</v>
      </c>
      <c r="C1517" s="2" t="s">
        <v>573</v>
      </c>
      <c r="D1517" s="2" t="str">
        <f t="shared" si="22"/>
        <v>Error?</v>
      </c>
    </row>
    <row r="1518" spans="1:4" x14ac:dyDescent="0.2">
      <c r="A1518" s="5">
        <v>1457</v>
      </c>
      <c r="B1518" s="138">
        <f>'Expenditures 15-22'!K296</f>
        <v>22345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149147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149147</v>
      </c>
      <c r="C1535" s="2" t="s">
        <v>573</v>
      </c>
      <c r="D1535" s="2" t="str">
        <f t="shared" ref="D1535:D1598" si="23">IF(ISBLANK(B1535),"OK",IF(A1535-B1535=0,"OK","Error?"))</f>
        <v>Error?</v>
      </c>
    </row>
    <row r="1536" spans="1:4" x14ac:dyDescent="0.2">
      <c r="A1536" s="5">
        <v>1475</v>
      </c>
      <c r="B1536" s="138">
        <f>'Expenditures 15-22'!E312</f>
        <v>149147</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15982856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15982856</v>
      </c>
      <c r="C1547" s="2" t="s">
        <v>573</v>
      </c>
      <c r="D1547" s="2" t="str">
        <f t="shared" si="23"/>
        <v>Error?</v>
      </c>
    </row>
    <row r="1548" spans="1:4" x14ac:dyDescent="0.2">
      <c r="A1548" s="5">
        <v>1487</v>
      </c>
      <c r="B1548" s="138">
        <f>'Expenditures 15-22'!G312</f>
        <v>15982856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16132003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16132003</v>
      </c>
      <c r="C1559" s="2" t="s">
        <v>573</v>
      </c>
      <c r="D1559" s="2" t="str">
        <f t="shared" si="23"/>
        <v>Error?</v>
      </c>
    </row>
    <row r="1560" spans="1:4" x14ac:dyDescent="0.2">
      <c r="A1560" s="5">
        <v>1499</v>
      </c>
      <c r="B1560" s="138">
        <f>'Expenditures 15-22'!K312</f>
        <v>16132003</v>
      </c>
      <c r="C1560" s="2" t="s">
        <v>573</v>
      </c>
      <c r="D1560" s="2" t="str">
        <f t="shared" si="23"/>
        <v>Error?</v>
      </c>
    </row>
    <row r="1561" spans="1:4" x14ac:dyDescent="0.2">
      <c r="A1561" s="5">
        <v>1500</v>
      </c>
      <c r="B1561" s="138">
        <f>'Expenditures 15-22'!K313</f>
        <v>-15593387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4637732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5138650</v>
      </c>
      <c r="C1630" s="2" t="s">
        <v>573</v>
      </c>
      <c r="D1630" s="2" t="str">
        <f t="shared" si="24"/>
        <v>Error?</v>
      </c>
    </row>
    <row r="1631" spans="1:4" x14ac:dyDescent="0.2">
      <c r="A1631" s="5">
        <v>1570</v>
      </c>
      <c r="B1631" s="138">
        <f>'Acct Summary 7-8'!D79</f>
        <v>475127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579017</v>
      </c>
      <c r="C1644" s="2" t="s">
        <v>573</v>
      </c>
      <c r="D1644" s="2" t="str">
        <f t="shared" si="24"/>
        <v>Error?</v>
      </c>
    </row>
    <row r="1645" spans="1:4" x14ac:dyDescent="0.2">
      <c r="A1645" s="5">
        <v>1584</v>
      </c>
      <c r="B1645" s="138">
        <f>'Acct Summary 7-8'!E79</f>
        <v>91059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89016</v>
      </c>
      <c r="C1658" s="2" t="s">
        <v>573</v>
      </c>
      <c r="D1658" s="2" t="str">
        <f t="shared" si="24"/>
        <v>Error?</v>
      </c>
    </row>
    <row r="1659" spans="1:4" x14ac:dyDescent="0.2">
      <c r="A1659" s="5">
        <v>1598</v>
      </c>
      <c r="B1659" s="138">
        <f>'Acct Summary 7-8'!F79</f>
        <v>192149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182758</v>
      </c>
      <c r="C1672" s="2" t="s">
        <v>573</v>
      </c>
      <c r="D1672" s="2" t="str">
        <f t="shared" si="25"/>
        <v>Error?</v>
      </c>
    </row>
    <row r="1673" spans="1:4" x14ac:dyDescent="0.2">
      <c r="A1673" s="5">
        <v>1612</v>
      </c>
      <c r="B1673" s="138">
        <f>'Acct Summary 7-8'!G79</f>
        <v>83137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105482</v>
      </c>
      <c r="C1686" s="2" t="s">
        <v>573</v>
      </c>
      <c r="D1686" s="2" t="str">
        <f t="shared" si="25"/>
        <v>Error?</v>
      </c>
    </row>
    <row r="1687" spans="1:4" x14ac:dyDescent="0.2">
      <c r="A1687" s="5">
        <v>1626</v>
      </c>
      <c r="B1687" s="138">
        <f>'Acct Summary 7-8'!H79</f>
        <v>28486569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12893182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6007258</v>
      </c>
      <c r="C1744" s="2" t="s">
        <v>573</v>
      </c>
      <c r="D1744" s="2" t="str">
        <f t="shared" si="26"/>
        <v>Error?</v>
      </c>
    </row>
    <row r="1745" spans="1:5" x14ac:dyDescent="0.2">
      <c r="A1745" s="5">
        <v>1684</v>
      </c>
      <c r="B1745" s="138">
        <f>'Tax Sched 23'!B5</f>
        <v>822914</v>
      </c>
      <c r="C1745" s="2" t="s">
        <v>573</v>
      </c>
      <c r="D1745" s="2" t="str">
        <f t="shared" si="26"/>
        <v>Error?</v>
      </c>
    </row>
    <row r="1746" spans="1:5" x14ac:dyDescent="0.2">
      <c r="A1746" s="5">
        <v>1685</v>
      </c>
      <c r="B1746" s="138">
        <f>'Tax Sched 23'!B6</f>
        <v>2162044</v>
      </c>
      <c r="C1746" s="2" t="s">
        <v>573</v>
      </c>
      <c r="D1746" s="2" t="str">
        <f t="shared" si="26"/>
        <v>Error?</v>
      </c>
    </row>
    <row r="1747" spans="1:5" x14ac:dyDescent="0.2">
      <c r="A1747" s="5">
        <v>1686</v>
      </c>
      <c r="B1747" s="138">
        <f>'Tax Sched 23'!B7</f>
        <v>329169</v>
      </c>
      <c r="C1747" s="2" t="s">
        <v>573</v>
      </c>
      <c r="D1747" s="2" t="str">
        <f t="shared" si="26"/>
        <v>Error?</v>
      </c>
    </row>
    <row r="1748" spans="1:5" x14ac:dyDescent="0.2">
      <c r="A1748" s="5">
        <v>1687</v>
      </c>
      <c r="B1748" s="138">
        <f>'Tax Sched 23'!B8</f>
        <v>178904</v>
      </c>
      <c r="C1748" s="2" t="s">
        <v>573</v>
      </c>
      <c r="D1748" s="2" t="str">
        <f t="shared" si="26"/>
        <v>Error?</v>
      </c>
    </row>
    <row r="1749" spans="1:5" x14ac:dyDescent="0.2">
      <c r="A1749" s="5">
        <v>1688</v>
      </c>
      <c r="B1749" s="138">
        <f>'Tax Sched 23'!B10</f>
        <v>82288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278140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65849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10220833</v>
      </c>
      <c r="C1759" s="2" t="s">
        <v>573</v>
      </c>
      <c r="D1759" s="2" t="str">
        <f t="shared" si="26"/>
        <v>Error?</v>
      </c>
    </row>
    <row r="1760" spans="1:5" x14ac:dyDescent="0.2">
      <c r="A1760" s="5">
        <v>1699</v>
      </c>
      <c r="B1760" s="138">
        <f>'Tax Sched 23'!D4</f>
        <v>5975645</v>
      </c>
      <c r="C1760" s="2" t="s">
        <v>573</v>
      </c>
      <c r="D1760" s="2" t="str">
        <f t="shared" si="26"/>
        <v>Error?</v>
      </c>
    </row>
    <row r="1761" spans="1:5" x14ac:dyDescent="0.2">
      <c r="A1761" s="5">
        <v>1700</v>
      </c>
      <c r="B1761" s="138">
        <f>'Tax Sched 23'!D5</f>
        <v>818583</v>
      </c>
      <c r="C1761" s="2" t="s">
        <v>573</v>
      </c>
      <c r="D1761" s="2" t="str">
        <f t="shared" si="26"/>
        <v>Error?</v>
      </c>
    </row>
    <row r="1762" spans="1:5" s="8" customFormat="1" x14ac:dyDescent="0.2">
      <c r="A1762" s="5">
        <v>1701</v>
      </c>
      <c r="B1762" s="138">
        <f>'Tax Sched 23'!D6</f>
        <v>2150666</v>
      </c>
      <c r="C1762" s="2" t="s">
        <v>573</v>
      </c>
      <c r="D1762" s="2" t="str">
        <f t="shared" si="26"/>
        <v>Error?</v>
      </c>
      <c r="E1762" s="9"/>
    </row>
    <row r="1763" spans="1:5" x14ac:dyDescent="0.2">
      <c r="A1763" s="5">
        <v>1702</v>
      </c>
      <c r="B1763" s="138">
        <f>'Tax Sched 23'!D7</f>
        <v>327437</v>
      </c>
      <c r="C1763" s="2" t="s">
        <v>573</v>
      </c>
      <c r="D1763" s="2" t="str">
        <f t="shared" si="26"/>
        <v>Error?</v>
      </c>
    </row>
    <row r="1764" spans="1:5" x14ac:dyDescent="0.2">
      <c r="A1764" s="5">
        <v>1703</v>
      </c>
      <c r="B1764" s="138">
        <f>'Tax Sched 23'!D8</f>
        <v>177963</v>
      </c>
      <c r="C1764" s="2" t="s">
        <v>573</v>
      </c>
      <c r="D1764" s="2" t="str">
        <f t="shared" si="26"/>
        <v>Error?</v>
      </c>
    </row>
    <row r="1765" spans="1:5" x14ac:dyDescent="0.2">
      <c r="A1765" s="5">
        <v>1704</v>
      </c>
      <c r="B1765" s="138">
        <f>'Tax Sched 23'!D10</f>
        <v>81855</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276676</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65501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10167046</v>
      </c>
      <c r="C1775" s="2" t="s">
        <v>573</v>
      </c>
      <c r="D1775" s="2" t="str">
        <f t="shared" si="26"/>
        <v>Error?</v>
      </c>
    </row>
    <row r="1776" spans="1:5" x14ac:dyDescent="0.2">
      <c r="A1776" s="5">
        <v>1715</v>
      </c>
      <c r="B1776" s="138">
        <f>'Tax Sched 23'!C4</f>
        <v>31613</v>
      </c>
      <c r="D1776" s="2" t="str">
        <f t="shared" si="26"/>
        <v>Error?</v>
      </c>
    </row>
    <row r="1777" spans="1:4" x14ac:dyDescent="0.2">
      <c r="A1777" s="5">
        <v>1716</v>
      </c>
      <c r="B1777" s="138">
        <f>'Tax Sched 23'!C5</f>
        <v>4331</v>
      </c>
      <c r="D1777" s="2" t="str">
        <f t="shared" si="26"/>
        <v>Error?</v>
      </c>
    </row>
    <row r="1778" spans="1:4" x14ac:dyDescent="0.2">
      <c r="A1778" s="5">
        <v>1717</v>
      </c>
      <c r="B1778" s="138">
        <f>'Tax Sched 23'!C6</f>
        <v>11378</v>
      </c>
      <c r="D1778" s="2" t="str">
        <f t="shared" si="26"/>
        <v>Error?</v>
      </c>
    </row>
    <row r="1779" spans="1:4" x14ac:dyDescent="0.2">
      <c r="A1779" s="5">
        <v>1718</v>
      </c>
      <c r="B1779" s="138">
        <f>'Tax Sched 23'!C7</f>
        <v>1732</v>
      </c>
      <c r="D1779" s="2" t="str">
        <f t="shared" si="26"/>
        <v>Error?</v>
      </c>
    </row>
    <row r="1780" spans="1:4" x14ac:dyDescent="0.2">
      <c r="A1780" s="5">
        <v>1719</v>
      </c>
      <c r="B1780" s="138">
        <f>'Tax Sched 23'!C8</f>
        <v>941</v>
      </c>
      <c r="D1780" s="2" t="str">
        <f t="shared" si="26"/>
        <v>Error?</v>
      </c>
    </row>
    <row r="1781" spans="1:4" x14ac:dyDescent="0.2">
      <c r="A1781" s="5">
        <v>1720</v>
      </c>
      <c r="B1781" s="138">
        <f>'Tax Sched 23'!C10</f>
        <v>433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1464</v>
      </c>
      <c r="D1784" s="2" t="str">
        <f t="shared" si="26"/>
        <v>Error?</v>
      </c>
    </row>
    <row r="1785" spans="1:4" x14ac:dyDescent="0.2">
      <c r="A1785" s="5">
        <v>1724</v>
      </c>
      <c r="B1785" s="138">
        <f>'Tax Sched 23'!C12</f>
        <v>0</v>
      </c>
      <c r="D1785" s="2" t="str">
        <f t="shared" si="26"/>
        <v>Error?</v>
      </c>
    </row>
    <row r="1786" spans="1:4" x14ac:dyDescent="0.2">
      <c r="A1786" s="5">
        <v>1725</v>
      </c>
      <c r="B1786" s="138">
        <f>'Tax Sched 23'!C14</f>
        <v>348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53787</v>
      </c>
      <c r="C1791" s="2" t="s">
        <v>573</v>
      </c>
      <c r="D1791" s="2" t="str">
        <f t="shared" ref="D1791:D1854" si="27">IF(ISBLANK(B1791),"OK",IF(A1791-B1791=0,"OK","Error?"))</f>
        <v>Error?</v>
      </c>
    </row>
    <row r="1792" spans="1:4" x14ac:dyDescent="0.2">
      <c r="A1792" s="5">
        <v>1731</v>
      </c>
      <c r="B1792" s="138">
        <f>'Tax Sched 23'!F4</f>
        <v>6340903</v>
      </c>
      <c r="C1792" s="2" t="s">
        <v>573</v>
      </c>
      <c r="D1792" s="2" t="str">
        <f t="shared" si="27"/>
        <v>Error?</v>
      </c>
    </row>
    <row r="1793" spans="1:4" x14ac:dyDescent="0.2">
      <c r="A1793" s="5">
        <v>1732</v>
      </c>
      <c r="B1793" s="138">
        <f>'Tax Sched 23'!F5</f>
        <v>868616</v>
      </c>
      <c r="C1793" s="2" t="s">
        <v>573</v>
      </c>
      <c r="D1793" s="2" t="str">
        <f t="shared" si="27"/>
        <v>Error?</v>
      </c>
    </row>
    <row r="1794" spans="1:4" x14ac:dyDescent="0.2">
      <c r="A1794" s="5">
        <v>1733</v>
      </c>
      <c r="B1794" s="138">
        <f>'Tax Sched 23'!F6</f>
        <v>2168616</v>
      </c>
      <c r="C1794" s="2" t="s">
        <v>573</v>
      </c>
      <c r="D1794" s="2" t="str">
        <f t="shared" si="27"/>
        <v>Error?</v>
      </c>
    </row>
    <row r="1795" spans="1:4" x14ac:dyDescent="0.2">
      <c r="A1795" s="5">
        <v>1734</v>
      </c>
      <c r="B1795" s="138">
        <f>'Tax Sched 23'!F7</f>
        <v>347447</v>
      </c>
      <c r="C1795" s="2" t="s">
        <v>573</v>
      </c>
      <c r="D1795" s="2" t="str">
        <f t="shared" si="27"/>
        <v>Error?</v>
      </c>
    </row>
    <row r="1796" spans="1:4" x14ac:dyDescent="0.2">
      <c r="A1796" s="5">
        <v>1735</v>
      </c>
      <c r="B1796" s="138">
        <f>'Tax Sched 23'!F8</f>
        <v>183094</v>
      </c>
      <c r="C1796" s="2" t="s">
        <v>573</v>
      </c>
      <c r="D1796" s="2" t="str">
        <f t="shared" si="27"/>
        <v>Error?</v>
      </c>
    </row>
    <row r="1797" spans="1:4" x14ac:dyDescent="0.2">
      <c r="A1797" s="5">
        <v>1736</v>
      </c>
      <c r="B1797" s="138">
        <f>'Tax Sched 23'!F10</f>
        <v>86862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246453</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65734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10607240</v>
      </c>
      <c r="C1807" s="2" t="s">
        <v>573</v>
      </c>
      <c r="D1807" s="2" t="str">
        <f t="shared" si="27"/>
        <v>Error?</v>
      </c>
    </row>
    <row r="1808" spans="1:4" x14ac:dyDescent="0.2">
      <c r="A1808" s="5">
        <v>1747</v>
      </c>
      <c r="B1808" s="138">
        <f>'Tax Sched 23'!E4</f>
        <v>6372516</v>
      </c>
      <c r="D1808" s="2" t="str">
        <f t="shared" si="27"/>
        <v>Error?</v>
      </c>
    </row>
    <row r="1809" spans="1:4" x14ac:dyDescent="0.2">
      <c r="A1809" s="5">
        <v>1748</v>
      </c>
      <c r="B1809" s="138">
        <f>'Tax Sched 23'!E5</f>
        <v>872947</v>
      </c>
      <c r="D1809" s="2" t="str">
        <f t="shared" si="27"/>
        <v>Error?</v>
      </c>
    </row>
    <row r="1810" spans="1:4" x14ac:dyDescent="0.2">
      <c r="A1810" s="5">
        <v>1749</v>
      </c>
      <c r="B1810" s="138">
        <f>'Tax Sched 23'!E6</f>
        <v>2179994</v>
      </c>
      <c r="D1810" s="2" t="str">
        <f t="shared" si="27"/>
        <v>Error?</v>
      </c>
    </row>
    <row r="1811" spans="1:4" x14ac:dyDescent="0.2">
      <c r="A1811" s="5">
        <v>1750</v>
      </c>
      <c r="B1811" s="138">
        <f>'Tax Sched 23'!E7</f>
        <v>349179</v>
      </c>
      <c r="D1811" s="2" t="str">
        <f t="shared" si="27"/>
        <v>Error?</v>
      </c>
    </row>
    <row r="1812" spans="1:4" x14ac:dyDescent="0.2">
      <c r="A1812" s="5">
        <v>1751</v>
      </c>
      <c r="B1812" s="138">
        <f>'Tax Sched 23'!E8</f>
        <v>184035</v>
      </c>
      <c r="D1812" s="2" t="str">
        <f t="shared" si="27"/>
        <v>Error?</v>
      </c>
    </row>
    <row r="1813" spans="1:4" x14ac:dyDescent="0.2">
      <c r="A1813" s="5">
        <v>1752</v>
      </c>
      <c r="B1813" s="138">
        <f>'Tax Sched 23'!E10</f>
        <v>87295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247917</v>
      </c>
      <c r="D1816" s="2" t="str">
        <f t="shared" si="27"/>
        <v>Error?</v>
      </c>
    </row>
    <row r="1817" spans="1:4" x14ac:dyDescent="0.2">
      <c r="A1817" s="5">
        <v>1756</v>
      </c>
      <c r="B1817" s="138">
        <f>'Tax Sched 23'!E12</f>
        <v>0</v>
      </c>
      <c r="D1817" s="2" t="str">
        <f t="shared" si="27"/>
        <v>Error?</v>
      </c>
    </row>
    <row r="1818" spans="1:4" x14ac:dyDescent="0.2">
      <c r="A1818" s="5">
        <v>1757</v>
      </c>
      <c r="B1818" s="138">
        <f>'Tax Sched 23'!E14</f>
        <v>66082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10661027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32870000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65849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65849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65849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164660</v>
      </c>
      <c r="D2008" s="2" t="str">
        <f t="shared" si="30"/>
        <v>Error?</v>
      </c>
    </row>
    <row r="2009" spans="1:4" x14ac:dyDescent="0.2">
      <c r="A2009" s="5">
        <v>1948</v>
      </c>
      <c r="B2009" s="138">
        <f>'Cap Outlay Deprec 26'!C8</f>
        <v>16343445</v>
      </c>
      <c r="D2009" s="2" t="str">
        <f t="shared" si="30"/>
        <v>Error?</v>
      </c>
    </row>
    <row r="2010" spans="1:4" x14ac:dyDescent="0.2">
      <c r="A2010" s="5">
        <v>1949</v>
      </c>
      <c r="B2010" s="138">
        <f>'Cap Outlay Deprec 26'!C10</f>
        <v>4024177</v>
      </c>
      <c r="D2010" s="2" t="str">
        <f t="shared" si="30"/>
        <v>Error?</v>
      </c>
    </row>
    <row r="2011" spans="1:4" x14ac:dyDescent="0.2">
      <c r="A2011" s="5">
        <v>1950</v>
      </c>
      <c r="B2011" s="138">
        <f>'Cap Outlay Deprec 26'!C12</f>
        <v>4236401</v>
      </c>
      <c r="D2011" s="2" t="str">
        <f t="shared" si="30"/>
        <v>Error?</v>
      </c>
    </row>
    <row r="2012" spans="1:4" x14ac:dyDescent="0.2">
      <c r="A2012" s="5">
        <v>1951</v>
      </c>
      <c r="B2012" s="138">
        <f>'Cap Outlay Deprec 26'!C13</f>
        <v>295540</v>
      </c>
      <c r="D2012" s="2" t="str">
        <f t="shared" si="30"/>
        <v>Error?</v>
      </c>
    </row>
    <row r="2013" spans="1:4" x14ac:dyDescent="0.2">
      <c r="A2013" s="5">
        <v>1952</v>
      </c>
      <c r="B2013" s="138">
        <f>'Cap Outlay Deprec 26'!C16</f>
        <v>25064223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15982856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177234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16160090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164660</v>
      </c>
      <c r="C2026" s="2" t="s">
        <v>573</v>
      </c>
      <c r="D2026" s="2" t="str">
        <f t="shared" si="30"/>
        <v>Error?</v>
      </c>
    </row>
    <row r="2027" spans="1:4" x14ac:dyDescent="0.2">
      <c r="A2027" s="5">
        <v>1966</v>
      </c>
      <c r="B2027" s="138">
        <f>'Cap Outlay Deprec 26'!F8</f>
        <v>32326301</v>
      </c>
      <c r="C2027" s="2" t="s">
        <v>573</v>
      </c>
      <c r="D2027" s="2" t="str">
        <f t="shared" si="30"/>
        <v>Error?</v>
      </c>
    </row>
    <row r="2028" spans="1:4" x14ac:dyDescent="0.2">
      <c r="A2028" s="5">
        <v>1967</v>
      </c>
      <c r="B2028" s="138">
        <f>'Cap Outlay Deprec 26'!F10</f>
        <v>4024177</v>
      </c>
      <c r="C2028" s="2" t="s">
        <v>573</v>
      </c>
      <c r="D2028" s="2" t="str">
        <f t="shared" si="30"/>
        <v>Error?</v>
      </c>
    </row>
    <row r="2029" spans="1:4" x14ac:dyDescent="0.2">
      <c r="A2029" s="5">
        <v>1968</v>
      </c>
      <c r="B2029" s="138">
        <f>'Cap Outlay Deprec 26'!F12</f>
        <v>4413635</v>
      </c>
      <c r="C2029" s="2" t="s">
        <v>573</v>
      </c>
      <c r="D2029" s="2" t="str">
        <f t="shared" si="30"/>
        <v>Error?</v>
      </c>
    </row>
    <row r="2030" spans="1:4" x14ac:dyDescent="0.2">
      <c r="A2030" s="5">
        <v>1969</v>
      </c>
      <c r="B2030" s="138">
        <f>'Cap Outlay Deprec 26'!F13</f>
        <v>295540</v>
      </c>
      <c r="C2030" s="2" t="s">
        <v>573</v>
      </c>
      <c r="D2030" s="2" t="str">
        <f t="shared" si="30"/>
        <v>Error?</v>
      </c>
    </row>
    <row r="2031" spans="1:4" x14ac:dyDescent="0.2">
      <c r="A2031" s="5">
        <v>1970</v>
      </c>
      <c r="B2031" s="138">
        <f>'Cap Outlay Deprec 26'!F16</f>
        <v>41224313</v>
      </c>
      <c r="C2031" s="2" t="s">
        <v>573</v>
      </c>
      <c r="D2031" s="2" t="str">
        <f t="shared" si="30"/>
        <v>Error?</v>
      </c>
    </row>
    <row r="2032" spans="1:4" x14ac:dyDescent="0.2">
      <c r="A2032" s="10">
        <v>1971</v>
      </c>
      <c r="D2032" s="2" t="str">
        <f t="shared" si="30"/>
        <v>OK</v>
      </c>
    </row>
    <row r="2033" spans="1:4" x14ac:dyDescent="0.2">
      <c r="A2033" s="5">
        <v>1972</v>
      </c>
      <c r="B2033" s="138">
        <f>'Cap Outlay Deprec 26'!H8</f>
        <v>6110214</v>
      </c>
      <c r="D2033" s="2" t="str">
        <f t="shared" si="30"/>
        <v>Error?</v>
      </c>
    </row>
    <row r="2034" spans="1:4" x14ac:dyDescent="0.2">
      <c r="A2034" s="5">
        <v>1973</v>
      </c>
      <c r="B2034" s="138">
        <f>'Cap Outlay Deprec 26'!H10</f>
        <v>2567400</v>
      </c>
      <c r="D2034" s="2" t="str">
        <f t="shared" si="30"/>
        <v>Error?</v>
      </c>
    </row>
    <row r="2035" spans="1:4" x14ac:dyDescent="0.2">
      <c r="A2035" s="5">
        <v>1974</v>
      </c>
      <c r="B2035" s="138">
        <f>'Cap Outlay Deprec 26'!H12</f>
        <v>3497648</v>
      </c>
      <c r="D2035" s="2" t="str">
        <f t="shared" si="30"/>
        <v>Error?</v>
      </c>
    </row>
    <row r="2036" spans="1:4" x14ac:dyDescent="0.2">
      <c r="A2036" s="5">
        <v>1975</v>
      </c>
      <c r="B2036" s="138">
        <f>'Cap Outlay Deprec 26'!H13</f>
        <v>266084</v>
      </c>
      <c r="D2036" s="2" t="str">
        <f t="shared" si="30"/>
        <v>Error?</v>
      </c>
    </row>
    <row r="2037" spans="1:4" x14ac:dyDescent="0.2">
      <c r="A2037" s="5">
        <v>1976</v>
      </c>
      <c r="B2037" s="138">
        <f>'Cap Outlay Deprec 26'!H16</f>
        <v>12441346</v>
      </c>
      <c r="C2037" s="2" t="s">
        <v>573</v>
      </c>
      <c r="D2037" s="2" t="str">
        <f t="shared" si="30"/>
        <v>Error?</v>
      </c>
    </row>
    <row r="2038" spans="1:4" x14ac:dyDescent="0.2">
      <c r="A2038" s="10">
        <v>1977</v>
      </c>
      <c r="D2038" s="2" t="str">
        <f t="shared" si="30"/>
        <v>OK</v>
      </c>
    </row>
    <row r="2039" spans="1:4" x14ac:dyDescent="0.2">
      <c r="A2039" s="5">
        <v>1978</v>
      </c>
      <c r="B2039" s="138">
        <f>'Cap Outlay Deprec 26'!I8</f>
        <v>583317</v>
      </c>
      <c r="D2039" s="2" t="str">
        <f t="shared" si="30"/>
        <v>Error?</v>
      </c>
    </row>
    <row r="2040" spans="1:4" x14ac:dyDescent="0.2">
      <c r="A2040" s="5">
        <v>1979</v>
      </c>
      <c r="B2040" s="138">
        <f>'Cap Outlay Deprec 26'!I10</f>
        <v>135865</v>
      </c>
      <c r="D2040" s="2" t="str">
        <f t="shared" si="30"/>
        <v>Error?</v>
      </c>
    </row>
    <row r="2041" spans="1:4" x14ac:dyDescent="0.2">
      <c r="A2041" s="5">
        <v>1980</v>
      </c>
      <c r="B2041" s="138">
        <f>'Cap Outlay Deprec 26'!I12</f>
        <v>159065</v>
      </c>
      <c r="D2041" s="2" t="str">
        <f t="shared" si="30"/>
        <v>Error?</v>
      </c>
    </row>
    <row r="2042" spans="1:4" x14ac:dyDescent="0.2">
      <c r="A2042" s="5">
        <v>1981</v>
      </c>
      <c r="B2042" s="138">
        <f>'Cap Outlay Deprec 26'!I13</f>
        <v>6945</v>
      </c>
      <c r="D2042" s="2" t="str">
        <f t="shared" si="30"/>
        <v>Error?</v>
      </c>
    </row>
    <row r="2043" spans="1:4" x14ac:dyDescent="0.2">
      <c r="A2043" s="5">
        <v>1982</v>
      </c>
      <c r="B2043" s="138">
        <f>'Cap Outlay Deprec 26'!I16</f>
        <v>885192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6693531</v>
      </c>
      <c r="C2051" s="2" t="s">
        <v>573</v>
      </c>
      <c r="D2051" s="2" t="str">
        <f t="shared" si="31"/>
        <v>Error?</v>
      </c>
    </row>
    <row r="2052" spans="1:4" x14ac:dyDescent="0.2">
      <c r="A2052" s="5">
        <v>1991</v>
      </c>
      <c r="B2052" s="138">
        <f>'Cap Outlay Deprec 26'!K10</f>
        <v>2703265</v>
      </c>
      <c r="C2052" s="2" t="s">
        <v>573</v>
      </c>
      <c r="D2052" s="2" t="str">
        <f t="shared" si="31"/>
        <v>Error?</v>
      </c>
    </row>
    <row r="2053" spans="1:4" x14ac:dyDescent="0.2">
      <c r="A2053" s="5">
        <v>1992</v>
      </c>
      <c r="B2053" s="138">
        <f>'Cap Outlay Deprec 26'!K12</f>
        <v>3656713</v>
      </c>
      <c r="C2053" s="2" t="s">
        <v>573</v>
      </c>
      <c r="D2053" s="2" t="str">
        <f t="shared" si="31"/>
        <v>Error?</v>
      </c>
    </row>
    <row r="2054" spans="1:4" x14ac:dyDescent="0.2">
      <c r="A2054" s="5">
        <v>1993</v>
      </c>
      <c r="B2054" s="138">
        <f>'Cap Outlay Deprec 26'!K13</f>
        <v>273029</v>
      </c>
      <c r="C2054" s="2" t="s">
        <v>573</v>
      </c>
      <c r="D2054" s="2" t="str">
        <f t="shared" si="31"/>
        <v>Error?</v>
      </c>
    </row>
    <row r="2055" spans="1:4" x14ac:dyDescent="0.2">
      <c r="A2055" s="5">
        <v>1994</v>
      </c>
      <c r="B2055" s="138">
        <f>'Cap Outlay Deprec 26'!K16</f>
        <v>13326538</v>
      </c>
      <c r="C2055" s="2" t="s">
        <v>573</v>
      </c>
      <c r="D2055" s="2" t="str">
        <f t="shared" si="31"/>
        <v>Error?</v>
      </c>
    </row>
    <row r="2056" spans="1:4" x14ac:dyDescent="0.2">
      <c r="A2056" s="5">
        <v>1995</v>
      </c>
      <c r="B2056" s="138">
        <f>'Cap Outlay Deprec 26'!L5</f>
        <v>164660</v>
      </c>
      <c r="C2056" s="2" t="s">
        <v>573</v>
      </c>
      <c r="D2056" s="2" t="str">
        <f t="shared" si="31"/>
        <v>Error?</v>
      </c>
    </row>
    <row r="2057" spans="1:4" x14ac:dyDescent="0.2">
      <c r="A2057" s="5">
        <v>1996</v>
      </c>
      <c r="B2057" s="138">
        <f>'Cap Outlay Deprec 26'!L8</f>
        <v>25632770</v>
      </c>
      <c r="C2057" s="2" t="s">
        <v>573</v>
      </c>
      <c r="D2057" s="2" t="str">
        <f t="shared" si="31"/>
        <v>Error?</v>
      </c>
    </row>
    <row r="2058" spans="1:4" x14ac:dyDescent="0.2">
      <c r="A2058" s="5">
        <v>1997</v>
      </c>
      <c r="B2058" s="138">
        <f>'Cap Outlay Deprec 26'!L10</f>
        <v>1320912</v>
      </c>
      <c r="C2058" s="2" t="s">
        <v>573</v>
      </c>
      <c r="D2058" s="2" t="str">
        <f t="shared" si="31"/>
        <v>Error?</v>
      </c>
    </row>
    <row r="2059" spans="1:4" x14ac:dyDescent="0.2">
      <c r="A2059" s="5">
        <v>1998</v>
      </c>
      <c r="B2059" s="138">
        <f>'Cap Outlay Deprec 26'!L12</f>
        <v>756922</v>
      </c>
      <c r="C2059" s="2" t="s">
        <v>573</v>
      </c>
      <c r="D2059" s="2" t="str">
        <f t="shared" si="31"/>
        <v>Error?</v>
      </c>
    </row>
    <row r="2060" spans="1:4" x14ac:dyDescent="0.2">
      <c r="A2060" s="5">
        <v>1999</v>
      </c>
      <c r="B2060" s="138">
        <f>'Cap Outlay Deprec 26'!L13</f>
        <v>22511</v>
      </c>
      <c r="C2060" s="2" t="s">
        <v>573</v>
      </c>
      <c r="D2060" s="2" t="str">
        <f t="shared" si="31"/>
        <v>Error?</v>
      </c>
    </row>
    <row r="2061" spans="1:4" x14ac:dyDescent="0.2">
      <c r="A2061" s="5">
        <v>2000</v>
      </c>
      <c r="B2061" s="138">
        <f>'Cap Outlay Deprec 26'!L16</f>
        <v>27897775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917005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105482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7036233</v>
      </c>
      <c r="C2551" s="2" t="s">
        <v>573</v>
      </c>
      <c r="D2551" s="2" t="str">
        <f t="shared" si="38"/>
        <v>Error?</v>
      </c>
    </row>
    <row r="2552" spans="1:4" x14ac:dyDescent="0.2">
      <c r="A2552" s="10">
        <v>2491</v>
      </c>
      <c r="D2552" s="2" t="str">
        <f t="shared" si="38"/>
        <v>OK</v>
      </c>
    </row>
    <row r="2553" spans="1:4" x14ac:dyDescent="0.2">
      <c r="A2553" s="5">
        <v>2492</v>
      </c>
      <c r="B2553" s="138">
        <f>'Acct Summary 7-8'!C6</f>
        <v>4392028</v>
      </c>
      <c r="C2553" s="2" t="s">
        <v>573</v>
      </c>
      <c r="D2553" s="2" t="str">
        <f t="shared" si="38"/>
        <v>Error?</v>
      </c>
    </row>
    <row r="2554" spans="1:4" x14ac:dyDescent="0.2">
      <c r="A2554" s="5">
        <v>2493</v>
      </c>
      <c r="B2554" s="138">
        <f>'Acct Summary 7-8'!C7</f>
        <v>1063886</v>
      </c>
      <c r="C2554" s="2" t="s">
        <v>573</v>
      </c>
      <c r="D2554" s="2" t="str">
        <f t="shared" si="38"/>
        <v>Error?</v>
      </c>
    </row>
    <row r="2555" spans="1:4" x14ac:dyDescent="0.2">
      <c r="A2555" s="5">
        <v>2494</v>
      </c>
      <c r="B2555" s="138">
        <f>'Acct Summary 7-8'!C8</f>
        <v>12492147</v>
      </c>
      <c r="C2555" s="2" t="s">
        <v>573</v>
      </c>
      <c r="D2555" s="2" t="str">
        <f t="shared" si="38"/>
        <v>Error?</v>
      </c>
    </row>
    <row r="2556" spans="1:4" x14ac:dyDescent="0.2">
      <c r="A2556" s="5">
        <v>2495</v>
      </c>
      <c r="B2556" s="138">
        <f>'Acct Summary 7-8'!C12</f>
        <v>7445644</v>
      </c>
      <c r="C2556" s="2" t="s">
        <v>573</v>
      </c>
      <c r="D2556" s="2" t="str">
        <f t="shared" si="38"/>
        <v>Error?</v>
      </c>
    </row>
    <row r="2557" spans="1:4" x14ac:dyDescent="0.2">
      <c r="A2557" s="5">
        <v>2496</v>
      </c>
      <c r="B2557" s="138">
        <f>'Acct Summary 7-8'!C13</f>
        <v>3622763</v>
      </c>
      <c r="C2557" s="2" t="s">
        <v>573</v>
      </c>
      <c r="D2557" s="2" t="str">
        <f t="shared" si="38"/>
        <v>Error?</v>
      </c>
    </row>
    <row r="2558" spans="1:4" x14ac:dyDescent="0.2">
      <c r="A2558" s="5">
        <v>2497</v>
      </c>
      <c r="B2558" s="138">
        <f>'Acct Summary 7-8'!C14</f>
        <v>5817</v>
      </c>
      <c r="C2558" s="2" t="s">
        <v>573</v>
      </c>
      <c r="D2558" s="2" t="str">
        <f t="shared" si="38"/>
        <v>Error?</v>
      </c>
    </row>
    <row r="2559" spans="1:4" x14ac:dyDescent="0.2">
      <c r="A2559" s="5">
        <v>2498</v>
      </c>
      <c r="B2559" s="138">
        <f>'Acct Summary 7-8'!C15</f>
        <v>917005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11991229</v>
      </c>
      <c r="C2561" s="2" t="s">
        <v>573</v>
      </c>
      <c r="D2561" s="2" t="str">
        <f t="shared" si="39"/>
        <v>Error?</v>
      </c>
    </row>
    <row r="2562" spans="1:4" x14ac:dyDescent="0.2">
      <c r="A2562" s="5">
        <v>2501</v>
      </c>
      <c r="B2562" s="138">
        <f>'Acct Summary 7-8'!C20</f>
        <v>500918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846487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846487</v>
      </c>
      <c r="C2568" s="2" t="s">
        <v>573</v>
      </c>
      <c r="D2568" s="2" t="str">
        <f t="shared" si="39"/>
        <v>Error?</v>
      </c>
    </row>
    <row r="2569" spans="1:4" x14ac:dyDescent="0.2">
      <c r="A2569" s="5">
        <v>2508</v>
      </c>
      <c r="B2569" s="138">
        <f>'Acct Summary 7-8'!D13</f>
        <v>742597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742597</v>
      </c>
      <c r="C2573" s="2" t="s">
        <v>573</v>
      </c>
      <c r="D2573" s="2" t="str">
        <f t="shared" si="39"/>
        <v>Error?</v>
      </c>
    </row>
    <row r="2574" spans="1:4" x14ac:dyDescent="0.2">
      <c r="A2574" s="5">
        <v>2513</v>
      </c>
      <c r="B2574" s="138">
        <f>'Acct Summary 7-8'!D20</f>
        <v>103890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331902</v>
      </c>
      <c r="C2591" s="2" t="s">
        <v>573</v>
      </c>
      <c r="D2591" s="2" t="str">
        <f t="shared" si="39"/>
        <v>Error?</v>
      </c>
    </row>
    <row r="2592" spans="1:4" x14ac:dyDescent="0.2">
      <c r="A2592" s="10">
        <v>2531</v>
      </c>
      <c r="D2592" s="2" t="str">
        <f t="shared" si="39"/>
        <v>OK</v>
      </c>
    </row>
    <row r="2593" spans="1:4" x14ac:dyDescent="0.2">
      <c r="A2593" s="5">
        <v>2532</v>
      </c>
      <c r="B2593" s="138">
        <f>'Acct Summary 7-8'!F6</f>
        <v>527564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859466</v>
      </c>
      <c r="C2595" s="2" t="s">
        <v>573</v>
      </c>
      <c r="D2595" s="2" t="str">
        <f t="shared" si="39"/>
        <v>Error?</v>
      </c>
    </row>
    <row r="2596" spans="1:4" x14ac:dyDescent="0.2">
      <c r="A2596" s="5">
        <v>2535</v>
      </c>
      <c r="B2596" s="138">
        <f>'Acct Summary 7-8'!F13</f>
        <v>868857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868857</v>
      </c>
      <c r="C2600" s="2" t="s">
        <v>573</v>
      </c>
      <c r="D2600" s="2" t="str">
        <f t="shared" si="39"/>
        <v>Error?</v>
      </c>
    </row>
    <row r="2601" spans="1:4" x14ac:dyDescent="0.2">
      <c r="A2601" s="5">
        <v>2540</v>
      </c>
      <c r="B2601" s="138">
        <f>'Acct Summary 7-8'!F20</f>
        <v>-9391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406643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406643</v>
      </c>
      <c r="C2606" s="2" t="s">
        <v>573</v>
      </c>
      <c r="D2606" s="2" t="str">
        <f t="shared" si="39"/>
        <v>Error?</v>
      </c>
    </row>
    <row r="2607" spans="1:4" x14ac:dyDescent="0.2">
      <c r="A2607" s="5">
        <v>2546</v>
      </c>
      <c r="B2607" s="138">
        <f>'Acct Summary 7-8'!G12</f>
        <v>165846</v>
      </c>
      <c r="C2607" s="2" t="s">
        <v>573</v>
      </c>
      <c r="D2607" s="2" t="str">
        <f t="shared" si="39"/>
        <v>Error?</v>
      </c>
    </row>
    <row r="2608" spans="1:4" x14ac:dyDescent="0.2">
      <c r="A2608" s="5">
        <v>2547</v>
      </c>
      <c r="B2608" s="138">
        <f>'Acct Summary 7-8'!G13</f>
        <v>218389</v>
      </c>
      <c r="C2608" s="2" t="s">
        <v>573</v>
      </c>
      <c r="D2608" s="2" t="str">
        <f t="shared" si="39"/>
        <v>Error?</v>
      </c>
    </row>
    <row r="2609" spans="1:4" x14ac:dyDescent="0.2">
      <c r="A2609" s="5">
        <v>2548</v>
      </c>
      <c r="B2609" s="138">
        <f>'Acct Summary 7-8'!G14</f>
        <v>63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384298</v>
      </c>
      <c r="C2612" s="2" t="s">
        <v>573</v>
      </c>
      <c r="D2612" s="2" t="str">
        <f t="shared" si="39"/>
        <v>Error?</v>
      </c>
    </row>
    <row r="2613" spans="1:4" x14ac:dyDescent="0.2">
      <c r="A2613" s="5">
        <v>2552</v>
      </c>
      <c r="B2613" s="138">
        <f>'Acct Summary 7-8'!G20</f>
        <v>22345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2178281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2178281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2180324</v>
      </c>
      <c r="C2634" s="2" t="s">
        <v>573</v>
      </c>
      <c r="D2634" s="2" t="str">
        <f t="shared" si="40"/>
        <v>Error?</v>
      </c>
    </row>
    <row r="2635" spans="1:4" x14ac:dyDescent="0.2">
      <c r="A2635" s="5">
        <v>2574</v>
      </c>
      <c r="B2635" s="138">
        <f>'Acct Summary 7-8'!E17</f>
        <v>2180324</v>
      </c>
      <c r="C2635" s="2" t="s">
        <v>573</v>
      </c>
      <c r="D2635" s="2" t="str">
        <f t="shared" si="40"/>
        <v>Error?</v>
      </c>
    </row>
    <row r="2636" spans="1:4" x14ac:dyDescent="0.2">
      <c r="A2636" s="5">
        <v>2575</v>
      </c>
      <c r="B2636" s="138">
        <f>'Acct Summary 7-8'!E20</f>
        <v>-2043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538616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538616</v>
      </c>
      <c r="C2658" s="2" t="s">
        <v>573</v>
      </c>
      <c r="D2658" s="2" t="str">
        <f t="shared" si="40"/>
        <v>Error?</v>
      </c>
    </row>
    <row r="2659" spans="1:4" x14ac:dyDescent="0.2">
      <c r="A2659" s="5">
        <v>2598</v>
      </c>
      <c r="B2659" s="138">
        <f>'Acct Summary 7-8'!H13</f>
        <v>16132003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16132003</v>
      </c>
      <c r="C2661" s="2" t="s">
        <v>573</v>
      </c>
      <c r="D2661" s="2" t="str">
        <f t="shared" si="40"/>
        <v>Error?</v>
      </c>
    </row>
    <row r="2662" spans="1:4" x14ac:dyDescent="0.2">
      <c r="A2662" s="5">
        <v>2601</v>
      </c>
      <c r="B2662" s="138">
        <f>'Acct Summary 7-8'!H20</f>
        <v>-15593387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24129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720982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135462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720982</v>
      </c>
      <c r="D2912" s="2" t="str">
        <f t="shared" si="44"/>
        <v>Error?</v>
      </c>
    </row>
    <row r="2913" spans="1:4" x14ac:dyDescent="0.2">
      <c r="A2913" s="5">
        <v>2852</v>
      </c>
      <c r="B2913" s="138">
        <f>'Assets-Liab 5-6'!I41</f>
        <v>720982</v>
      </c>
      <c r="C2913" s="2" t="s">
        <v>573</v>
      </c>
      <c r="D2913" s="2" t="str">
        <f t="shared" si="44"/>
        <v>Error?</v>
      </c>
    </row>
    <row r="2914" spans="1:4" x14ac:dyDescent="0.2">
      <c r="A2914" s="5">
        <v>2853</v>
      </c>
      <c r="B2914" s="138">
        <f>'Assets-Liab 5-6'!L33</f>
        <v>135462</v>
      </c>
      <c r="D2914" s="2" t="str">
        <f t="shared" si="44"/>
        <v>Error?</v>
      </c>
    </row>
    <row r="2915" spans="1:4" x14ac:dyDescent="0.2">
      <c r="A2915" s="10">
        <v>2854</v>
      </c>
      <c r="D2915" s="2" t="str">
        <f t="shared" si="44"/>
        <v>OK</v>
      </c>
    </row>
    <row r="2916" spans="1:4" x14ac:dyDescent="0.2">
      <c r="A2916" s="5">
        <v>2855</v>
      </c>
      <c r="B2916" s="138">
        <f>'Assets-Liab 5-6'!L34</f>
        <v>135462</v>
      </c>
      <c r="C2916" s="2" t="s">
        <v>573</v>
      </c>
      <c r="D2916" s="2" t="str">
        <f t="shared" si="44"/>
        <v>Error?</v>
      </c>
    </row>
    <row r="2917" spans="1:4" x14ac:dyDescent="0.2">
      <c r="A2917" s="5">
        <v>2856</v>
      </c>
      <c r="B2917" s="138">
        <f>'Assets-Liab 5-6'!L41</f>
        <v>135462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31879</v>
      </c>
      <c r="D3055" s="2" t="str">
        <f t="shared" si="46"/>
        <v>Error?</v>
      </c>
    </row>
    <row r="3056" spans="1:4" x14ac:dyDescent="0.2">
      <c r="A3056" s="5">
        <v>2995</v>
      </c>
      <c r="B3056" s="138">
        <f>'Expenditures 15-22'!D10</f>
        <v>10170</v>
      </c>
      <c r="D3056" s="2" t="str">
        <f t="shared" si="46"/>
        <v>Error?</v>
      </c>
    </row>
    <row r="3057" spans="1:4" x14ac:dyDescent="0.2">
      <c r="A3057" s="5">
        <v>2996</v>
      </c>
      <c r="B3057" s="138">
        <f>'Expenditures 15-22'!E10</f>
        <v>2938</v>
      </c>
      <c r="D3057" s="2" t="str">
        <f t="shared" si="46"/>
        <v>Error?</v>
      </c>
    </row>
    <row r="3058" spans="1:4" x14ac:dyDescent="0.2">
      <c r="A3058" s="5">
        <v>2997</v>
      </c>
      <c r="B3058" s="138">
        <f>'Expenditures 15-22'!F10</f>
        <v>91235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136222</v>
      </c>
      <c r="C3062" s="2" t="s">
        <v>573</v>
      </c>
      <c r="D3062" s="2" t="str">
        <f t="shared" si="46"/>
        <v>Error?</v>
      </c>
    </row>
    <row r="3063" spans="1:4" x14ac:dyDescent="0.2">
      <c r="A3063" s="10">
        <v>3002</v>
      </c>
      <c r="D3063" s="2" t="str">
        <f t="shared" si="46"/>
        <v>OK</v>
      </c>
    </row>
    <row r="3064" spans="1:4" x14ac:dyDescent="0.2">
      <c r="A3064" s="5">
        <v>3003</v>
      </c>
      <c r="B3064" s="138">
        <f>'Expenditures 15-22'!D219</f>
        <v>3648</v>
      </c>
      <c r="D3064" s="2" t="str">
        <f t="shared" si="46"/>
        <v>Error?</v>
      </c>
    </row>
    <row r="3065" spans="1:4" x14ac:dyDescent="0.2">
      <c r="A3065" s="5">
        <v>3004</v>
      </c>
      <c r="B3065" s="138">
        <f>'Expenditures 15-22'!K219</f>
        <v>3648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82926</v>
      </c>
      <c r="C3225" s="2" t="s">
        <v>573</v>
      </c>
      <c r="D3225" s="2" t="str">
        <f t="shared" si="49"/>
        <v>Error?</v>
      </c>
    </row>
    <row r="3226" spans="1:4" x14ac:dyDescent="0.2">
      <c r="A3226" s="5">
        <v>3165</v>
      </c>
      <c r="B3226" s="138">
        <f>'Acct Summary 7-8'!I8</f>
        <v>82926</v>
      </c>
      <c r="C3226" s="2" t="s">
        <v>573</v>
      </c>
      <c r="D3226" s="2" t="str">
        <f t="shared" si="49"/>
        <v>Error?</v>
      </c>
    </row>
    <row r="3227" spans="1:4" x14ac:dyDescent="0.2">
      <c r="A3227" s="5">
        <v>3166</v>
      </c>
      <c r="B3227" s="138">
        <f>'Acct Summary 7-8'!I20</f>
        <v>82926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500918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103890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-9391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22345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-2043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-15593387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82926</v>
      </c>
      <c r="C3320" s="2" t="s">
        <v>573</v>
      </c>
      <c r="D3320" s="2" t="str">
        <f t="shared" si="50"/>
        <v>Error?</v>
      </c>
    </row>
    <row r="3321" spans="1:4" x14ac:dyDescent="0.2">
      <c r="A3321" s="5">
        <v>3260</v>
      </c>
      <c r="B3321" s="138">
        <f>'Acct Summary 7-8'!I79</f>
        <v>638056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720982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1492372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435161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46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4796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1932375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50674</v>
      </c>
      <c r="D3387" s="2" t="str">
        <f t="shared" si="51"/>
        <v>Error?</v>
      </c>
    </row>
    <row r="3388" spans="1:4" x14ac:dyDescent="0.2">
      <c r="A3388" s="5">
        <v>3327</v>
      </c>
      <c r="B3388" s="138">
        <f>'Expenditures 15-22'!D217</f>
        <v>99781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50674</v>
      </c>
      <c r="C3390" s="2" t="s">
        <v>573</v>
      </c>
      <c r="D3390" s="2" t="str">
        <f t="shared" si="51"/>
        <v>Error?</v>
      </c>
    </row>
    <row r="3391" spans="1:4" x14ac:dyDescent="0.2">
      <c r="A3391" s="5">
        <v>3330</v>
      </c>
      <c r="B3391" s="138">
        <f>'Expenditures 15-22'!K217</f>
        <v>99781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3336443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337720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86238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16087</v>
      </c>
      <c r="D3425" s="2" t="str">
        <f t="shared" si="52"/>
        <v>Error?</v>
      </c>
    </row>
    <row r="3426" spans="1:4" x14ac:dyDescent="0.2">
      <c r="A3426" s="10">
        <v>3365</v>
      </c>
      <c r="D3426" s="2" t="str">
        <f t="shared" si="52"/>
        <v>OK</v>
      </c>
    </row>
    <row r="3427" spans="1:4" x14ac:dyDescent="0.2">
      <c r="A3427" s="5">
        <v>3366</v>
      </c>
      <c r="B3427" s="138">
        <f>'Assets-Liab 5-6'!I4</f>
        <v>696853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135462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214615</v>
      </c>
      <c r="C3446" s="2" t="s">
        <v>573</v>
      </c>
      <c r="D3446" s="2" t="str">
        <f t="shared" si="52"/>
        <v>Error?</v>
      </c>
    </row>
    <row r="3447" spans="1:4" x14ac:dyDescent="0.2">
      <c r="A3447" s="5">
        <v>3386</v>
      </c>
      <c r="B3447" s="138">
        <f>'Tax Sched 23'!D16</f>
        <v>213486</v>
      </c>
      <c r="C3447" s="2" t="s">
        <v>573</v>
      </c>
      <c r="D3447" s="2" t="str">
        <f t="shared" si="52"/>
        <v>Error?</v>
      </c>
    </row>
    <row r="3448" spans="1:4" x14ac:dyDescent="0.2">
      <c r="A3448" s="5">
        <v>3387</v>
      </c>
      <c r="B3448" s="138">
        <f>'Tax Sched 23'!C16</f>
        <v>1129</v>
      </c>
      <c r="D3448" s="2" t="str">
        <f t="shared" si="52"/>
        <v>Error?</v>
      </c>
    </row>
    <row r="3449" spans="1:4" x14ac:dyDescent="0.2">
      <c r="A3449" s="5">
        <v>3388</v>
      </c>
      <c r="B3449" s="138">
        <f>'Tax Sched 23'!F16</f>
        <v>219727</v>
      </c>
      <c r="C3449" s="2" t="s">
        <v>573</v>
      </c>
      <c r="D3449" s="2" t="str">
        <f t="shared" si="52"/>
        <v>Error?</v>
      </c>
    </row>
    <row r="3450" spans="1:4" x14ac:dyDescent="0.2">
      <c r="A3450" s="5">
        <v>3389</v>
      </c>
      <c r="B3450" s="138">
        <f>'Tax Sched 23'!E16</f>
        <v>220856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2281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2281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2094</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187</v>
      </c>
      <c r="D3567" s="2" t="str">
        <f t="shared" si="54"/>
        <v>Error?</v>
      </c>
    </row>
    <row r="3568" spans="1:4" x14ac:dyDescent="0.2">
      <c r="A3568" s="5">
        <v>3507</v>
      </c>
      <c r="B3568" s="138">
        <f>'Assets-Liab 5-6'!K41</f>
        <v>2281</v>
      </c>
      <c r="C3568" s="2" t="s">
        <v>573</v>
      </c>
      <c r="D3568" s="2" t="str">
        <f t="shared" si="54"/>
        <v>Error?</v>
      </c>
    </row>
    <row r="3569" spans="1:4" x14ac:dyDescent="0.2">
      <c r="A3569" s="5">
        <v>3508</v>
      </c>
      <c r="B3569" s="138">
        <f>'Acct Summary 7-8'!K4</f>
        <v>55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55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55</v>
      </c>
      <c r="C3588" s="2" t="s">
        <v>573</v>
      </c>
      <c r="D3588" s="2" t="str">
        <f t="shared" si="55"/>
        <v>Error?</v>
      </c>
    </row>
    <row r="3589" spans="1:4" x14ac:dyDescent="0.2">
      <c r="A3589" s="5">
        <v>3528</v>
      </c>
      <c r="B3589" s="138">
        <f>'Acct Summary 7-8'!K79</f>
        <v>132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79652</v>
      </c>
      <c r="C3725" s="2" t="s">
        <v>573</v>
      </c>
      <c r="D3725" s="2" t="str">
        <f t="shared" si="57"/>
        <v>Error?</v>
      </c>
    </row>
    <row r="3726" spans="1:4" x14ac:dyDescent="0.2">
      <c r="A3726" s="5">
        <v>3665</v>
      </c>
      <c r="B3726" s="138">
        <f>'Tax Sched 23'!D13</f>
        <v>79234</v>
      </c>
      <c r="C3726" s="2" t="s">
        <v>573</v>
      </c>
      <c r="D3726" s="2" t="str">
        <f t="shared" si="57"/>
        <v>Error?</v>
      </c>
    </row>
    <row r="3727" spans="1:4" x14ac:dyDescent="0.2">
      <c r="A3727" s="5">
        <v>3666</v>
      </c>
      <c r="B3727" s="138">
        <f>'Tax Sched 23'!C13</f>
        <v>418</v>
      </c>
      <c r="D3727" s="2" t="str">
        <f t="shared" si="57"/>
        <v>Error?</v>
      </c>
    </row>
    <row r="3728" spans="1:4" x14ac:dyDescent="0.2">
      <c r="A3728" s="5">
        <v>3667</v>
      </c>
      <c r="B3728" s="138">
        <f>'Tax Sched 23'!F13</f>
        <v>79788</v>
      </c>
      <c r="C3728" s="2" t="s">
        <v>573</v>
      </c>
      <c r="D3728" s="2" t="str">
        <f t="shared" si="57"/>
        <v>Error?</v>
      </c>
    </row>
    <row r="3729" spans="1:4" x14ac:dyDescent="0.2">
      <c r="A3729" s="5">
        <v>3668</v>
      </c>
      <c r="B3729" s="138">
        <f>'Tax Sched 23'!E13</f>
        <v>80206</v>
      </c>
      <c r="D3729" s="2" t="str">
        <f t="shared" si="57"/>
        <v>Error?</v>
      </c>
    </row>
    <row r="3730" spans="1:4" x14ac:dyDescent="0.2">
      <c r="A3730" s="5">
        <v>3669</v>
      </c>
      <c r="B3730" s="138">
        <f>'ICR Computation 30'!E10</f>
        <v>293055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4454547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16946694</v>
      </c>
      <c r="C4122" s="2" t="s">
        <v>573</v>
      </c>
      <c r="D4122" s="2" t="str">
        <f t="shared" si="63"/>
        <v>Error?</v>
      </c>
    </row>
    <row r="4123" spans="1:4" x14ac:dyDescent="0.2">
      <c r="A4123" s="5">
        <v>4062</v>
      </c>
      <c r="B4123" s="138">
        <f>'Acct Summary 7-8'!D10</f>
        <v>846487</v>
      </c>
      <c r="C4123" s="2" t="s">
        <v>573</v>
      </c>
      <c r="D4123" s="2" t="str">
        <f t="shared" si="63"/>
        <v>Error?</v>
      </c>
    </row>
    <row r="4124" spans="1:4" x14ac:dyDescent="0.2">
      <c r="A4124" s="5">
        <v>4063</v>
      </c>
      <c r="B4124" s="138">
        <f>'Acct Summary 7-8'!E10</f>
        <v>2178281</v>
      </c>
      <c r="C4124" s="2" t="s">
        <v>573</v>
      </c>
      <c r="D4124" s="2" t="str">
        <f t="shared" si="63"/>
        <v>Error?</v>
      </c>
    </row>
    <row r="4125" spans="1:4" x14ac:dyDescent="0.2">
      <c r="A4125" s="5">
        <v>4064</v>
      </c>
      <c r="B4125" s="138">
        <f>'Acct Summary 7-8'!F10</f>
        <v>859466</v>
      </c>
      <c r="C4125" s="2" t="s">
        <v>573</v>
      </c>
      <c r="D4125" s="2" t="str">
        <f t="shared" si="63"/>
        <v>Error?</v>
      </c>
    </row>
    <row r="4126" spans="1:4" x14ac:dyDescent="0.2">
      <c r="A4126" s="5">
        <v>4065</v>
      </c>
      <c r="B4126" s="138">
        <f>'Acct Summary 7-8'!G10</f>
        <v>406643</v>
      </c>
      <c r="C4126" s="2" t="s">
        <v>573</v>
      </c>
      <c r="D4126" s="2" t="str">
        <f t="shared" si="63"/>
        <v>Error?</v>
      </c>
    </row>
    <row r="4127" spans="1:4" x14ac:dyDescent="0.2">
      <c r="A4127" s="5">
        <v>4066</v>
      </c>
      <c r="B4127" s="138">
        <f>'Acct Summary 7-8'!H10</f>
        <v>538616</v>
      </c>
      <c r="C4127" s="2" t="s">
        <v>573</v>
      </c>
      <c r="D4127" s="2" t="str">
        <f t="shared" si="63"/>
        <v>Error?</v>
      </c>
    </row>
    <row r="4128" spans="1:4" x14ac:dyDescent="0.2">
      <c r="A4128" s="5">
        <v>4067</v>
      </c>
      <c r="B4128" s="138">
        <f>'Acct Summary 7-8'!I10</f>
        <v>82926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55</v>
      </c>
      <c r="C4130" s="2" t="s">
        <v>573</v>
      </c>
      <c r="D4130" s="2" t="str">
        <f t="shared" si="63"/>
        <v>Error?</v>
      </c>
    </row>
    <row r="4131" spans="1:4" x14ac:dyDescent="0.2">
      <c r="A4131" s="5">
        <v>4070</v>
      </c>
      <c r="B4131" s="138">
        <f>'Acct Summary 7-8'!C18</f>
        <v>4454547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16445776</v>
      </c>
      <c r="C4136" s="2" t="s">
        <v>573</v>
      </c>
      <c r="D4136" s="2" t="str">
        <f t="shared" si="63"/>
        <v>Error?</v>
      </c>
    </row>
    <row r="4137" spans="1:4" x14ac:dyDescent="0.2">
      <c r="A4137" s="5">
        <v>4076</v>
      </c>
      <c r="B4137" s="138">
        <f>'Acct Summary 7-8'!D19</f>
        <v>742597</v>
      </c>
      <c r="C4137" s="2" t="s">
        <v>573</v>
      </c>
      <c r="D4137" s="2" t="str">
        <f t="shared" si="63"/>
        <v>Error?</v>
      </c>
    </row>
    <row r="4138" spans="1:4" x14ac:dyDescent="0.2">
      <c r="A4138" s="5">
        <v>4077</v>
      </c>
      <c r="B4138" s="138">
        <f>'Acct Summary 7-8'!E19</f>
        <v>2180324</v>
      </c>
      <c r="C4138" s="2" t="s">
        <v>573</v>
      </c>
      <c r="D4138" s="2" t="str">
        <f t="shared" si="63"/>
        <v>Error?</v>
      </c>
    </row>
    <row r="4139" spans="1:4" x14ac:dyDescent="0.2">
      <c r="A4139" s="5">
        <v>4078</v>
      </c>
      <c r="B4139" s="138">
        <f>'Acct Summary 7-8'!F19</f>
        <v>868857</v>
      </c>
      <c r="C4139" s="2" t="s">
        <v>573</v>
      </c>
      <c r="D4139" s="2" t="str">
        <f t="shared" si="63"/>
        <v>Error?</v>
      </c>
    </row>
    <row r="4140" spans="1:4" x14ac:dyDescent="0.2">
      <c r="A4140" s="5">
        <v>4079</v>
      </c>
      <c r="B4140" s="138">
        <f>'Acct Summary 7-8'!G19</f>
        <v>384298</v>
      </c>
      <c r="C4140" s="2" t="s">
        <v>573</v>
      </c>
      <c r="D4140" s="2" t="str">
        <f t="shared" si="63"/>
        <v>Error?</v>
      </c>
    </row>
    <row r="4141" spans="1:4" x14ac:dyDescent="0.2">
      <c r="A4141" s="5">
        <v>4080</v>
      </c>
      <c r="B4141" s="138">
        <f>'Acct Summary 7-8'!H19</f>
        <v>16132003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32065000</v>
      </c>
      <c r="C4171" s="2" t="s">
        <v>573</v>
      </c>
      <c r="D4171" s="2" t="str">
        <f t="shared" si="64"/>
        <v>Error?</v>
      </c>
    </row>
    <row r="4172" spans="1:4" x14ac:dyDescent="0.2">
      <c r="A4172" s="5">
        <v>4111</v>
      </c>
      <c r="B4172" s="138">
        <f>'Short-Term Long-Term Debt 24'!J49</f>
        <v>31975984</v>
      </c>
      <c r="C4172" s="2" t="s">
        <v>573</v>
      </c>
      <c r="D4172" s="2" t="str">
        <f t="shared" si="64"/>
        <v>Error?</v>
      </c>
    </row>
    <row r="4173" spans="1:4" x14ac:dyDescent="0.2">
      <c r="A4173" s="5">
        <v>4112</v>
      </c>
      <c r="B4173" s="138">
        <f>'Short-Term Long-Term Debt 24'!H49</f>
        <v>805000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3649.9999999999995</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4350</v>
      </c>
      <c r="C4268" s="2" t="s">
        <v>573</v>
      </c>
      <c r="D4268" s="2" t="str">
        <f t="shared" si="65"/>
        <v>Error?</v>
      </c>
    </row>
    <row r="4269" spans="1:5" x14ac:dyDescent="0.2">
      <c r="A4269" s="12">
        <v>4208</v>
      </c>
      <c r="B4269" s="138">
        <f>'FP Info 3'!J16</f>
        <v>6621407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21104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18880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31477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2617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174589487</v>
      </c>
      <c r="D4995" s="2" t="str">
        <f t="shared" si="77"/>
        <v>Error?</v>
      </c>
    </row>
    <row r="4996" spans="1:4" x14ac:dyDescent="0.2">
      <c r="A4996" s="12">
        <v>4935</v>
      </c>
      <c r="B4996" s="138">
        <f>'FP Info 3'!H31</f>
        <v>24093349.206</v>
      </c>
      <c r="D4996" s="2" t="str">
        <f t="shared" si="77"/>
        <v>Error?</v>
      </c>
    </row>
    <row r="4997" spans="1:4" x14ac:dyDescent="0.2">
      <c r="A4997" s="12">
        <v>4936</v>
      </c>
      <c r="B4997" s="138">
        <f>'FP Info 3'!H37</f>
        <v>32065000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79652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6007258</v>
      </c>
      <c r="D5061" s="2" t="str">
        <f t="shared" si="78"/>
        <v>Error?</v>
      </c>
    </row>
    <row r="5062" spans="1:4" x14ac:dyDescent="0.2">
      <c r="A5062" s="10">
        <v>5001</v>
      </c>
      <c r="D5062" s="2" t="str">
        <f t="shared" si="78"/>
        <v>OK</v>
      </c>
    </row>
    <row r="5063" spans="1:4" x14ac:dyDescent="0.2">
      <c r="A5063" s="5">
        <v>5002</v>
      </c>
      <c r="B5063" s="138">
        <f>'Revenues 9-14'!C7</f>
        <v>65849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6152759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279649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279649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51705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51705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225346</v>
      </c>
      <c r="C5096" s="2" t="s">
        <v>573</v>
      </c>
      <c r="D5096" s="2" t="str">
        <f t="shared" si="78"/>
        <v>Error?</v>
      </c>
    </row>
    <row r="5097" spans="1:4" x14ac:dyDescent="0.2">
      <c r="A5097" s="5">
        <v>5036</v>
      </c>
      <c r="B5097" s="138">
        <f>'Revenues 9-14'!C77</f>
        <v>51385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10991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62376</v>
      </c>
      <c r="C5102" s="2" t="s">
        <v>573</v>
      </c>
      <c r="D5102" s="2" t="str">
        <f t="shared" si="78"/>
        <v>Error?</v>
      </c>
    </row>
    <row r="5103" spans="1:4" x14ac:dyDescent="0.2">
      <c r="A5103" s="5">
        <v>5042</v>
      </c>
      <c r="B5103" s="138">
        <f>'Revenues 9-14'!C84</f>
        <v>96600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96600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73040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41447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45553</v>
      </c>
      <c r="D5119" s="2" t="str">
        <f t="shared" ref="D5119:D5182" si="79">IF(ISBLANK(B5119),"OK",IF(A5119-B5119=0,"OK","Error?"))</f>
        <v>Error?</v>
      </c>
    </row>
    <row r="5120" spans="1:4" x14ac:dyDescent="0.2">
      <c r="A5120" s="5">
        <v>5059</v>
      </c>
      <c r="B5120" s="138">
        <f>'Revenues 9-14'!C108</f>
        <v>167798</v>
      </c>
      <c r="C5120" s="2" t="s">
        <v>573</v>
      </c>
      <c r="D5120" s="2" t="str">
        <f t="shared" si="79"/>
        <v>Error?</v>
      </c>
    </row>
    <row r="5121" spans="1:4" x14ac:dyDescent="0.2">
      <c r="A5121" s="5">
        <v>5060</v>
      </c>
      <c r="B5121" s="138">
        <f>'Revenues 9-14'!C109</f>
        <v>7036233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4071949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4071949</v>
      </c>
      <c r="C5132" s="2" t="s">
        <v>573</v>
      </c>
      <c r="D5132" s="2" t="str">
        <f t="shared" si="79"/>
        <v>Error?</v>
      </c>
    </row>
    <row r="5133" spans="1:4" x14ac:dyDescent="0.2">
      <c r="A5133" s="5">
        <v>5072</v>
      </c>
      <c r="B5133" s="138">
        <f>'Revenues 9-14'!C125</f>
        <v>208824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14771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223595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25392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35455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7072</v>
      </c>
      <c r="D5167" s="2" t="str">
        <f t="shared" si="79"/>
        <v>Error?</v>
      </c>
    </row>
    <row r="5168" spans="1:4" x14ac:dyDescent="0.2">
      <c r="A5168" s="5">
        <v>5107</v>
      </c>
      <c r="B5168" s="138">
        <f>'Revenues 9-14'!C148</f>
        <v>20802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30538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320079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4392028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310141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80092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390233</v>
      </c>
      <c r="C5246" s="2" t="s">
        <v>573</v>
      </c>
      <c r="D5246" s="2" t="str">
        <f t="shared" si="80"/>
        <v>Error?</v>
      </c>
    </row>
    <row r="5247" spans="1:4" x14ac:dyDescent="0.2">
      <c r="A5247" s="5">
        <v>5186</v>
      </c>
      <c r="B5247" s="138">
        <f>'Revenues 9-14'!C200</f>
        <v>314652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18880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314652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287540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287540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1063886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1063886</v>
      </c>
      <c r="C5326" s="2" t="s">
        <v>573</v>
      </c>
      <c r="D5326" s="2" t="str">
        <f t="shared" si="82"/>
        <v>Error?</v>
      </c>
    </row>
    <row r="5327" spans="1:5" x14ac:dyDescent="0.2">
      <c r="A5327" s="5">
        <v>5266</v>
      </c>
      <c r="B5327" s="138">
        <f>'Revenues 9-14'!C268</f>
        <v>12492147</v>
      </c>
      <c r="C5327" s="2" t="s">
        <v>573</v>
      </c>
      <c r="D5327" s="2" t="str">
        <f t="shared" si="82"/>
        <v>Error?</v>
      </c>
    </row>
    <row r="5328" spans="1:5" x14ac:dyDescent="0.2">
      <c r="A5328" s="5">
        <v>5267</v>
      </c>
      <c r="B5328" s="138">
        <f>'Revenues 9-14'!D5</f>
        <v>822914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822914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6380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6380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8659</v>
      </c>
      <c r="D5349" s="2" t="str">
        <f t="shared" si="82"/>
        <v>Error?</v>
      </c>
    </row>
    <row r="5350" spans="1:4" x14ac:dyDescent="0.2">
      <c r="A5350" s="5">
        <v>5289</v>
      </c>
      <c r="B5350" s="138">
        <f>'Revenues 9-14'!D96</f>
        <v>7000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1534</v>
      </c>
      <c r="D5354" s="2" t="str">
        <f t="shared" si="82"/>
        <v>Error?</v>
      </c>
    </row>
    <row r="5355" spans="1:4" x14ac:dyDescent="0.2">
      <c r="A5355" s="5">
        <v>5294</v>
      </c>
      <c r="B5355" s="138">
        <f>'Revenues 9-14'!D108</f>
        <v>17193</v>
      </c>
      <c r="C5355" s="2" t="s">
        <v>573</v>
      </c>
      <c r="D5355" s="2" t="str">
        <f t="shared" si="82"/>
        <v>Error?</v>
      </c>
    </row>
    <row r="5356" spans="1:4" x14ac:dyDescent="0.2">
      <c r="A5356" s="5">
        <v>5295</v>
      </c>
      <c r="B5356" s="138">
        <f>'Revenues 9-14'!D109</f>
        <v>846487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846487</v>
      </c>
      <c r="C5508" s="2" t="s">
        <v>573</v>
      </c>
      <c r="D5508" s="2" t="str">
        <f t="shared" si="85"/>
        <v>Error?</v>
      </c>
    </row>
    <row r="5509" spans="1:4" x14ac:dyDescent="0.2">
      <c r="A5509" s="5">
        <v>5448</v>
      </c>
      <c r="B5509" s="138">
        <f>'Revenues 9-14'!E5</f>
        <v>2162044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2162044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16237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16237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2178281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2178281</v>
      </c>
      <c r="C5552" s="2" t="s">
        <v>573</v>
      </c>
      <c r="D5552" s="2" t="str">
        <f t="shared" si="85"/>
        <v>Error?</v>
      </c>
    </row>
    <row r="5553" spans="1:4" x14ac:dyDescent="0.2">
      <c r="A5553" s="5">
        <v>5492</v>
      </c>
      <c r="B5553" s="138">
        <f>'Revenues 9-14'!F5</f>
        <v>329169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329169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2552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2552</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181</v>
      </c>
      <c r="D5586" s="2" t="str">
        <f t="shared" si="86"/>
        <v>Error?</v>
      </c>
    </row>
    <row r="5587" spans="1:4" x14ac:dyDescent="0.2">
      <c r="A5587" s="5">
        <v>5526</v>
      </c>
      <c r="B5587" s="138">
        <f>'Revenues 9-14'!F108</f>
        <v>181</v>
      </c>
      <c r="C5587" s="2" t="s">
        <v>573</v>
      </c>
      <c r="D5587" s="2" t="str">
        <f t="shared" si="86"/>
        <v>Error?</v>
      </c>
    </row>
    <row r="5588" spans="1:4" x14ac:dyDescent="0.2">
      <c r="A5588" s="5">
        <v>5527</v>
      </c>
      <c r="B5588" s="138">
        <f>'Revenues 9-14'!F109</f>
        <v>331902</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263441</v>
      </c>
      <c r="D5615" s="2" t="str">
        <f t="shared" si="86"/>
        <v>Error?</v>
      </c>
    </row>
    <row r="5616" spans="1:4" x14ac:dyDescent="0.2">
      <c r="A5616" s="10">
        <v>5555</v>
      </c>
      <c r="D5616" s="2" t="str">
        <f t="shared" si="86"/>
        <v>OK</v>
      </c>
    </row>
    <row r="5617" spans="1:5" x14ac:dyDescent="0.2">
      <c r="A5617" s="5">
        <v>5556</v>
      </c>
      <c r="B5617" s="138">
        <f>'Revenues 9-14'!F153</f>
        <v>164123</v>
      </c>
      <c r="D5617" s="2" t="str">
        <f t="shared" si="86"/>
        <v>Error?</v>
      </c>
    </row>
    <row r="5618" spans="1:5" x14ac:dyDescent="0.2">
      <c r="A5618" s="5">
        <v>5557</v>
      </c>
      <c r="B5618" s="138">
        <f>'Revenues 9-14'!F155</f>
        <v>427564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427564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527564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859466</v>
      </c>
      <c r="C5720" s="2" t="s">
        <v>573</v>
      </c>
      <c r="D5720" s="2" t="str">
        <f t="shared" si="88"/>
        <v>Error?</v>
      </c>
    </row>
    <row r="5721" spans="1:4" x14ac:dyDescent="0.2">
      <c r="A5721" s="5">
        <v>5660</v>
      </c>
      <c r="B5721" s="138">
        <f>'Revenues 9-14'!G5</f>
        <v>178904</v>
      </c>
      <c r="D5721" s="2" t="str">
        <f t="shared" si="88"/>
        <v>Error?</v>
      </c>
    </row>
    <row r="5722" spans="1:4" x14ac:dyDescent="0.2">
      <c r="A5722" s="5">
        <v>5661</v>
      </c>
      <c r="B5722" s="138">
        <f>'Revenues 9-14'!G7</f>
        <v>0</v>
      </c>
      <c r="D5722" s="2" t="str">
        <f t="shared" si="88"/>
        <v>Error?</v>
      </c>
    </row>
    <row r="5723" spans="1:4" x14ac:dyDescent="0.2">
      <c r="A5723" s="5">
        <v>5662</v>
      </c>
      <c r="B5723" s="138">
        <f>'Revenues 9-14'!G8</f>
        <v>214615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393519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10143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10143</v>
      </c>
      <c r="C5730" s="2" t="s">
        <v>573</v>
      </c>
      <c r="D5730" s="2" t="str">
        <f t="shared" si="88"/>
        <v>Error?</v>
      </c>
    </row>
    <row r="5731" spans="1:4" x14ac:dyDescent="0.2">
      <c r="A5731" s="5">
        <v>5670</v>
      </c>
      <c r="B5731" s="138">
        <f>'Revenues 9-14'!G65</f>
        <v>2981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2981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406643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525376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525376</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4136</v>
      </c>
      <c r="D5885" s="2" t="str">
        <f t="shared" si="90"/>
        <v>Error?</v>
      </c>
    </row>
    <row r="5886" spans="1:4" x14ac:dyDescent="0.2">
      <c r="A5886" s="5">
        <v>5825</v>
      </c>
      <c r="B5886" s="138">
        <f>'Revenues 9-14'!H108</f>
        <v>13240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538616</v>
      </c>
      <c r="C5915" s="2" t="s">
        <v>573</v>
      </c>
      <c r="D5915" s="2" t="str">
        <f t="shared" si="91"/>
        <v>Error?</v>
      </c>
    </row>
    <row r="5916" spans="1:4" x14ac:dyDescent="0.2">
      <c r="A5916" s="5">
        <v>5855</v>
      </c>
      <c r="B5916" s="138">
        <f>'Revenues 9-14'!I5</f>
        <v>82288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82288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638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82926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55</v>
      </c>
      <c r="C6023" s="2" t="s">
        <v>573</v>
      </c>
      <c r="D6023" s="2" t="str">
        <f t="shared" si="93"/>
        <v>Error?</v>
      </c>
    </row>
    <row r="6024" spans="1:5" x14ac:dyDescent="0.2">
      <c r="A6024" s="5">
        <v>5963</v>
      </c>
      <c r="B6024" s="138">
        <f>'Revenues 9-14'!G109</f>
        <v>406643</v>
      </c>
      <c r="C6024" s="2" t="s">
        <v>573</v>
      </c>
      <c r="D6024" s="2" t="str">
        <f t="shared" si="93"/>
        <v>Error?</v>
      </c>
    </row>
    <row r="6025" spans="1:5" x14ac:dyDescent="0.2">
      <c r="A6025" s="5">
        <v>5964</v>
      </c>
      <c r="B6025" s="138">
        <f>'Revenues 9-14'!H109</f>
        <v>538616</v>
      </c>
      <c r="C6025" s="2" t="s">
        <v>573</v>
      </c>
      <c r="D6025" s="2" t="str">
        <f t="shared" si="93"/>
        <v>Error?</v>
      </c>
    </row>
    <row r="6026" spans="1:5" x14ac:dyDescent="0.2">
      <c r="A6026" s="5">
        <v>5965</v>
      </c>
      <c r="B6026" s="138">
        <f>'Revenues 9-14'!I109</f>
        <v>82926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225226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43645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1227.5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529649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523067</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6978</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2094</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529649</v>
      </c>
      <c r="D6215" s="2" t="str">
        <f t="shared" si="96"/>
        <v>Error?</v>
      </c>
      <c r="E6215" s="2" t="s">
        <v>190</v>
      </c>
    </row>
    <row r="6216" spans="1:5" x14ac:dyDescent="0.2">
      <c r="A6216">
        <v>6155</v>
      </c>
      <c r="B6216" s="138">
        <f>'Assets-Liab 5-6'!J41</f>
        <v>529649</v>
      </c>
      <c r="D6216" s="2" t="str">
        <f t="shared" si="96"/>
        <v>Error?</v>
      </c>
      <c r="E6216" s="2" t="s">
        <v>190</v>
      </c>
    </row>
    <row r="6217" spans="1:5" x14ac:dyDescent="0.2">
      <c r="A6217">
        <v>6156</v>
      </c>
      <c r="B6217" s="138">
        <f>'Assets-Liab 5-6'!J4</f>
        <v>445334</v>
      </c>
      <c r="D6217" s="2" t="str">
        <f t="shared" si="96"/>
        <v>Error?</v>
      </c>
      <c r="E6217" s="2" t="s">
        <v>190</v>
      </c>
    </row>
    <row r="6218" spans="1:5" x14ac:dyDescent="0.2">
      <c r="A6218">
        <v>6157</v>
      </c>
      <c r="B6218" s="138">
        <f>'Assets-Liab 5-6'!J5</f>
        <v>84315</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280361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280361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280361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210333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210333</v>
      </c>
      <c r="D6229" s="2" t="str">
        <f t="shared" si="96"/>
        <v>Error?</v>
      </c>
      <c r="E6229" s="2" t="s">
        <v>190</v>
      </c>
    </row>
    <row r="6230" spans="1:5" x14ac:dyDescent="0.2">
      <c r="A6230">
        <v>6169</v>
      </c>
      <c r="B6230" s="138">
        <f>'Acct Summary 7-8'!J20</f>
        <v>70028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70028</v>
      </c>
      <c r="D6263" s="2" t="str">
        <f t="shared" si="96"/>
        <v>Error?</v>
      </c>
      <c r="E6263" s="2" t="s">
        <v>190</v>
      </c>
    </row>
    <row r="6264" spans="1:5" x14ac:dyDescent="0.2">
      <c r="A6264">
        <v>6203</v>
      </c>
      <c r="B6264" s="138">
        <f>'Acct Summary 7-8'!J79</f>
        <v>459621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529649</v>
      </c>
      <c r="D6266" s="2" t="str">
        <f t="shared" si="96"/>
        <v>Error?</v>
      </c>
      <c r="E6266" s="2" t="s">
        <v>190</v>
      </c>
    </row>
    <row r="6267" spans="1:5" x14ac:dyDescent="0.2">
      <c r="A6267">
        <v>6206</v>
      </c>
      <c r="B6267" s="138">
        <f>'Acct Summary 7-8'!C82</f>
        <v>500918</v>
      </c>
      <c r="D6267" s="2" t="str">
        <f t="shared" si="96"/>
        <v>Error?</v>
      </c>
      <c r="E6267" s="2" t="s">
        <v>190</v>
      </c>
    </row>
    <row r="6268" spans="1:5" x14ac:dyDescent="0.2">
      <c r="A6268">
        <v>6207</v>
      </c>
      <c r="B6268" s="138">
        <f>'Acct Summary 7-8'!D82</f>
        <v>103890</v>
      </c>
      <c r="D6268" s="2" t="str">
        <f t="shared" si="96"/>
        <v>Error?</v>
      </c>
      <c r="E6268" s="2" t="s">
        <v>190</v>
      </c>
    </row>
    <row r="6269" spans="1:5" x14ac:dyDescent="0.2">
      <c r="A6269">
        <v>6208</v>
      </c>
      <c r="B6269" s="138">
        <f>'Acct Summary 7-8'!E82</f>
        <v>-2043</v>
      </c>
      <c r="D6269" s="2" t="str">
        <f t="shared" si="96"/>
        <v>Error?</v>
      </c>
      <c r="E6269" s="2" t="s">
        <v>190</v>
      </c>
    </row>
    <row r="6270" spans="1:5" x14ac:dyDescent="0.2">
      <c r="A6270">
        <v>6209</v>
      </c>
      <c r="B6270" s="138">
        <f>'Acct Summary 7-8'!F82</f>
        <v>-9391</v>
      </c>
      <c r="D6270" s="2" t="str">
        <f t="shared" si="96"/>
        <v>Error?</v>
      </c>
      <c r="E6270" s="2" t="s">
        <v>190</v>
      </c>
    </row>
    <row r="6271" spans="1:5" x14ac:dyDescent="0.2">
      <c r="A6271">
        <v>6210</v>
      </c>
      <c r="B6271" s="138">
        <f>'Acct Summary 7-8'!G82</f>
        <v>22345</v>
      </c>
      <c r="D6271" s="2" t="str">
        <f t="shared" ref="D6271:D6334" si="97">IF(ISBLANK(B6271),"OK",IF(A6271-B6271=0,"OK","Error?"))</f>
        <v>Error?</v>
      </c>
      <c r="E6271" s="2" t="s">
        <v>190</v>
      </c>
    </row>
    <row r="6272" spans="1:5" x14ac:dyDescent="0.2">
      <c r="A6272">
        <v>6211</v>
      </c>
      <c r="B6272" s="138">
        <f>'Acct Summary 7-8'!H82</f>
        <v>-15593387</v>
      </c>
      <c r="D6272" s="2" t="str">
        <f t="shared" si="97"/>
        <v>Error?</v>
      </c>
      <c r="E6272" s="2" t="s">
        <v>190</v>
      </c>
    </row>
    <row r="6273" spans="1:5" x14ac:dyDescent="0.2">
      <c r="A6273">
        <v>6212</v>
      </c>
      <c r="B6273" s="138">
        <f>'Acct Summary 7-8'!I82</f>
        <v>82926</v>
      </c>
      <c r="D6273" s="2" t="str">
        <f t="shared" si="97"/>
        <v>Error?</v>
      </c>
      <c r="E6273" s="2" t="s">
        <v>190</v>
      </c>
    </row>
    <row r="6274" spans="1:5" x14ac:dyDescent="0.2">
      <c r="A6274">
        <v>6213</v>
      </c>
      <c r="B6274" s="138">
        <f>'Acct Summary 7-8'!J82</f>
        <v>70028</v>
      </c>
      <c r="D6274" s="2" t="str">
        <f t="shared" si="97"/>
        <v>Error?</v>
      </c>
      <c r="E6274" s="2" t="s">
        <v>190</v>
      </c>
    </row>
    <row r="6275" spans="1:5" x14ac:dyDescent="0.2">
      <c r="A6275">
        <v>6214</v>
      </c>
      <c r="B6275" s="138">
        <f>'Acct Summary 7-8'!K82</f>
        <v>55</v>
      </c>
      <c r="D6275" s="2" t="str">
        <f t="shared" si="97"/>
        <v>Error?</v>
      </c>
      <c r="E6275" s="2" t="s">
        <v>190</v>
      </c>
    </row>
    <row r="6276" spans="1:5" x14ac:dyDescent="0.2">
      <c r="A6276">
        <v>6215</v>
      </c>
      <c r="B6276" s="138">
        <f>'Acct Summary 7-8'!C83</f>
        <v>9.7480466659531195E-2</v>
      </c>
      <c r="D6276" s="2" t="str">
        <f t="shared" si="97"/>
        <v>Error?</v>
      </c>
      <c r="E6276" s="2" t="s">
        <v>190</v>
      </c>
    </row>
    <row r="6277" spans="1:5" x14ac:dyDescent="0.2">
      <c r="A6277">
        <v>6216</v>
      </c>
      <c r="B6277" s="138">
        <f>'Acct Summary 7-8'!D83</f>
        <v>0.17942478372828433</v>
      </c>
      <c r="D6277" s="2" t="str">
        <f t="shared" si="97"/>
        <v>Error?</v>
      </c>
      <c r="E6277" s="2" t="s">
        <v>190</v>
      </c>
    </row>
    <row r="6278" spans="1:5" x14ac:dyDescent="0.2">
      <c r="A6278">
        <v>6217</v>
      </c>
      <c r="B6278" s="138">
        <f>'Acct Summary 7-8'!E83</f>
        <v>-2.2950930169857105E-2</v>
      </c>
      <c r="D6278" s="2" t="str">
        <f t="shared" si="97"/>
        <v>Error?</v>
      </c>
      <c r="E6278" s="2" t="s">
        <v>190</v>
      </c>
    </row>
    <row r="6279" spans="1:5" x14ac:dyDescent="0.2">
      <c r="A6279">
        <v>6218</v>
      </c>
      <c r="B6279" s="138">
        <f>'Acct Summary 7-8'!F83</f>
        <v>-5.1384891495857912E-2</v>
      </c>
      <c r="D6279" s="2" t="str">
        <f t="shared" si="97"/>
        <v>Error?</v>
      </c>
      <c r="E6279" s="2" t="s">
        <v>190</v>
      </c>
    </row>
    <row r="6280" spans="1:5" x14ac:dyDescent="0.2">
      <c r="A6280">
        <v>6219</v>
      </c>
      <c r="B6280" s="138">
        <f>'Acct Summary 7-8'!G83</f>
        <v>0.21183709068845868</v>
      </c>
      <c r="D6280" s="2" t="str">
        <f t="shared" si="97"/>
        <v>Error?</v>
      </c>
      <c r="E6280" s="2" t="s">
        <v>190</v>
      </c>
    </row>
    <row r="6281" spans="1:5" x14ac:dyDescent="0.2">
      <c r="A6281">
        <v>6220</v>
      </c>
      <c r="B6281" s="138">
        <f>'Acct Summary 7-8'!H83</f>
        <v>-1.2094289059132184</v>
      </c>
      <c r="D6281" s="2" t="str">
        <f t="shared" si="97"/>
        <v>Error?</v>
      </c>
      <c r="E6281" s="2" t="s">
        <v>190</v>
      </c>
    </row>
    <row r="6282" spans="1:5" x14ac:dyDescent="0.2">
      <c r="A6282">
        <v>6221</v>
      </c>
      <c r="B6282" s="138">
        <f>'Acct Summary 7-8'!I83</f>
        <v>0.11501812805312754</v>
      </c>
      <c r="D6282" s="2" t="str">
        <f t="shared" si="97"/>
        <v>Error?</v>
      </c>
      <c r="E6282" s="2" t="s">
        <v>190</v>
      </c>
    </row>
    <row r="6283" spans="1:5" x14ac:dyDescent="0.2">
      <c r="A6283">
        <v>6222</v>
      </c>
      <c r="B6283" s="138">
        <f>'Acct Summary 7-8'!J83</f>
        <v>0.13221586371351593</v>
      </c>
      <c r="D6283" s="2" t="str">
        <f t="shared" si="97"/>
        <v>Error?</v>
      </c>
      <c r="E6283" s="2" t="s">
        <v>190</v>
      </c>
    </row>
    <row r="6284" spans="1:5" x14ac:dyDescent="0.2">
      <c r="A6284">
        <v>6223</v>
      </c>
      <c r="B6284" s="138">
        <f>'Acct Summary 7-8'!K83</f>
        <v>0.29411764705882354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278140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278140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2221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2221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7758</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280361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10063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103206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908266</v>
      </c>
      <c r="D6983" s="2" t="str">
        <f t="shared" si="108"/>
        <v>Error?</v>
      </c>
    </row>
    <row r="6984" spans="1:4" x14ac:dyDescent="0.2">
      <c r="A6984">
        <v>6923</v>
      </c>
      <c r="B6984" s="138">
        <f>'Expenditures 15-22'!K86</f>
        <v>908266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8739</v>
      </c>
      <c r="D6993" s="2" t="str">
        <f t="shared" si="108"/>
        <v>Error?</v>
      </c>
    </row>
    <row r="6994" spans="1:4" x14ac:dyDescent="0.2">
      <c r="A6994">
        <v>6933</v>
      </c>
      <c r="B6994" s="138">
        <f>'Expenditures 15-22'!K91</f>
        <v>8739</v>
      </c>
      <c r="D6994" s="2" t="str">
        <f t="shared" si="108"/>
        <v>Error?</v>
      </c>
    </row>
    <row r="6995" spans="1:4" x14ac:dyDescent="0.2">
      <c r="A6995">
        <v>6934</v>
      </c>
      <c r="B6995" s="138">
        <f>'Expenditures 15-22'!H92</f>
        <v>917005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210333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280361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1098</v>
      </c>
      <c r="D7079" s="2" t="str">
        <f t="shared" si="109"/>
        <v>Error?</v>
      </c>
    </row>
    <row r="7080" spans="1:4" x14ac:dyDescent="0.2">
      <c r="A7080">
        <v>7019</v>
      </c>
      <c r="B7080" s="138">
        <f>'Expenditures 15-22'!K226</f>
        <v>1098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53921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53921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6335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6335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93219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93219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37808</v>
      </c>
      <c r="D7174" s="2" t="str">
        <f t="shared" si="111"/>
        <v>Error?</v>
      </c>
    </row>
    <row r="7175" spans="1:4" x14ac:dyDescent="0.2">
      <c r="A7175">
        <v>7114</v>
      </c>
      <c r="B7175" s="138">
        <f>'Expenditures 15-22'!F325</f>
        <v>10485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48293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3521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3521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199848</v>
      </c>
      <c r="D7201" s="2" t="str">
        <f t="shared" si="111"/>
        <v>Error?</v>
      </c>
    </row>
    <row r="7202" spans="1:4" x14ac:dyDescent="0.2">
      <c r="A7202">
        <v>7141</v>
      </c>
      <c r="B7202" s="138">
        <f>'Expenditures 15-22'!F330</f>
        <v>10485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210333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199848</v>
      </c>
      <c r="D7218" s="2" t="str">
        <f t="shared" si="111"/>
        <v>Error?</v>
      </c>
    </row>
    <row r="7219" spans="1:4" x14ac:dyDescent="0.2">
      <c r="A7219">
        <v>7158</v>
      </c>
      <c r="B7219" s="138">
        <f>'Expenditures 15-22'!F342</f>
        <v>10485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210333</v>
      </c>
      <c r="D7224" s="2" t="str">
        <f t="shared" si="111"/>
        <v>Error?</v>
      </c>
    </row>
    <row r="7225" spans="1:4" x14ac:dyDescent="0.2">
      <c r="A7225">
        <v>7164</v>
      </c>
      <c r="B7225" s="138">
        <f>'Expenditures 15-22'!K343</f>
        <v>70028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76174</v>
      </c>
      <c r="D7263" s="2" t="str">
        <f t="shared" si="112"/>
        <v>Error?</v>
      </c>
    </row>
    <row r="7264" spans="1:4" x14ac:dyDescent="0.2">
      <c r="A7264">
        <f t="shared" si="113"/>
        <v>7203</v>
      </c>
      <c r="B7264" s="138">
        <f>'Expenditures 15-22'!D17</f>
        <v>21731</v>
      </c>
      <c r="D7264" s="2" t="str">
        <f t="shared" si="112"/>
        <v>Error?</v>
      </c>
    </row>
    <row r="7265" spans="1:5" x14ac:dyDescent="0.2">
      <c r="A7265">
        <f t="shared" si="113"/>
        <v>7204</v>
      </c>
      <c r="B7265" s="138">
        <f>'Expenditures 15-22'!E17</f>
        <v>3900</v>
      </c>
      <c r="D7265" s="2" t="str">
        <f t="shared" si="112"/>
        <v>Error?</v>
      </c>
    </row>
    <row r="7266" spans="1:5" x14ac:dyDescent="0.2">
      <c r="A7266">
        <f t="shared" si="113"/>
        <v>7205</v>
      </c>
      <c r="B7266" s="138">
        <f>'Expenditures 15-22'!F17</f>
        <v>1401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885192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5044</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5044</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7758</v>
      </c>
      <c r="D7712" s="2" t="str">
        <f t="shared" si="126"/>
        <v>Error?</v>
      </c>
      <c r="E7712" s="2" t="s">
        <v>827</v>
      </c>
    </row>
    <row r="7713" spans="1:6" x14ac:dyDescent="0.2">
      <c r="A7713">
        <v>7652</v>
      </c>
      <c r="B7713" s="138">
        <f>'Rest Tax Levies-Tort Im 25'!J8</f>
        <v>9104</v>
      </c>
      <c r="D7713" s="2" t="str">
        <f t="shared" si="126"/>
        <v>Error?</v>
      </c>
      <c r="E7713" s="2" t="s">
        <v>827</v>
      </c>
    </row>
    <row r="7714" spans="1:6" x14ac:dyDescent="0.2">
      <c r="A7714">
        <v>7653</v>
      </c>
      <c r="B7714" s="138">
        <f>'Rest Tax Levies-Tort Im 25'!K9</f>
        <v>20802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9104</v>
      </c>
      <c r="D7718" s="2" t="str">
        <f t="shared" si="126"/>
        <v>Error?</v>
      </c>
      <c r="E7718" s="2" t="s">
        <v>827</v>
      </c>
    </row>
    <row r="7719" spans="1:6" x14ac:dyDescent="0.2">
      <c r="A7719">
        <v>7658</v>
      </c>
      <c r="B7719" s="138">
        <f>'Rest Tax Levies-Tort Im 25'!K12</f>
        <v>28560</v>
      </c>
      <c r="D7719" s="2" t="str">
        <f t="shared" si="126"/>
        <v>Error?</v>
      </c>
      <c r="E7719" s="2" t="s">
        <v>827</v>
      </c>
    </row>
    <row r="7720" spans="1:6" x14ac:dyDescent="0.2">
      <c r="A7720">
        <v>7659</v>
      </c>
      <c r="B7720" s="138">
        <f>'Rest Tax Levies-Tort Im 25'!H14</f>
        <v>65849</v>
      </c>
      <c r="D7720" s="2" t="str">
        <f t="shared" si="126"/>
        <v>Error?</v>
      </c>
      <c r="E7720" s="2" t="s">
        <v>827</v>
      </c>
    </row>
    <row r="7721" spans="1:6" x14ac:dyDescent="0.2">
      <c r="A7721">
        <v>7660</v>
      </c>
      <c r="B7721" s="138">
        <f>'Rest Tax Levies-Tort Im 25'!K14</f>
        <v>28560</v>
      </c>
      <c r="D7721" s="2" t="str">
        <f t="shared" si="126"/>
        <v>Error?</v>
      </c>
      <c r="E7721" s="2" t="s">
        <v>827</v>
      </c>
    </row>
    <row r="7722" spans="1:6" x14ac:dyDescent="0.2">
      <c r="A7722">
        <v>7661</v>
      </c>
      <c r="B7722" s="138">
        <f>'Rest Tax Levies-Tort Im 25'!J15</f>
        <v>9104</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9104</v>
      </c>
      <c r="D7730" s="2" t="str">
        <f t="shared" si="126"/>
        <v>Error?</v>
      </c>
      <c r="E7730" s="2" t="s">
        <v>827</v>
      </c>
    </row>
    <row r="7731" spans="1:6" x14ac:dyDescent="0.2">
      <c r="A7731">
        <v>7670</v>
      </c>
      <c r="B7731" s="138">
        <f>'Revenues 9-14'!H103</f>
        <v>9104</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29'!D142</f>
        <v>0</v>
      </c>
      <c r="D7797" s="2" t="str">
        <f t="shared" si="127"/>
        <v>Error?</v>
      </c>
      <c r="E7797" s="4" t="s">
        <v>1901</v>
      </c>
    </row>
    <row r="7798" spans="1:5" x14ac:dyDescent="0.2">
      <c r="A7798">
        <v>7737</v>
      </c>
      <c r="B7798" s="138">
        <f>'Contracts Paid in CY 29'!F142</f>
        <v>0</v>
      </c>
      <c r="D7798" s="2" t="str">
        <f t="shared" si="127"/>
        <v>Error?</v>
      </c>
      <c r="E7798" s="4" t="s">
        <v>1901</v>
      </c>
    </row>
    <row r="7799" spans="1:5" x14ac:dyDescent="0.2">
      <c r="A7799">
        <v>7738</v>
      </c>
      <c r="B7799" s="138">
        <f>'Contracts Paid in CY 29'!G142</f>
        <v>0</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7" t="s">
        <v>1191</v>
      </c>
      <c r="B2" s="2407"/>
      <c r="C2" s="2407"/>
      <c r="D2" s="2407"/>
      <c r="E2" s="2407"/>
      <c r="F2" s="2407"/>
      <c r="G2" s="2407"/>
      <c r="H2" s="2407"/>
      <c r="I2" s="2407"/>
      <c r="J2" s="2407"/>
      <c r="K2" s="2407"/>
      <c r="L2" s="2407"/>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07" t="s">
        <v>1985</v>
      </c>
      <c r="B4" s="2424"/>
      <c r="C4" s="2424"/>
      <c r="D4" s="2424"/>
      <c r="E4" s="2424"/>
      <c r="F4" s="2424"/>
      <c r="G4" s="2424"/>
      <c r="H4" s="2424"/>
      <c r="I4" s="2424"/>
      <c r="J4" s="2424"/>
      <c r="K4" s="2424"/>
      <c r="L4" s="242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7" t="str">
        <f>COVER!A17</f>
        <v>Paxton-Buckley-Loda CUD 10</v>
      </c>
      <c r="B7" s="2388"/>
      <c r="C7" s="2388"/>
      <c r="D7" s="2425"/>
      <c r="E7" s="2426">
        <f>COVER!A13</f>
        <v>9027010026</v>
      </c>
      <c r="F7" s="2427"/>
      <c r="G7" s="2394" t="str">
        <f>COVER!T23</f>
        <v>065.018319</v>
      </c>
      <c r="H7" s="2395"/>
      <c r="I7" s="2395"/>
      <c r="J7" s="2395"/>
      <c r="K7" s="2395"/>
      <c r="L7" s="2396"/>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7"/>
      <c r="B9" s="2398"/>
      <c r="C9" s="2398"/>
      <c r="D9" s="2398"/>
      <c r="E9" s="2398"/>
      <c r="F9" s="2399"/>
      <c r="G9" s="2400" t="str">
        <f>COVER!T13</f>
        <v>RUSSELL LEIGH &amp; ASSOCIATES LLC</v>
      </c>
      <c r="H9" s="2401"/>
      <c r="I9" s="2401"/>
      <c r="J9" s="2401"/>
      <c r="K9" s="2401"/>
      <c r="L9" s="2402"/>
    </row>
    <row r="10" spans="1:29" ht="13.5" customHeight="1" x14ac:dyDescent="0.2">
      <c r="A10" s="2384" t="str">
        <f>COVER!A38</f>
        <v>CLIFF MCCLURE</v>
      </c>
      <c r="B10" s="2385"/>
      <c r="C10" s="2385"/>
      <c r="D10" s="2385"/>
      <c r="E10" s="2385"/>
      <c r="F10" s="2386"/>
      <c r="G10" s="2400" t="str">
        <f>COVER!T17</f>
        <v>228 E MAIN ST</v>
      </c>
      <c r="H10" s="2413"/>
      <c r="I10" s="2413"/>
      <c r="J10" s="2413"/>
      <c r="K10" s="2413"/>
      <c r="L10" s="2414"/>
    </row>
    <row r="11" spans="1:29" ht="13.5" customHeight="1" x14ac:dyDescent="0.2">
      <c r="A11" s="1184" t="s">
        <v>1519</v>
      </c>
      <c r="B11" s="1185"/>
      <c r="C11" s="1186"/>
      <c r="D11" s="1191"/>
      <c r="E11" s="1186"/>
      <c r="F11" s="1190"/>
      <c r="G11" s="2400" t="str">
        <f>COVER!T19</f>
        <v>HOOPESTON</v>
      </c>
      <c r="H11" s="2413"/>
      <c r="I11" s="2413"/>
      <c r="J11" s="2413"/>
      <c r="K11" s="2413"/>
      <c r="L11" s="2414"/>
    </row>
    <row r="12" spans="1:29" ht="13.5" customHeight="1" x14ac:dyDescent="0.2">
      <c r="A12" s="2418" t="s">
        <v>1518</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1520</v>
      </c>
      <c r="H13" s="2409"/>
      <c r="I13" s="2421" t="str">
        <f>COVER!T25</f>
        <v>admin@russleigh.com</v>
      </c>
      <c r="J13" s="2422"/>
      <c r="K13" s="2422"/>
      <c r="L13" s="2423"/>
    </row>
    <row r="14" spans="1:29" ht="13.5" customHeight="1" x14ac:dyDescent="0.2">
      <c r="A14" s="2400" t="str">
        <f>COVER!A19</f>
        <v>PO BOX 50</v>
      </c>
      <c r="B14" s="2413"/>
      <c r="C14" s="2413"/>
      <c r="D14" s="2413"/>
      <c r="E14" s="2413"/>
      <c r="F14" s="2414"/>
      <c r="G14" s="1195" t="s">
        <v>1185</v>
      </c>
      <c r="H14" s="1193"/>
      <c r="I14" s="1193"/>
      <c r="J14" s="1193"/>
      <c r="K14" s="1193"/>
      <c r="L14" s="1194"/>
    </row>
    <row r="15" spans="1:29" ht="13.5" customHeight="1" x14ac:dyDescent="0.2">
      <c r="A15" s="2400" t="str">
        <f>COVER!A21</f>
        <v>PAXTON</v>
      </c>
      <c r="B15" s="2413"/>
      <c r="C15" s="2413"/>
      <c r="D15" s="2413"/>
      <c r="E15" s="2413"/>
      <c r="F15" s="2414"/>
      <c r="G15" s="2410" t="str">
        <f>COVER!T15</f>
        <v>RUSS LEIGH</v>
      </c>
      <c r="H15" s="2411"/>
      <c r="I15" s="2411"/>
      <c r="J15" s="2411"/>
      <c r="K15" s="2411"/>
      <c r="L15" s="2412"/>
    </row>
    <row r="16" spans="1:29" ht="12.2" customHeight="1" x14ac:dyDescent="0.2">
      <c r="A16" s="2390">
        <f>COVER!A25</f>
        <v>60957</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5" t="s">
        <v>1184</v>
      </c>
      <c r="H17" s="1193"/>
      <c r="I17" s="1193"/>
      <c r="J17" s="1193"/>
      <c r="K17" s="1197" t="s">
        <v>1183</v>
      </c>
      <c r="L17" s="1190"/>
      <c r="M17" s="1183"/>
    </row>
    <row r="18" spans="1:13" ht="12.2" customHeight="1" x14ac:dyDescent="0.2">
      <c r="A18" s="2384"/>
      <c r="B18" s="2385"/>
      <c r="C18" s="2385"/>
      <c r="D18" s="2385"/>
      <c r="E18" s="2385"/>
      <c r="F18" s="2386"/>
      <c r="G18" s="2387" t="str">
        <f>COVER!T21</f>
        <v>217-283-9336</v>
      </c>
      <c r="H18" s="2388"/>
      <c r="I18" s="2388"/>
      <c r="J18" s="2388"/>
      <c r="K18" s="2387" t="str">
        <f>COVER!X21</f>
        <v>217-283-9736</v>
      </c>
      <c r="L18" s="238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8" t="str">
        <f>'Single Audit Cover'!A7</f>
        <v>Paxton-Buckley-Loda CUD 10</v>
      </c>
      <c r="B1" s="2424"/>
      <c r="C1" s="2424"/>
      <c r="D1" s="2424"/>
    </row>
    <row r="2" spans="1:11" s="1212" customFormat="1" ht="12.75" x14ac:dyDescent="0.2">
      <c r="A2" s="2429">
        <f>'Single Audit Cover'!E7</f>
        <v>9027010026</v>
      </c>
      <c r="B2" s="2430"/>
      <c r="C2" s="2430"/>
      <c r="D2" s="2430"/>
    </row>
    <row r="3" spans="1:11" s="1212" customFormat="1" ht="12.75" x14ac:dyDescent="0.2">
      <c r="A3" s="2428" t="s">
        <v>1513</v>
      </c>
      <c r="B3" s="2424"/>
      <c r="C3" s="2424"/>
      <c r="D3" s="242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1835</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2" t="str">
        <f>'Single Audit Cover'!A7</f>
        <v>Paxton-Buckley-Loda CUD 10</v>
      </c>
      <c r="B1" s="2432"/>
      <c r="C1" s="2432"/>
      <c r="D1" s="2432"/>
      <c r="E1" s="2432"/>
    </row>
    <row r="2" spans="1:5" x14ac:dyDescent="0.2">
      <c r="A2" s="2433">
        <f>'Single Audit Cover'!E7</f>
        <v>9027010026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7" t="s">
        <v>1243</v>
      </c>
    </row>
    <row r="10" spans="1:5" x14ac:dyDescent="0.2">
      <c r="A10" s="1258" t="s">
        <v>1242</v>
      </c>
      <c r="B10" s="1259" t="s">
        <v>1241</v>
      </c>
      <c r="C10" s="1259"/>
      <c r="D10" s="1260">
        <f>SUM('Acct Summary 7-8'!C7:K7)</f>
        <v>1063886</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43645</v>
      </c>
    </row>
    <row r="15" spans="1:5" x14ac:dyDescent="0.2">
      <c r="A15" s="1258"/>
      <c r="B15" s="1259"/>
      <c r="C15" s="1259"/>
    </row>
    <row r="16" spans="1:5" x14ac:dyDescent="0.2">
      <c r="A16" s="1258" t="s">
        <v>1841</v>
      </c>
      <c r="B16" s="1259"/>
      <c r="C16" s="1259"/>
    </row>
    <row r="17" spans="1:4" x14ac:dyDescent="0.2">
      <c r="A17" s="1258" t="s">
        <v>2057</v>
      </c>
      <c r="B17" s="1259" t="s">
        <v>1236</v>
      </c>
      <c r="C17" s="1259"/>
      <c r="D17" s="1261">
        <f>-SUM('Revenues 9-14'!C264:D264,'Revenues 9-14'!F264:G264)</f>
        <v>0</v>
      </c>
    </row>
    <row r="19" spans="1:4" ht="13.5" thickBot="1" x14ac:dyDescent="0.25">
      <c r="A19" s="1262" t="s">
        <v>1235</v>
      </c>
      <c r="D19" s="1263">
        <f>SUM(D10:D17)</f>
        <v>1107531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4"/>
      <c r="B24" s="2434"/>
      <c r="D24" s="1265"/>
    </row>
    <row r="25" spans="1:4" x14ac:dyDescent="0.2">
      <c r="A25" s="2431"/>
      <c r="B25" s="2431"/>
      <c r="D25" s="1265"/>
    </row>
    <row r="26" spans="1:4" x14ac:dyDescent="0.2">
      <c r="A26" s="2431"/>
      <c r="B26" s="2431"/>
      <c r="D26" s="1265"/>
    </row>
    <row r="27" spans="1:4" x14ac:dyDescent="0.2">
      <c r="A27" s="2431"/>
      <c r="B27" s="2431"/>
      <c r="D27" s="1265"/>
    </row>
    <row r="28" spans="1:4" x14ac:dyDescent="0.2">
      <c r="A28" s="2431"/>
      <c r="B28" s="2431"/>
      <c r="D28" s="1265"/>
    </row>
    <row r="29" spans="1:4" x14ac:dyDescent="0.2">
      <c r="A29" s="2431"/>
      <c r="B29" s="2431"/>
      <c r="D29" s="1265"/>
    </row>
    <row r="30" spans="1:4" x14ac:dyDescent="0.2">
      <c r="A30" s="2431"/>
      <c r="B30" s="2431"/>
      <c r="D30" s="1265"/>
    </row>
    <row r="32" spans="1:4" x14ac:dyDescent="0.2">
      <c r="A32" s="1257" t="s">
        <v>1233</v>
      </c>
      <c r="D32" s="1260">
        <f>SUM(D19:D30)</f>
        <v>1107531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1"/>
      <c r="B40" s="2431"/>
      <c r="D40" s="1265"/>
    </row>
    <row r="41" spans="1:4" x14ac:dyDescent="0.2">
      <c r="A41" s="2431"/>
      <c r="B41" s="2431"/>
      <c r="D41" s="1268"/>
    </row>
    <row r="42" spans="1:4" x14ac:dyDescent="0.2">
      <c r="A42" s="2431"/>
      <c r="B42" s="2431"/>
      <c r="D42" s="1268"/>
    </row>
    <row r="43" spans="1:4" x14ac:dyDescent="0.2">
      <c r="A43" s="2431"/>
      <c r="B43" s="2431"/>
      <c r="D43" s="1268"/>
    </row>
    <row r="44" spans="1:4" x14ac:dyDescent="0.2">
      <c r="A44" s="2431"/>
      <c r="B44" s="2431"/>
      <c r="D44" s="1268"/>
    </row>
    <row r="45" spans="1:4" x14ac:dyDescent="0.2">
      <c r="A45" s="2431"/>
      <c r="B45" s="2431"/>
      <c r="D45" s="1268"/>
    </row>
    <row r="47" spans="1:4" x14ac:dyDescent="0.2">
      <c r="B47" s="1269" t="s">
        <v>1227</v>
      </c>
      <c r="C47" s="1269"/>
      <c r="D47" s="1270">
        <f>SUM(D35:D45)</f>
        <v>0</v>
      </c>
    </row>
    <row r="49" spans="2:4" x14ac:dyDescent="0.2">
      <c r="B49" s="1269" t="s">
        <v>1226</v>
      </c>
      <c r="C49" s="1269"/>
      <c r="D49" s="1270">
        <f>D32-D47</f>
        <v>1107531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B17" sqref="B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Paxton-Buckley-Loda CUD 10</v>
      </c>
      <c r="C1" s="2436"/>
      <c r="D1" s="2436"/>
      <c r="E1" s="2436"/>
      <c r="F1" s="2436"/>
      <c r="G1" s="2436"/>
      <c r="H1" s="2436"/>
      <c r="I1" s="2436"/>
      <c r="J1" s="2436"/>
      <c r="K1" s="2436"/>
      <c r="L1" s="2436"/>
      <c r="M1" s="2436"/>
    </row>
    <row r="2" spans="2:14" ht="15" x14ac:dyDescent="0.2">
      <c r="B2" s="2437">
        <f>'Single Audit Cover'!E7</f>
        <v>9027010026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2117</v>
      </c>
      <c r="C11" s="1335" t="s">
        <v>2118</v>
      </c>
      <c r="D11" s="1336">
        <v>4400</v>
      </c>
      <c r="E11" s="1337">
        <v>4117</v>
      </c>
      <c r="F11" s="1337">
        <v>4024</v>
      </c>
      <c r="G11" s="1337">
        <v>6403</v>
      </c>
      <c r="H11" s="1337"/>
      <c r="I11" s="1337">
        <v>1738</v>
      </c>
      <c r="J11" s="1337"/>
      <c r="K11" s="1337"/>
      <c r="L11" s="1337">
        <f>+G11+I11+K11</f>
        <v>8141</v>
      </c>
      <c r="M11" s="1337"/>
    </row>
    <row r="12" spans="2:14" ht="20.100000000000001" customHeight="1" x14ac:dyDescent="0.2">
      <c r="B12" s="1334" t="s">
        <v>2117</v>
      </c>
      <c r="C12" s="1338" t="s">
        <v>2118</v>
      </c>
      <c r="D12" s="1339">
        <v>4400</v>
      </c>
      <c r="E12" s="1340"/>
      <c r="F12" s="1340">
        <v>14856</v>
      </c>
      <c r="G12" s="1340"/>
      <c r="H12" s="1340"/>
      <c r="I12" s="1340">
        <v>19604</v>
      </c>
      <c r="J12" s="1340"/>
      <c r="K12" s="1340"/>
      <c r="L12" s="1337">
        <f t="shared" ref="L12:L27" si="0">+G12+I12+K12</f>
        <v>19604</v>
      </c>
      <c r="M12" s="1340">
        <v>22000</v>
      </c>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t="s">
        <v>2120</v>
      </c>
      <c r="C14" s="1338"/>
      <c r="D14" s="1339"/>
      <c r="E14" s="1340">
        <v>118923</v>
      </c>
      <c r="F14" s="1340">
        <v>365009</v>
      </c>
      <c r="G14" s="1340">
        <v>112844</v>
      </c>
      <c r="H14" s="1340"/>
      <c r="I14" s="1340">
        <v>345247</v>
      </c>
      <c r="J14" s="1340"/>
      <c r="K14" s="1340"/>
      <c r="L14" s="1337">
        <f t="shared" si="0"/>
        <v>458091</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t="s">
        <v>2121</v>
      </c>
      <c r="C16" s="1338"/>
      <c r="D16" s="1339"/>
      <c r="E16" s="1340"/>
      <c r="F16" s="1340"/>
      <c r="G16" s="1340"/>
      <c r="H16" s="1340"/>
      <c r="I16" s="1340"/>
      <c r="J16" s="1340"/>
      <c r="K16" s="1340"/>
      <c r="L16" s="1337">
        <f t="shared" si="0"/>
        <v>0</v>
      </c>
      <c r="M16" s="1340"/>
    </row>
    <row r="17" spans="2:14" ht="20.100000000000001" customHeight="1" x14ac:dyDescent="0.2">
      <c r="B17" s="1334" t="s">
        <v>2136</v>
      </c>
      <c r="C17" s="1338" t="s">
        <v>2122</v>
      </c>
      <c r="D17" s="1339">
        <v>4620</v>
      </c>
      <c r="E17" s="1340"/>
      <c r="F17" s="1340">
        <v>282805</v>
      </c>
      <c r="G17" s="1340"/>
      <c r="H17" s="1340"/>
      <c r="I17" s="1340">
        <v>282805</v>
      </c>
      <c r="J17" s="1340"/>
      <c r="K17" s="1340"/>
      <c r="L17" s="1337">
        <f t="shared" si="0"/>
        <v>282805</v>
      </c>
      <c r="M17" s="1340">
        <v>295400</v>
      </c>
    </row>
    <row r="18" spans="2:14" ht="20.100000000000001" customHeight="1" x14ac:dyDescent="0.2">
      <c r="B18" s="1334" t="s">
        <v>2123</v>
      </c>
      <c r="C18" s="1338" t="s">
        <v>2122</v>
      </c>
      <c r="D18" s="1339">
        <v>4620</v>
      </c>
      <c r="E18" s="1340"/>
      <c r="F18" s="1340">
        <v>5535</v>
      </c>
      <c r="G18" s="1340"/>
      <c r="H18" s="1340"/>
      <c r="I18" s="1340">
        <v>5535</v>
      </c>
      <c r="J18" s="1340"/>
      <c r="K18" s="1340"/>
      <c r="L18" s="1337">
        <f t="shared" si="0"/>
        <v>5535</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2124</v>
      </c>
      <c r="C20" s="1338"/>
      <c r="D20" s="1339"/>
      <c r="E20" s="1340"/>
      <c r="F20" s="1340">
        <v>287540</v>
      </c>
      <c r="G20" s="1340"/>
      <c r="H20" s="1340"/>
      <c r="I20" s="1340">
        <v>287540</v>
      </c>
      <c r="J20" s="1340"/>
      <c r="K20" s="1340"/>
      <c r="L20" s="1337">
        <f t="shared" si="0"/>
        <v>287540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2119</v>
      </c>
      <c r="C22" s="1338"/>
      <c r="D22" s="1339"/>
      <c r="E22" s="1340"/>
      <c r="F22" s="1340">
        <v>652549</v>
      </c>
      <c r="G22" s="1340"/>
      <c r="H22" s="1340"/>
      <c r="I22" s="1340">
        <v>632787</v>
      </c>
      <c r="J22" s="1340"/>
      <c r="K22" s="1340"/>
      <c r="L22" s="1337">
        <f t="shared" si="0"/>
        <v>632787</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8" zoomScaleNormal="100" workbookViewId="0">
      <selection activeCell="B24" sqref="B2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Paxton-Buckley-Loda CUD 10</v>
      </c>
      <c r="C1" s="2436"/>
      <c r="D1" s="2436"/>
      <c r="E1" s="2436"/>
      <c r="F1" s="2436"/>
      <c r="G1" s="2436"/>
      <c r="H1" s="2436"/>
      <c r="I1" s="2436"/>
      <c r="J1" s="2436"/>
      <c r="K1" s="2436"/>
      <c r="L1" s="2436"/>
      <c r="M1" s="2436"/>
    </row>
    <row r="2" spans="2:14" ht="15" x14ac:dyDescent="0.2">
      <c r="B2" s="2437">
        <f>'Single Audit Cover'!E7</f>
        <v>9027010026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2104</v>
      </c>
      <c r="C11" s="1335"/>
      <c r="D11" s="1336"/>
      <c r="E11" s="1337"/>
      <c r="F11" s="1337"/>
      <c r="G11" s="1337"/>
      <c r="H11" s="1337"/>
      <c r="I11" s="1337"/>
      <c r="J11" s="1337"/>
      <c r="K11" s="1337"/>
      <c r="L11" s="1337">
        <f>+G11+I11+K11</f>
        <v>0</v>
      </c>
      <c r="M11" s="1337"/>
    </row>
    <row r="12" spans="2:14" ht="20.100000000000001" customHeight="1" x14ac:dyDescent="0.2">
      <c r="B12" s="1334" t="s">
        <v>2103</v>
      </c>
      <c r="C12" s="1338"/>
      <c r="D12" s="1339"/>
      <c r="E12" s="1340"/>
      <c r="F12" s="1340"/>
      <c r="G12" s="1340"/>
      <c r="H12" s="1340"/>
      <c r="I12" s="1340"/>
      <c r="J12" s="1340"/>
      <c r="K12" s="1340"/>
      <c r="L12" s="1337">
        <f t="shared" ref="L12:L27" si="0">+G12+I12+K12</f>
        <v>0</v>
      </c>
      <c r="M12" s="1340"/>
    </row>
    <row r="13" spans="2:14" ht="20.100000000000001" customHeight="1" x14ac:dyDescent="0.2">
      <c r="B13" s="1334" t="s">
        <v>2105</v>
      </c>
      <c r="C13" s="1338">
        <v>10.555</v>
      </c>
      <c r="D13" s="1339">
        <v>4210</v>
      </c>
      <c r="E13" s="1340">
        <v>256583</v>
      </c>
      <c r="F13" s="1340">
        <v>56608</v>
      </c>
      <c r="G13" s="1340">
        <v>256583</v>
      </c>
      <c r="H13" s="1340"/>
      <c r="I13" s="1340">
        <v>56608</v>
      </c>
      <c r="J13" s="1340"/>
      <c r="K13" s="1340"/>
      <c r="L13" s="1337">
        <f t="shared" si="0"/>
        <v>313191</v>
      </c>
      <c r="M13" s="1340"/>
    </row>
    <row r="14" spans="2:14" ht="20.100000000000001" customHeight="1" x14ac:dyDescent="0.2">
      <c r="B14" s="1334" t="s">
        <v>2106</v>
      </c>
      <c r="C14" s="1338">
        <v>10.555</v>
      </c>
      <c r="D14" s="1339">
        <v>4210</v>
      </c>
      <c r="E14" s="1340"/>
      <c r="F14" s="1340">
        <v>253532</v>
      </c>
      <c r="G14" s="1340"/>
      <c r="H14" s="1340"/>
      <c r="I14" s="1340">
        <v>253532</v>
      </c>
      <c r="J14" s="1340"/>
      <c r="K14" s="1340"/>
      <c r="L14" s="1337">
        <f t="shared" si="0"/>
        <v>253532</v>
      </c>
      <c r="M14" s="1340">
        <v>320000</v>
      </c>
    </row>
    <row r="15" spans="2:14" ht="20.100000000000001" customHeight="1" x14ac:dyDescent="0.2">
      <c r="B15" s="1334" t="s">
        <v>2107</v>
      </c>
      <c r="C15" s="1338">
        <v>10.553000000000001</v>
      </c>
      <c r="D15" s="1339">
        <v>4220</v>
      </c>
      <c r="E15" s="1340">
        <v>62697</v>
      </c>
      <c r="F15" s="1340">
        <v>12737</v>
      </c>
      <c r="G15" s="1340">
        <v>62697</v>
      </c>
      <c r="H15" s="1340"/>
      <c r="I15" s="1340">
        <v>12737</v>
      </c>
      <c r="J15" s="1340"/>
      <c r="K15" s="1340"/>
      <c r="L15" s="1337">
        <f t="shared" si="0"/>
        <v>75434</v>
      </c>
      <c r="M15" s="1340">
        <v>85400</v>
      </c>
    </row>
    <row r="16" spans="2:14" ht="20.100000000000001" customHeight="1" x14ac:dyDescent="0.2">
      <c r="B16" s="1334" t="s">
        <v>2108</v>
      </c>
      <c r="C16" s="1338">
        <v>10.553000000000001</v>
      </c>
      <c r="D16" s="1339">
        <v>4220</v>
      </c>
      <c r="E16" s="1340"/>
      <c r="F16" s="1340">
        <v>67355</v>
      </c>
      <c r="G16" s="1340"/>
      <c r="H16" s="1340"/>
      <c r="I16" s="1340">
        <v>67355</v>
      </c>
      <c r="J16" s="1340"/>
      <c r="K16" s="1340"/>
      <c r="L16" s="1337">
        <f t="shared" si="0"/>
        <v>67355</v>
      </c>
      <c r="M16" s="1340">
        <v>80000</v>
      </c>
    </row>
    <row r="17" spans="2:14" ht="20.100000000000001" customHeight="1" x14ac:dyDescent="0.2">
      <c r="B17" s="1334" t="s">
        <v>2109</v>
      </c>
      <c r="C17" s="1338">
        <v>10.555</v>
      </c>
      <c r="D17" s="1339">
        <v>4250</v>
      </c>
      <c r="E17" s="1340"/>
      <c r="F17" s="1340">
        <v>35296</v>
      </c>
      <c r="G17" s="1340"/>
      <c r="H17" s="1340"/>
      <c r="I17" s="1340">
        <v>35296</v>
      </c>
      <c r="J17" s="1340"/>
      <c r="K17" s="1340"/>
      <c r="L17" s="1337">
        <f t="shared" si="0"/>
        <v>35296</v>
      </c>
      <c r="M17" s="1340"/>
    </row>
    <row r="18" spans="2:14" ht="20.100000000000001" customHeight="1" x14ac:dyDescent="0.2">
      <c r="B18" s="1334" t="s">
        <v>2110</v>
      </c>
      <c r="C18" s="1338">
        <v>10.555</v>
      </c>
      <c r="D18" s="1339">
        <v>4250</v>
      </c>
      <c r="E18" s="1340"/>
      <c r="F18" s="1340">
        <v>8350</v>
      </c>
      <c r="G18" s="1340"/>
      <c r="H18" s="1340"/>
      <c r="I18" s="1340">
        <v>8350</v>
      </c>
      <c r="J18" s="1340"/>
      <c r="K18" s="1340"/>
      <c r="L18" s="1337">
        <f t="shared" si="0"/>
        <v>8350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2111</v>
      </c>
      <c r="C20" s="1338"/>
      <c r="D20" s="1339"/>
      <c r="E20" s="1340">
        <v>319280</v>
      </c>
      <c r="F20" s="1340">
        <v>433878</v>
      </c>
      <c r="G20" s="1340">
        <v>319280</v>
      </c>
      <c r="H20" s="1340"/>
      <c r="I20" s="1340">
        <v>433878</v>
      </c>
      <c r="J20" s="1340"/>
      <c r="K20" s="1340"/>
      <c r="L20" s="1337">
        <f t="shared" si="0"/>
        <v>753158</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2112</v>
      </c>
      <c r="C22" s="1338"/>
      <c r="D22" s="1339"/>
      <c r="E22" s="1340"/>
      <c r="F22" s="1340"/>
      <c r="G22" s="1340"/>
      <c r="H22" s="1340"/>
      <c r="I22" s="1340"/>
      <c r="J22" s="1340"/>
      <c r="K22" s="1340"/>
      <c r="L22" s="1337">
        <f t="shared" si="0"/>
        <v>0</v>
      </c>
      <c r="M22" s="1340"/>
    </row>
    <row r="23" spans="2:14" ht="20.100000000000001" customHeight="1" x14ac:dyDescent="0.2">
      <c r="B23" s="1334" t="s">
        <v>2103</v>
      </c>
      <c r="C23" s="1338"/>
      <c r="D23" s="1339"/>
      <c r="E23" s="1340"/>
      <c r="F23" s="1340"/>
      <c r="G23" s="1340"/>
      <c r="H23" s="1340"/>
      <c r="I23" s="1340"/>
      <c r="J23" s="1340"/>
      <c r="K23" s="1340"/>
      <c r="L23" s="1337">
        <f t="shared" si="0"/>
        <v>0</v>
      </c>
      <c r="M23" s="1340"/>
    </row>
    <row r="24" spans="2:14" ht="20.100000000000001" customHeight="1" x14ac:dyDescent="0.2">
      <c r="B24" s="1334" t="s">
        <v>2137</v>
      </c>
      <c r="C24" s="1338" t="s">
        <v>2113</v>
      </c>
      <c r="D24" s="1339">
        <v>4300</v>
      </c>
      <c r="E24" s="1340">
        <v>97333</v>
      </c>
      <c r="F24" s="1340">
        <v>140388</v>
      </c>
      <c r="G24" s="1340">
        <v>176733</v>
      </c>
      <c r="H24" s="1340"/>
      <c r="I24" s="1340">
        <v>60388</v>
      </c>
      <c r="J24" s="1340"/>
      <c r="K24" s="1340"/>
      <c r="L24" s="1337">
        <f t="shared" si="0"/>
        <v>237121</v>
      </c>
      <c r="M24" s="1340"/>
    </row>
    <row r="25" spans="2:14" ht="20.100000000000001" customHeight="1" x14ac:dyDescent="0.2">
      <c r="B25" s="1334" t="s">
        <v>2137</v>
      </c>
      <c r="C25" s="1338" t="s">
        <v>2113</v>
      </c>
      <c r="D25" s="1339">
        <v>4300</v>
      </c>
      <c r="E25" s="1340"/>
      <c r="F25" s="1340">
        <v>174264</v>
      </c>
      <c r="G25" s="1340"/>
      <c r="H25" s="1340"/>
      <c r="I25" s="1340">
        <v>221095</v>
      </c>
      <c r="J25" s="1340"/>
      <c r="K25" s="1340"/>
      <c r="L25" s="1337">
        <f t="shared" si="0"/>
        <v>221095</v>
      </c>
      <c r="M25" s="1340">
        <v>320000</v>
      </c>
    </row>
    <row r="26" spans="2:14" ht="20.100000000000001" customHeight="1" x14ac:dyDescent="0.2">
      <c r="B26" s="1334" t="s">
        <v>2114</v>
      </c>
      <c r="C26" s="1338" t="s">
        <v>2115</v>
      </c>
      <c r="D26" s="1339">
        <v>4932</v>
      </c>
      <c r="E26" s="1340">
        <v>17473</v>
      </c>
      <c r="F26" s="1340">
        <v>13829</v>
      </c>
      <c r="G26" s="1340">
        <v>29708</v>
      </c>
      <c r="H26" s="1340"/>
      <c r="I26" s="1340">
        <v>1594</v>
      </c>
      <c r="J26" s="1340"/>
      <c r="K26" s="1340"/>
      <c r="L26" s="1337">
        <f t="shared" si="0"/>
        <v>31302</v>
      </c>
      <c r="M26" s="1340"/>
    </row>
    <row r="27" spans="2:14" ht="20.100000000000001" customHeight="1" x14ac:dyDescent="0.2">
      <c r="B27" s="1334" t="s">
        <v>2116</v>
      </c>
      <c r="C27" s="1338" t="s">
        <v>2115</v>
      </c>
      <c r="D27" s="1339">
        <v>4932</v>
      </c>
      <c r="E27" s="1340"/>
      <c r="F27" s="1340">
        <v>17648</v>
      </c>
      <c r="G27" s="1340"/>
      <c r="H27" s="1340"/>
      <c r="I27" s="1340">
        <v>40828</v>
      </c>
      <c r="J27" s="1340"/>
      <c r="K27" s="1340"/>
      <c r="L27" s="1337">
        <f t="shared" si="0"/>
        <v>40828</v>
      </c>
      <c r="M27" s="1340">
        <v>52140</v>
      </c>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21" sqref="I2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3" t="str">
        <f>'Single Audit Cover'!A7</f>
        <v>Paxton-Buckley-Loda CUD 10</v>
      </c>
      <c r="C1" s="2436"/>
      <c r="D1" s="2436"/>
      <c r="E1" s="2436"/>
      <c r="F1" s="2436"/>
      <c r="G1" s="2436"/>
      <c r="H1" s="2436"/>
      <c r="I1" s="2436"/>
      <c r="J1" s="2436"/>
      <c r="K1" s="2436"/>
      <c r="L1" s="2436"/>
      <c r="M1" s="2436"/>
    </row>
    <row r="2" spans="2:14" ht="15" x14ac:dyDescent="0.2">
      <c r="B2" s="2437">
        <f>'Single Audit Cover'!E7</f>
        <v>9027010026</v>
      </c>
      <c r="C2" s="2437"/>
      <c r="D2" s="2437"/>
      <c r="E2" s="2437"/>
      <c r="F2" s="2437"/>
      <c r="G2" s="2437"/>
      <c r="H2" s="2437"/>
      <c r="I2" s="2437"/>
      <c r="J2" s="2437"/>
      <c r="K2" s="2437"/>
      <c r="L2" s="2437"/>
      <c r="M2" s="2437"/>
      <c r="N2" s="1299"/>
    </row>
    <row r="3" spans="2:14" ht="15" x14ac:dyDescent="0.2">
      <c r="B3" s="2438" t="s">
        <v>1219</v>
      </c>
      <c r="C3" s="2438"/>
      <c r="D3" s="2438"/>
      <c r="E3" s="2438"/>
      <c r="F3" s="2438"/>
      <c r="G3" s="2438"/>
      <c r="H3" s="2438"/>
      <c r="I3" s="2438"/>
      <c r="J3" s="2438"/>
      <c r="K3" s="2438"/>
      <c r="L3" s="2438"/>
      <c r="M3" s="2438"/>
      <c r="N3" s="1299"/>
    </row>
    <row r="4" spans="2:14" ht="15" x14ac:dyDescent="0.2">
      <c r="B4" s="2439" t="str">
        <f>'Single Audit Cover'!A4</f>
        <v>Year Ending June 30, 2019</v>
      </c>
      <c r="C4" s="2439"/>
      <c r="D4" s="2439"/>
      <c r="E4" s="2439"/>
      <c r="F4" s="2439"/>
      <c r="G4" s="2439"/>
      <c r="H4" s="2439"/>
      <c r="I4" s="2439"/>
      <c r="J4" s="2439"/>
      <c r="K4" s="2439"/>
      <c r="L4" s="2439"/>
      <c r="M4" s="2439"/>
      <c r="N4" s="1299"/>
    </row>
    <row r="6" spans="2:14" x14ac:dyDescent="0.2">
      <c r="B6" s="1300"/>
      <c r="C6" s="1301"/>
      <c r="D6" s="1302" t="s">
        <v>1265</v>
      </c>
      <c r="E6" s="1303" t="s">
        <v>527</v>
      </c>
      <c r="F6" s="1304"/>
      <c r="G6" s="1305" t="s">
        <v>1732</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1837</v>
      </c>
      <c r="I8" s="1316" t="s">
        <v>1262</v>
      </c>
      <c r="J8" s="1315" t="s">
        <v>1986</v>
      </c>
      <c r="K8" s="1316" t="s">
        <v>1261</v>
      </c>
      <c r="L8" s="1317" t="s">
        <v>1257</v>
      </c>
      <c r="M8" s="1318" t="s">
        <v>30</v>
      </c>
    </row>
    <row r="9" spans="2:14" ht="14.25" x14ac:dyDescent="0.2">
      <c r="B9" s="1322" t="s">
        <v>1259</v>
      </c>
      <c r="C9" s="1310" t="s">
        <v>1733</v>
      </c>
      <c r="D9" s="1311" t="s">
        <v>1734</v>
      </c>
      <c r="E9" s="1319" t="s">
        <v>1837</v>
      </c>
      <c r="F9" s="1320" t="s">
        <v>1986</v>
      </c>
      <c r="G9" s="1321" t="s">
        <v>1837</v>
      </c>
      <c r="H9" s="1314" t="s">
        <v>1582</v>
      </c>
      <c r="I9" s="1316" t="s">
        <v>1986</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t="s">
        <v>2125</v>
      </c>
      <c r="C13" s="1338"/>
      <c r="D13" s="1339"/>
      <c r="E13" s="1340"/>
      <c r="F13" s="1340"/>
      <c r="G13" s="1340"/>
      <c r="H13" s="1340"/>
      <c r="I13" s="1340"/>
      <c r="J13" s="1340"/>
      <c r="K13" s="1340"/>
      <c r="L13" s="1337">
        <f t="shared" si="0"/>
        <v>0</v>
      </c>
      <c r="M13" s="1340"/>
    </row>
    <row r="14" spans="2:14" ht="20.100000000000001" customHeight="1" x14ac:dyDescent="0.2">
      <c r="B14" s="1334" t="s">
        <v>2126</v>
      </c>
      <c r="C14" s="1338"/>
      <c r="D14" s="1339"/>
      <c r="E14" s="1340"/>
      <c r="F14" s="1340"/>
      <c r="G14" s="1340"/>
      <c r="H14" s="1340"/>
      <c r="I14" s="1340"/>
      <c r="J14" s="1340"/>
      <c r="K14" s="1340"/>
      <c r="L14" s="1337">
        <f t="shared" si="0"/>
        <v>0</v>
      </c>
      <c r="M14" s="1340"/>
    </row>
    <row r="15" spans="2:14" ht="20.100000000000001" customHeight="1" x14ac:dyDescent="0.2">
      <c r="B15" s="1334" t="s">
        <v>2127</v>
      </c>
      <c r="C15" s="1338">
        <v>93.778000000000006</v>
      </c>
      <c r="D15" s="1339">
        <v>4992</v>
      </c>
      <c r="E15" s="1340"/>
      <c r="F15" s="1340">
        <v>21104</v>
      </c>
      <c r="G15" s="1340"/>
      <c r="H15" s="1340"/>
      <c r="I15" s="1340">
        <v>21104</v>
      </c>
      <c r="J15" s="1340"/>
      <c r="K15" s="1340"/>
      <c r="L15" s="1337">
        <f t="shared" si="0"/>
        <v>21104</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2128</v>
      </c>
      <c r="C17" s="1338"/>
      <c r="D17" s="1339"/>
      <c r="E17" s="1340"/>
      <c r="F17" s="1340">
        <v>21104</v>
      </c>
      <c r="G17" s="1340"/>
      <c r="H17" s="1340"/>
      <c r="I17" s="1340">
        <v>21104</v>
      </c>
      <c r="J17" s="1340"/>
      <c r="K17" s="1340"/>
      <c r="L17" s="1337">
        <f t="shared" si="0"/>
        <v>21104</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2129</v>
      </c>
      <c r="C20" s="1338"/>
      <c r="D20" s="1339"/>
      <c r="E20" s="1340"/>
      <c r="F20" s="1340">
        <v>1107531</v>
      </c>
      <c r="G20" s="1340"/>
      <c r="H20" s="1340"/>
      <c r="I20" s="1340">
        <v>1087769</v>
      </c>
      <c r="J20" s="1340"/>
      <c r="K20" s="1340"/>
      <c r="L20" s="1337">
        <f t="shared" si="0"/>
        <v>1087769</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1735</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1838</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1736</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1737</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1738</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1739</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4" zoomScale="120" zoomScaleNormal="120" workbookViewId="0">
      <selection activeCell="C43" sqref="C4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Paxton-Buckley-Loda CUD 10</v>
      </c>
      <c r="B1" s="2441"/>
      <c r="C1" s="2441"/>
      <c r="D1" s="2441"/>
      <c r="E1" s="2441"/>
      <c r="F1" s="2441"/>
    </row>
    <row r="2" spans="1:7" ht="13.5" customHeight="1" x14ac:dyDescent="0.2">
      <c r="A2" s="2437">
        <f>'Single Audit Cover'!E7</f>
        <v>9027010026</v>
      </c>
      <c r="B2" s="2437"/>
      <c r="C2" s="2437"/>
      <c r="D2" s="2437"/>
      <c r="E2" s="2437"/>
      <c r="F2" s="2437"/>
      <c r="G2" s="1272"/>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3" t="s">
        <v>1728</v>
      </c>
      <c r="C6" s="317"/>
      <c r="D6" s="317"/>
    </row>
    <row r="7" spans="1:7" ht="60.95" customHeight="1" x14ac:dyDescent="0.2">
      <c r="A7" s="2440" t="s">
        <v>2130</v>
      </c>
      <c r="B7" s="2440"/>
      <c r="C7" s="2440"/>
      <c r="D7" s="2440"/>
      <c r="E7" s="2440"/>
      <c r="F7" s="2440"/>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2085</v>
      </c>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0" t="s">
        <v>2131</v>
      </c>
      <c r="B13" s="2440"/>
      <c r="C13" s="2440"/>
      <c r="D13" s="2440"/>
      <c r="E13" s="2440"/>
      <c r="F13" s="2440"/>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t="s">
        <v>2132</v>
      </c>
      <c r="C17" s="1282"/>
      <c r="D17" s="2444"/>
      <c r="E17" s="2444"/>
      <c r="F17" s="2444"/>
    </row>
    <row r="18" spans="1:6" ht="20.65" customHeight="1" x14ac:dyDescent="0.2">
      <c r="A18" s="1280"/>
      <c r="B18" s="1281"/>
      <c r="C18" s="1282"/>
      <c r="D18" s="2444"/>
      <c r="E18" s="2444"/>
      <c r="F18" s="2444"/>
    </row>
    <row r="19" spans="1:6" ht="20.65" customHeight="1" x14ac:dyDescent="0.2">
      <c r="A19" s="1280"/>
      <c r="B19" s="1281"/>
      <c r="C19" s="1282"/>
      <c r="D19" s="2444"/>
      <c r="E19" s="2444"/>
      <c r="F19" s="2444"/>
    </row>
    <row r="20" spans="1:6" ht="20.65" customHeight="1" x14ac:dyDescent="0.2">
      <c r="A20" s="1280"/>
      <c r="B20" s="1281"/>
      <c r="C20" s="1282"/>
      <c r="D20" s="2444"/>
      <c r="E20" s="2444"/>
      <c r="F20" s="2444"/>
    </row>
    <row r="21" spans="1:6" ht="20.65" customHeight="1" x14ac:dyDescent="0.2">
      <c r="A21" s="1280"/>
      <c r="B21" s="1281"/>
      <c r="C21" s="1282"/>
      <c r="D21" s="2444"/>
      <c r="E21" s="2444"/>
      <c r="F21" s="2444"/>
    </row>
    <row r="22" spans="1:6" ht="20.65" customHeight="1" x14ac:dyDescent="0.2">
      <c r="A22" s="1280"/>
      <c r="B22" s="1281"/>
      <c r="C22" s="1282"/>
      <c r="D22" s="2444"/>
      <c r="E22" s="2444"/>
      <c r="F22" s="2444"/>
    </row>
    <row r="23" spans="1:6" ht="20.65" customHeight="1" x14ac:dyDescent="0.2">
      <c r="A23" s="1280"/>
      <c r="B23" s="1281"/>
      <c r="C23" s="1282"/>
      <c r="D23" s="2444"/>
      <c r="E23" s="2444"/>
      <c r="F23" s="2444"/>
    </row>
    <row r="24" spans="1:6" ht="20.65" customHeight="1" x14ac:dyDescent="0.2">
      <c r="A24" s="1280"/>
      <c r="B24" s="1281"/>
      <c r="C24" s="1282"/>
      <c r="D24" s="2444"/>
      <c r="E24" s="2444"/>
      <c r="F24" s="2444"/>
    </row>
    <row r="25" spans="1:6" ht="20.65" customHeight="1" x14ac:dyDescent="0.2">
      <c r="A25" s="1280"/>
      <c r="B25" s="1281"/>
      <c r="C25" s="1282"/>
      <c r="D25" s="2444"/>
      <c r="E25" s="2444"/>
      <c r="F25" s="2444"/>
    </row>
    <row r="26" spans="1:6" ht="20.65" customHeight="1" x14ac:dyDescent="0.2">
      <c r="A26" s="1280"/>
      <c r="B26" s="1281"/>
      <c r="C26" s="1282"/>
      <c r="D26" s="2444"/>
      <c r="E26" s="2444"/>
      <c r="F26" s="2444"/>
    </row>
    <row r="27" spans="1:6" ht="20.65" customHeight="1" x14ac:dyDescent="0.2">
      <c r="A27" s="1280"/>
      <c r="B27" s="1281"/>
      <c r="C27" s="1282"/>
      <c r="D27" s="2444"/>
      <c r="E27" s="2444"/>
      <c r="F27" s="2444"/>
    </row>
    <row r="28" spans="1:6" ht="20.65" customHeight="1" x14ac:dyDescent="0.2">
      <c r="A28" s="1280"/>
      <c r="B28" s="1281"/>
      <c r="C28" s="1282"/>
      <c r="D28" s="2444"/>
      <c r="E28" s="2444"/>
      <c r="F28" s="2444"/>
    </row>
    <row r="29" spans="1:6" ht="20.65" customHeight="1" x14ac:dyDescent="0.2">
      <c r="A29" s="1280"/>
      <c r="B29" s="1281"/>
      <c r="C29" s="1282"/>
      <c r="D29" s="2444"/>
      <c r="E29" s="2444"/>
      <c r="F29" s="2444"/>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8" t="s">
        <v>1730</v>
      </c>
      <c r="B32" s="2448"/>
      <c r="C32" s="2448"/>
      <c r="D32" s="2448"/>
      <c r="E32" s="2448"/>
      <c r="F32" s="2448"/>
    </row>
    <row r="33" spans="1:6" ht="13.5" customHeight="1" x14ac:dyDescent="0.2">
      <c r="A33" s="328" t="s">
        <v>1434</v>
      </c>
      <c r="B33" s="328"/>
      <c r="C33" s="1285">
        <v>35296</v>
      </c>
      <c r="D33" s="1903"/>
      <c r="E33" s="1283"/>
    </row>
    <row r="34" spans="1:6" ht="13.5" customHeight="1" x14ac:dyDescent="0.2">
      <c r="A34" s="328" t="s">
        <v>1836</v>
      </c>
      <c r="B34" s="328"/>
      <c r="C34" s="1286">
        <v>8350</v>
      </c>
      <c r="D34" s="1903" t="s">
        <v>1589</v>
      </c>
      <c r="E34" s="2449">
        <f>+C33+C34</f>
        <v>43646</v>
      </c>
      <c r="F34" s="2450"/>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2133</v>
      </c>
      <c r="D38" s="1903"/>
      <c r="E38" s="1283"/>
    </row>
    <row r="39" spans="1:6" ht="14.25" customHeight="1" x14ac:dyDescent="0.2">
      <c r="A39" s="328"/>
      <c r="B39" s="328" t="s">
        <v>1436</v>
      </c>
      <c r="C39" s="1289" t="s">
        <v>2133</v>
      </c>
      <c r="D39" s="1903"/>
      <c r="E39" s="1283"/>
    </row>
    <row r="40" spans="1:6" ht="14.25" customHeight="1" x14ac:dyDescent="0.2">
      <c r="A40" s="328"/>
      <c r="B40" s="328" t="s">
        <v>1437</v>
      </c>
      <c r="C40" s="1289" t="s">
        <v>2133</v>
      </c>
      <c r="D40" s="1903"/>
      <c r="E40" s="1283"/>
    </row>
    <row r="41" spans="1:6" ht="14.25" customHeight="1" x14ac:dyDescent="0.2">
      <c r="A41" s="328"/>
      <c r="B41" s="328" t="s">
        <v>1438</v>
      </c>
      <c r="C41" s="1289" t="s">
        <v>2133</v>
      </c>
      <c r="D41" s="1903"/>
      <c r="E41" s="1283"/>
    </row>
    <row r="42" spans="1:6" ht="14.25" customHeight="1" x14ac:dyDescent="0.2">
      <c r="A42" s="328" t="s">
        <v>1439</v>
      </c>
      <c r="B42" s="328"/>
      <c r="C42" s="1901" t="s">
        <v>2133</v>
      </c>
      <c r="D42" s="1903"/>
      <c r="E42" s="1283"/>
    </row>
    <row r="43" spans="1:6" ht="14.25" customHeight="1" x14ac:dyDescent="0.2">
      <c r="A43" s="328" t="s">
        <v>1440</v>
      </c>
      <c r="B43" s="328"/>
      <c r="C43" s="1290" t="s">
        <v>2133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1731</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1" t="s">
        <v>1590</v>
      </c>
      <c r="C49" s="2451"/>
      <c r="D49" s="2451"/>
      <c r="E49" s="1396"/>
    </row>
    <row r="50" spans="1:5" s="1297" customFormat="1" ht="3.75" customHeight="1" x14ac:dyDescent="0.2">
      <c r="A50" s="1296"/>
      <c r="B50" s="1845"/>
      <c r="C50" s="1845"/>
      <c r="D50" s="1845"/>
      <c r="E50" s="1396"/>
    </row>
    <row r="51" spans="1:5" s="1297" customFormat="1" ht="20.25" customHeight="1" x14ac:dyDescent="0.2">
      <c r="A51" s="1298">
        <v>6</v>
      </c>
      <c r="B51" s="2447" t="s">
        <v>1551</v>
      </c>
      <c r="C51" s="2447"/>
      <c r="D51" s="2447"/>
    </row>
    <row r="52" spans="1:5" ht="14.25" customHeight="1" x14ac:dyDescent="0.2">
      <c r="A52" s="1298"/>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5" zoomScale="110" zoomScaleNormal="110" workbookViewId="0">
      <selection activeCell="G52" sqref="G52"/>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Paxton-Buckley-Loda CUD 10</v>
      </c>
      <c r="C1" s="2457"/>
      <c r="D1" s="2457"/>
      <c r="E1" s="2457"/>
      <c r="F1" s="2457"/>
      <c r="G1" s="2457"/>
      <c r="H1" s="2457"/>
      <c r="I1" s="2457"/>
      <c r="J1" s="1406"/>
    </row>
    <row r="2" spans="2:10" s="317" customFormat="1" ht="12.75" customHeight="1" x14ac:dyDescent="0.2">
      <c r="B2" s="2458">
        <f>'Single Audit Cover'!E7</f>
        <v>9027010026</v>
      </c>
      <c r="C2" s="2459"/>
      <c r="D2" s="2459"/>
      <c r="E2" s="2459"/>
      <c r="F2" s="2459"/>
      <c r="G2" s="2459"/>
      <c r="H2" s="2459"/>
      <c r="I2" s="2459"/>
      <c r="J2" s="1406"/>
    </row>
    <row r="3" spans="2:10" s="317" customFormat="1" ht="12.75" customHeight="1" x14ac:dyDescent="0.2">
      <c r="B3" s="2460" t="s">
        <v>1285</v>
      </c>
      <c r="C3" s="2461"/>
      <c r="D3" s="2461"/>
      <c r="E3" s="2461"/>
      <c r="F3" s="2461"/>
      <c r="G3" s="2461"/>
      <c r="H3" s="2461"/>
      <c r="I3" s="2461"/>
      <c r="J3" s="1407"/>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0" t="s">
        <v>1284</v>
      </c>
      <c r="C7" s="2461"/>
      <c r="D7" s="2461"/>
      <c r="E7" s="2461"/>
      <c r="F7" s="2461"/>
      <c r="G7" s="2461"/>
      <c r="H7" s="2461"/>
      <c r="I7" s="246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2" t="s">
        <v>2134</v>
      </c>
      <c r="D11" s="246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2085</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2085</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2085</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2085</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2085</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3" t="s">
        <v>2135</v>
      </c>
      <c r="E29" s="2463"/>
      <c r="F29" s="2463"/>
      <c r="G29" s="2463"/>
      <c r="H29" s="2463"/>
      <c r="I29" s="2463"/>
    </row>
    <row r="30" spans="2:9" s="317" customFormat="1" x14ac:dyDescent="0.2">
      <c r="B30" s="1365"/>
      <c r="C30" s="322"/>
      <c r="D30" s="1417" t="s">
        <v>1746</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2085</v>
      </c>
      <c r="H33" s="1297" t="s">
        <v>99</v>
      </c>
    </row>
    <row r="35" spans="2:9" x14ac:dyDescent="0.2">
      <c r="B35" s="1425" t="s">
        <v>1747</v>
      </c>
      <c r="C35" s="1426"/>
      <c r="D35" s="1264"/>
    </row>
    <row r="36" spans="2:9" ht="6" customHeight="1" x14ac:dyDescent="0.2">
      <c r="B36" s="1425"/>
      <c r="C36" s="1426"/>
      <c r="D36" s="1264"/>
    </row>
    <row r="37" spans="2:9" ht="17.25" customHeight="1" x14ac:dyDescent="0.2">
      <c r="B37" s="1427" t="s">
        <v>1748</v>
      </c>
      <c r="C37" s="2464" t="s">
        <v>1749</v>
      </c>
      <c r="D37" s="2465"/>
      <c r="E37" s="2465"/>
      <c r="F37" s="2466"/>
      <c r="G37" s="2464" t="s">
        <v>1592</v>
      </c>
      <c r="H37" s="2465"/>
      <c r="I37" s="2466"/>
    </row>
    <row r="38" spans="2:9" ht="16.5" customHeight="1" x14ac:dyDescent="0.2">
      <c r="B38" s="1428" t="s">
        <v>2122</v>
      </c>
      <c r="C38" s="2452" t="s">
        <v>2138</v>
      </c>
      <c r="D38" s="2453"/>
      <c r="E38" s="2453"/>
      <c r="F38" s="2454"/>
      <c r="G38" s="2467">
        <v>282005</v>
      </c>
      <c r="H38" s="2468"/>
      <c r="I38" s="2469"/>
    </row>
    <row r="39" spans="2:9" ht="16.5" customHeight="1" x14ac:dyDescent="0.2">
      <c r="B39" s="1428">
        <v>10.555</v>
      </c>
      <c r="C39" s="2452" t="s">
        <v>2139</v>
      </c>
      <c r="D39" s="2453"/>
      <c r="E39" s="2453"/>
      <c r="F39" s="2454"/>
      <c r="G39" s="2455">
        <v>353786</v>
      </c>
      <c r="H39" s="2455"/>
      <c r="I39" s="2455"/>
    </row>
    <row r="40" spans="2:9" ht="16.5" customHeight="1" x14ac:dyDescent="0.2">
      <c r="B40" s="1428"/>
      <c r="C40" s="2452"/>
      <c r="D40" s="2453"/>
      <c r="E40" s="2453"/>
      <c r="F40" s="2454"/>
      <c r="G40" s="2455"/>
      <c r="H40" s="2455"/>
      <c r="I40" s="2455"/>
    </row>
    <row r="41" spans="2:9" ht="16.5" customHeight="1" x14ac:dyDescent="0.2">
      <c r="B41" s="1428"/>
      <c r="C41" s="2452"/>
      <c r="D41" s="2453"/>
      <c r="E41" s="2453"/>
      <c r="F41" s="2454"/>
      <c r="G41" s="2455"/>
      <c r="H41" s="2455"/>
      <c r="I41" s="2455"/>
    </row>
    <row r="42" spans="2:9" ht="16.5" customHeight="1" x14ac:dyDescent="0.2">
      <c r="B42" s="1428"/>
      <c r="C42" s="2452"/>
      <c r="D42" s="2453"/>
      <c r="E42" s="2453"/>
      <c r="F42" s="2454"/>
      <c r="G42" s="2455"/>
      <c r="H42" s="2455"/>
      <c r="I42" s="2455"/>
    </row>
    <row r="43" spans="2:9" ht="16.5" customHeight="1" x14ac:dyDescent="0.2">
      <c r="B43" s="1428"/>
      <c r="C43" s="2470" t="s">
        <v>1593</v>
      </c>
      <c r="D43" s="2471"/>
      <c r="E43" s="2471"/>
      <c r="F43" s="2472"/>
      <c r="G43" s="2473">
        <f>SUM(G38:I42)</f>
        <v>635791</v>
      </c>
      <c r="H43" s="2473"/>
      <c r="I43" s="2473"/>
    </row>
    <row r="44" spans="2:9" ht="12.75" customHeight="1" x14ac:dyDescent="0.2"/>
    <row r="45" spans="2:9" ht="12.75" customHeight="1" x14ac:dyDescent="0.2">
      <c r="B45" s="1419" t="s">
        <v>2060</v>
      </c>
      <c r="D45" s="2474">
        <v>1087768</v>
      </c>
      <c r="E45" s="2475"/>
    </row>
    <row r="46" spans="2:9" ht="5.25" customHeight="1" x14ac:dyDescent="0.2">
      <c r="B46" s="1429"/>
      <c r="D46" s="1430"/>
      <c r="E46" s="1431"/>
    </row>
    <row r="47" spans="2:9" ht="12.75" customHeight="1" x14ac:dyDescent="0.2">
      <c r="B47" s="1297" t="s">
        <v>1594</v>
      </c>
      <c r="C47" s="1297"/>
      <c r="D47" s="1432">
        <f>+G43/D45</f>
        <v>0.58449136212868924</v>
      </c>
      <c r="E47" s="1433"/>
      <c r="F47" s="1434"/>
      <c r="I47" s="1435"/>
    </row>
    <row r="48" spans="2:9" ht="9.9499999999999993" customHeight="1" x14ac:dyDescent="0.2"/>
    <row r="49" spans="1:9" x14ac:dyDescent="0.2">
      <c r="B49" s="1365" t="s">
        <v>1273</v>
      </c>
      <c r="C49" s="1279"/>
      <c r="D49" s="1279"/>
      <c r="E49" s="2476">
        <v>750000</v>
      </c>
      <c r="F49" s="2476"/>
      <c r="G49" s="2476"/>
      <c r="H49" s="322"/>
    </row>
    <row r="51" spans="1:9" ht="13.5" customHeight="1" x14ac:dyDescent="0.2">
      <c r="B51" s="1365" t="s">
        <v>1272</v>
      </c>
      <c r="C51" s="1279"/>
      <c r="E51" s="1422"/>
      <c r="F51" s="1297" t="s">
        <v>885</v>
      </c>
      <c r="G51" s="1422" t="s">
        <v>2140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1750</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1751</v>
      </c>
      <c r="C58" s="1448"/>
      <c r="D58" s="1448"/>
    </row>
    <row r="59" spans="1:9" s="1445" customFormat="1" ht="3.95" customHeight="1" x14ac:dyDescent="0.2">
      <c r="A59" s="1442"/>
      <c r="B59" s="1447"/>
      <c r="C59" s="1448"/>
      <c r="D59" s="1448"/>
    </row>
    <row r="60" spans="1:9" s="1445" customFormat="1" ht="13.5" customHeight="1" x14ac:dyDescent="0.2">
      <c r="A60" s="1442"/>
      <c r="B60" s="1447" t="s">
        <v>1752</v>
      </c>
      <c r="C60" s="1448"/>
      <c r="D60" s="1448"/>
    </row>
    <row r="61" spans="1:9" s="1445" customFormat="1" ht="3.95" customHeight="1" x14ac:dyDescent="0.2">
      <c r="A61" s="1442"/>
      <c r="B61" s="1447"/>
      <c r="C61" s="1448"/>
      <c r="D61" s="1448"/>
    </row>
    <row r="62" spans="1:9" s="1445" customFormat="1" ht="12.75" customHeight="1" x14ac:dyDescent="0.2">
      <c r="A62" s="1442"/>
      <c r="B62" s="1447" t="s">
        <v>1753</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Paxton-Buckley-Loda CUD 10</v>
      </c>
      <c r="C1" s="2456"/>
      <c r="D1" s="2456"/>
      <c r="E1" s="2456"/>
      <c r="F1" s="2456"/>
      <c r="G1" s="2456"/>
      <c r="H1" s="2456"/>
      <c r="I1" s="2456"/>
      <c r="J1" s="2456"/>
      <c r="K1" s="2456"/>
      <c r="L1" s="1371"/>
      <c r="M1" s="1371"/>
    </row>
    <row r="2" spans="1:13" ht="12" customHeight="1" x14ac:dyDescent="0.2">
      <c r="B2" s="2458">
        <f>'Single Audit Cover'!E7</f>
        <v>9027010026</v>
      </c>
      <c r="C2" s="2458"/>
      <c r="D2" s="2458"/>
      <c r="E2" s="2458"/>
      <c r="F2" s="2458"/>
      <c r="G2" s="2458"/>
      <c r="H2" s="2458"/>
      <c r="I2" s="2458"/>
      <c r="J2" s="2458"/>
      <c r="K2" s="2458"/>
      <c r="L2" s="1372"/>
      <c r="M2" s="1373"/>
    </row>
    <row r="3" spans="1:13" ht="10.35" customHeight="1" x14ac:dyDescent="0.2">
      <c r="B3" s="2479" t="s">
        <v>1285</v>
      </c>
      <c r="C3" s="2479"/>
      <c r="D3" s="2479"/>
      <c r="E3" s="2479"/>
      <c r="F3" s="2479"/>
      <c r="G3" s="2479"/>
      <c r="H3" s="2479"/>
      <c r="I3" s="2479"/>
      <c r="J3" s="2479"/>
      <c r="K3" s="2479"/>
      <c r="L3" s="1374"/>
      <c r="M3" s="1374"/>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0" t="s">
        <v>1296</v>
      </c>
      <c r="C7" s="2480"/>
      <c r="D7" s="2481"/>
      <c r="E7" s="2481"/>
      <c r="F7" s="2481"/>
      <c r="G7" s="2481"/>
      <c r="H7" s="2481"/>
      <c r="I7" s="2481"/>
      <c r="J7" s="2481"/>
      <c r="K7" s="248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1740</v>
      </c>
      <c r="C10" s="1382" t="s">
        <v>1987</v>
      </c>
      <c r="D10" s="1383">
        <v>1</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8" t="s">
        <v>2132</v>
      </c>
      <c r="C14" s="2478"/>
      <c r="D14" s="2478"/>
      <c r="E14" s="2478"/>
      <c r="F14" s="2478"/>
      <c r="G14" s="2478"/>
      <c r="H14" s="2478"/>
      <c r="I14" s="2478"/>
      <c r="J14" s="2478"/>
      <c r="K14" s="247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8"/>
      <c r="C17" s="2478"/>
      <c r="D17" s="2478"/>
      <c r="E17" s="2478"/>
      <c r="F17" s="2478"/>
      <c r="G17" s="2478"/>
      <c r="H17" s="2478"/>
      <c r="I17" s="2478"/>
      <c r="J17" s="2478"/>
      <c r="K17" s="2478"/>
      <c r="L17" s="1378"/>
    </row>
    <row r="18" spans="2:12" ht="4.5" customHeight="1" x14ac:dyDescent="0.2">
      <c r="B18" s="1395"/>
      <c r="C18" s="1395"/>
      <c r="L18" s="1378"/>
    </row>
    <row r="19" spans="2:12" s="1279" customFormat="1" ht="13.5" customHeight="1" x14ac:dyDescent="0.2">
      <c r="B19" s="1390" t="s">
        <v>1741</v>
      </c>
      <c r="C19" s="1390"/>
      <c r="D19" s="1391"/>
      <c r="E19" s="1391"/>
      <c r="F19" s="1391"/>
      <c r="G19" s="1392"/>
      <c r="H19" s="1391"/>
      <c r="I19" s="1392"/>
      <c r="J19" s="1391"/>
      <c r="K19" s="1391"/>
      <c r="L19" s="1393"/>
    </row>
    <row r="20" spans="2:12" ht="45.75" customHeight="1" x14ac:dyDescent="0.2">
      <c r="B20" s="2482"/>
      <c r="C20" s="2482"/>
      <c r="D20" s="2478"/>
      <c r="E20" s="2478"/>
      <c r="F20" s="2478"/>
      <c r="G20" s="2478"/>
      <c r="H20" s="2478"/>
      <c r="I20" s="2478"/>
      <c r="J20" s="2478"/>
      <c r="K20" s="247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8"/>
      <c r="C23" s="2478"/>
      <c r="D23" s="2478"/>
      <c r="E23" s="2478"/>
      <c r="F23" s="2478"/>
      <c r="G23" s="2478"/>
      <c r="H23" s="2478"/>
      <c r="I23" s="2478"/>
      <c r="J23" s="2478"/>
      <c r="K23" s="247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8"/>
      <c r="C26" s="2478"/>
      <c r="D26" s="2478"/>
      <c r="E26" s="2478"/>
      <c r="F26" s="2478"/>
      <c r="G26" s="2478"/>
      <c r="H26" s="2478"/>
      <c r="I26" s="2478"/>
      <c r="J26" s="2478"/>
      <c r="K26" s="247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7"/>
      <c r="C29" s="2477"/>
      <c r="D29" s="2478"/>
      <c r="E29" s="2478"/>
      <c r="F29" s="2478"/>
      <c r="G29" s="2478"/>
      <c r="H29" s="2478"/>
      <c r="I29" s="2478"/>
      <c r="J29" s="2478"/>
      <c r="K29" s="247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1742</v>
      </c>
      <c r="C31" s="1400"/>
      <c r="D31" s="1375"/>
      <c r="E31" s="1376"/>
      <c r="F31" s="1376"/>
      <c r="G31" s="1377"/>
      <c r="H31" s="1376"/>
      <c r="I31" s="1377"/>
      <c r="J31" s="1376"/>
      <c r="K31" s="1376"/>
      <c r="L31" s="1378"/>
    </row>
    <row r="32" spans="2:12" s="322" customFormat="1" ht="44.25" customHeight="1" x14ac:dyDescent="0.2">
      <c r="B32" s="2477"/>
      <c r="C32" s="2477"/>
      <c r="D32" s="2478"/>
      <c r="E32" s="2478"/>
      <c r="F32" s="2478"/>
      <c r="G32" s="2478"/>
      <c r="H32" s="2478"/>
      <c r="I32" s="2478"/>
      <c r="J32" s="2478"/>
      <c r="K32" s="247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1743</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1744</v>
      </c>
      <c r="C38" s="1404"/>
    </row>
    <row r="39" spans="1:13" ht="9.6" customHeight="1" x14ac:dyDescent="0.2">
      <c r="B39" s="1297" t="s">
        <v>1286</v>
      </c>
      <c r="C39" s="1297"/>
      <c r="M39" s="1405"/>
    </row>
    <row r="40" spans="1:13" ht="12.6" customHeight="1" x14ac:dyDescent="0.2">
      <c r="B40" s="1404" t="s">
        <v>1745</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Paxton-Buckley-Loda CUD 10</v>
      </c>
      <c r="C1" s="2483"/>
      <c r="D1" s="2483"/>
      <c r="E1" s="2483"/>
      <c r="F1" s="2483"/>
      <c r="G1" s="2483"/>
      <c r="H1" s="2483"/>
      <c r="I1" s="2483"/>
      <c r="J1" s="2483"/>
      <c r="K1" s="2483"/>
      <c r="L1" s="1449"/>
    </row>
    <row r="2" spans="1:12" ht="12.75" customHeight="1" x14ac:dyDescent="0.2">
      <c r="B2" s="2484">
        <f>'Single Audit Cover'!E7</f>
        <v>9027010026</v>
      </c>
      <c r="C2" s="2484"/>
      <c r="D2" s="2484"/>
      <c r="E2" s="2484"/>
      <c r="F2" s="2484"/>
      <c r="G2" s="2484"/>
      <c r="H2" s="2484"/>
      <c r="I2" s="2484"/>
      <c r="J2" s="2484"/>
      <c r="K2" s="2484"/>
      <c r="L2" s="1450"/>
    </row>
    <row r="3" spans="1:12" ht="12.75" customHeight="1" x14ac:dyDescent="0.2">
      <c r="B3" s="2479" t="s">
        <v>1285</v>
      </c>
      <c r="C3" s="2479"/>
      <c r="D3" s="2479"/>
      <c r="E3" s="2479"/>
      <c r="F3" s="2479"/>
      <c r="G3" s="2479"/>
      <c r="H3" s="2479"/>
      <c r="I3" s="2479"/>
      <c r="J3" s="2479"/>
      <c r="K3" s="2479"/>
      <c r="L3" s="1374"/>
    </row>
    <row r="4" spans="1:12" ht="12.75" customHeight="1" x14ac:dyDescent="0.2">
      <c r="B4" s="2479" t="str">
        <f>'Single Audit Cover'!A4</f>
        <v>Year Ending June 30, 2019</v>
      </c>
      <c r="C4" s="2479"/>
      <c r="D4" s="2479"/>
      <c r="E4" s="2479"/>
      <c r="F4" s="2479"/>
      <c r="G4" s="2479"/>
      <c r="H4" s="2479"/>
      <c r="I4" s="2479"/>
      <c r="J4" s="2479"/>
      <c r="K4" s="2479"/>
      <c r="L4" s="1374"/>
    </row>
    <row r="5" spans="1:12" ht="5.25" customHeight="1" x14ac:dyDescent="0.2">
      <c r="B5" s="1257" t="s">
        <v>1169</v>
      </c>
      <c r="C5" s="1257"/>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6"/>
      <c r="C7" s="1376"/>
      <c r="D7" s="1376"/>
      <c r="E7" s="1376"/>
      <c r="F7" s="1376"/>
      <c r="G7" s="1377"/>
      <c r="H7" s="1376"/>
      <c r="I7" s="1377"/>
      <c r="J7" s="1376"/>
      <c r="K7" s="1376"/>
      <c r="L7" s="322"/>
    </row>
    <row r="8" spans="1:12" ht="13.5" customHeight="1" x14ac:dyDescent="0.2">
      <c r="B8" s="1384" t="s">
        <v>1754</v>
      </c>
      <c r="C8" s="1451" t="s">
        <v>1987</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3"/>
      <c r="G12" s="2463"/>
      <c r="H12" s="2463"/>
      <c r="I12" s="2463"/>
      <c r="J12" s="2463"/>
      <c r="K12" s="246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6"/>
      <c r="E14" s="2486"/>
      <c r="F14" s="2486"/>
      <c r="H14" s="1459" t="s">
        <v>1303</v>
      </c>
      <c r="I14" s="2487"/>
      <c r="J14" s="2487"/>
      <c r="K14" s="248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7"/>
      <c r="E16" s="2487"/>
      <c r="F16" s="2487"/>
      <c r="G16" s="2487"/>
      <c r="H16" s="2487"/>
      <c r="I16" s="2487"/>
      <c r="J16" s="2487"/>
      <c r="K16" s="2487"/>
      <c r="L16" s="322"/>
    </row>
    <row r="17" spans="2:12" ht="13.5" customHeight="1" x14ac:dyDescent="0.2">
      <c r="B17" s="1384" t="s">
        <v>1301</v>
      </c>
      <c r="C17" s="1384"/>
      <c r="D17" s="2488"/>
      <c r="E17" s="2488"/>
      <c r="F17" s="2488"/>
      <c r="G17" s="2488"/>
      <c r="H17" s="2488"/>
      <c r="I17" s="2488"/>
      <c r="J17" s="2488"/>
      <c r="K17" s="248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8" t="s">
        <v>2132</v>
      </c>
      <c r="C20" s="2478"/>
      <c r="D20" s="2478"/>
      <c r="E20" s="2478"/>
      <c r="F20" s="2478"/>
      <c r="G20" s="2478"/>
      <c r="H20" s="2478"/>
      <c r="I20" s="2478"/>
      <c r="J20" s="2478"/>
      <c r="K20" s="247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1755</v>
      </c>
      <c r="C22" s="1461"/>
      <c r="D22" s="322"/>
      <c r="E22" s="322"/>
      <c r="F22" s="322"/>
      <c r="G22" s="1380"/>
      <c r="H22" s="322"/>
      <c r="I22" s="1380"/>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1756</v>
      </c>
      <c r="C25" s="1461"/>
      <c r="D25" s="322"/>
      <c r="E25" s="322"/>
      <c r="F25" s="322"/>
      <c r="G25" s="1380"/>
      <c r="H25" s="322"/>
      <c r="I25" s="1380"/>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1757</v>
      </c>
      <c r="C28" s="1461"/>
      <c r="D28" s="322"/>
      <c r="E28" s="322"/>
      <c r="F28" s="322"/>
      <c r="G28" s="1380"/>
      <c r="H28" s="322"/>
      <c r="I28" s="1380"/>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1758</v>
      </c>
      <c r="C40" s="1400"/>
      <c r="D40" s="1375"/>
      <c r="E40" s="1376"/>
      <c r="F40" s="1376"/>
      <c r="G40" s="1377"/>
      <c r="H40" s="1376"/>
      <c r="I40" s="1377"/>
      <c r="J40" s="1376"/>
      <c r="K40" s="1376"/>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1759</v>
      </c>
      <c r="C44" s="1403"/>
      <c r="D44" s="322"/>
      <c r="E44" s="322"/>
      <c r="F44" s="322"/>
    </row>
    <row r="45" spans="2:12" ht="10.5" customHeight="1" x14ac:dyDescent="0.2">
      <c r="B45" s="1404" t="s">
        <v>1760</v>
      </c>
      <c r="C45" s="1404"/>
      <c r="G45" s="317"/>
      <c r="I45" s="317"/>
    </row>
    <row r="46" spans="2:12" ht="11.1" customHeight="1" x14ac:dyDescent="0.2">
      <c r="B46" s="1404" t="s">
        <v>1761</v>
      </c>
      <c r="C46" s="1404"/>
      <c r="G46" s="317"/>
      <c r="I46" s="317"/>
    </row>
    <row r="47" spans="2:12" ht="11.1" customHeight="1" x14ac:dyDescent="0.2">
      <c r="B47" s="1404" t="s">
        <v>1762</v>
      </c>
      <c r="C47" s="1404"/>
      <c r="G47" s="317"/>
      <c r="I47" s="317"/>
    </row>
    <row r="48" spans="2:12" ht="11.1" customHeight="1" x14ac:dyDescent="0.2">
      <c r="B48" s="1404" t="s">
        <v>1763</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Paxton-Buckley-Loda CUD 10</v>
      </c>
      <c r="C1" s="2456"/>
      <c r="D1" s="2456"/>
      <c r="E1" s="1469"/>
    </row>
    <row r="2" spans="2:5" s="1279" customFormat="1" ht="12.75" customHeight="1" x14ac:dyDescent="0.2">
      <c r="B2" s="2458">
        <f>'Single Audit Cover'!E7</f>
        <v>9027010026</v>
      </c>
      <c r="C2" s="2458"/>
      <c r="D2" s="2458"/>
      <c r="E2" s="1470"/>
    </row>
    <row r="3" spans="2:5" ht="12.75" customHeight="1" x14ac:dyDescent="0.2">
      <c r="B3" s="2479" t="s">
        <v>1764</v>
      </c>
      <c r="C3" s="2479"/>
      <c r="D3" s="2479"/>
      <c r="E3" s="1271"/>
    </row>
    <row r="4" spans="2:5" s="1279" customFormat="1" ht="12.75" customHeight="1" x14ac:dyDescent="0.2">
      <c r="B4" s="2489" t="str">
        <f>'Single Audit Cover'!A4</f>
        <v>Year Ending June 30, 2019</v>
      </c>
      <c r="C4" s="2489"/>
      <c r="D4" s="2489"/>
      <c r="E4" s="1471"/>
    </row>
    <row r="5" spans="2:5" s="1279" customFormat="1" ht="40.15" customHeight="1" x14ac:dyDescent="0.2">
      <c r="B5" s="1472" t="s">
        <v>1765</v>
      </c>
      <c r="C5" s="328"/>
      <c r="D5" s="328"/>
      <c r="E5" s="328"/>
    </row>
    <row r="6" spans="2:5" s="1279" customFormat="1" ht="13.5" customHeight="1" x14ac:dyDescent="0.2">
      <c r="B6" s="1473" t="s">
        <v>1315</v>
      </c>
      <c r="C6" s="1473" t="s">
        <v>1314</v>
      </c>
      <c r="D6" s="1473" t="s">
        <v>1766</v>
      </c>
    </row>
    <row r="7" spans="2:5" ht="13.5" customHeight="1" x14ac:dyDescent="0.2">
      <c r="B7" s="1474" t="s">
        <v>2141</v>
      </c>
      <c r="C7" s="324" t="s">
        <v>2142</v>
      </c>
      <c r="D7" s="324" t="s">
        <v>2143</v>
      </c>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1767</v>
      </c>
    </row>
    <row r="46" spans="2:5" ht="12.2" customHeight="1" x14ac:dyDescent="0.2">
      <c r="B46" s="1483" t="s">
        <v>1768</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http://purl.org/dc/dcmitype/"/>
    <ds:schemaRef ds:uri="http://www.w3.org/XML/1998/namespace"/>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18</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 (3)</vt:lpstr>
      <vt:lpstr> SEFA</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2019-10-02T13:04:36Z</cp:lastPrinted>
  <dcterms:created xsi:type="dcterms:W3CDTF">2003-10-29T19:06:34Z</dcterms:created>
  <dcterms:modified xsi:type="dcterms:W3CDTF">2019-12-23T21:49:59Z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