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52401F9-59FE-4963-B846-45D5BD154C3B}"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 i="7" l="1"/>
  <c r="C10" i="7"/>
  <c r="C16" i="7"/>
  <c r="C8" i="7"/>
  <c r="C7" i="7"/>
  <c r="C6" i="7"/>
  <c r="C5" i="7"/>
  <c r="C14" i="7"/>
  <c r="C13" i="7"/>
  <c r="C4" i="7"/>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50" i="127"/>
  <c r="B51"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77" i="4" l="1"/>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6" i="11" l="1"/>
  <c r="B2061" i="106" s="1"/>
  <c r="D2061" i="106" s="1"/>
  <c r="N23" i="3"/>
  <c r="B284" i="106" s="1"/>
  <c r="D284" i="106" s="1"/>
  <c r="B5527" i="106"/>
  <c r="D5527"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<sst xmlns="http://schemas.openxmlformats.org/spreadsheetml/2006/main" count="5082" uniqueCount="2111">
  <si>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</si>
  <si>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</si>
  <si>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</si>
  <si>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</si>
  <si>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</si>
  <si>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</si>
  <si>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</si>
  <si>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</si>
  <si>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</si>
  <si>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</si>
  <si>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</si>
  <si>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</si>
  <si>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</si>
  <si>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</si>
  <si>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</si>
  <si>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</si>
  <si>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</si>
  <si>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</si>
  <si>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</si>
  <si>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</si>
  <si>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</si>
  <si>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</si>
  <si>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</si>
  <si>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</si>
  <si>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</si>
  <si>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</si>
  <si>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</si>
  <si>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</si>
  <si>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</si>
  <si>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</si>
  <si>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</si>
  <si>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</si>
  <si>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</si>
  <si>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</si>
  <si>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</si>
  <si>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</si>
  <si>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</si>
  <si>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</si>
  <si>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</si>
  <si>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</si>
  <si>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</si>
  <si>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</si>
  <si>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</si>
  <si>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</si>
  <si>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</si>
  <si>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</si>
  <si>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</si>
  <si>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</si>
  <si>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</si>
  <si>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</si>
  <si>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</si>
  <si>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</si>
  <si>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</si>
  <si>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</si>
  <si>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</si>
  <si>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</si>
  <si>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</si>
  <si>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</si>
  <si>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</si>
  <si>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</si>
  <si>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</si>
  <si>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</si>
  <si>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</si>
  <si>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</si>
  <si>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</si>
  <si>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</si>
  <si>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</si>
  <si>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</si>
  <si>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</si>
  <si>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</si>
  <si>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</si>
  <si>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</si>
  <si>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</si>
  <si>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</si>
  <si>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</si>
  <si>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</si>
  <si>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</si>
  <si>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</si>
  <si>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</si>
  <si>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</si>
  <si>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</si>
  <si>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</si>
  <si>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</si>
  <si>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</si>
  <si>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</si>
  <si>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</si>
  <si>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</si>
  <si>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</si>
  <si>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</si>
  <si>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</si>
  <si>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</si>
  <si>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</si>
  <si>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</si>
  <si>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</si>
  <si>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</si>
  <si>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</si>
  <si>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</si>
  <si>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</si>
  <si>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</si>
  <si>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</si>
  <si>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</si>
  <si>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</si>
  <si>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</si>
  <si>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</si>
  <si>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</si>
  <si>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</si>
  <si>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</si>
  <si>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</si>
  <si>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</si>
  <si>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</si>
  <si>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</si>
  <si>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</si>
  <si>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</si>
  <si>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</si>
  <si>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</si>
  <si>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</si>
  <si>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</si>
  <si>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</si>
  <si>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</si>
  <si>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</si>
  <si>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</si>
  <si>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</si>
  <si>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</si>
  <si>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</si>
  <si>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</si>
  <si>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</si>
  <si>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</si>
  <si>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</si>
  <si>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</si>
  <si>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</si>
  <si>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</si>
  <si>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</si>
  <si>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</si>
  <si>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</si>
  <si>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</si>
  <si>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</si>
  <si>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</si>
  <si>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</si>
  <si>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</si>
  <si>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</si>
  <si>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</si>
  <si>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</si>
  <si>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</si>
  <si>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</si>
  <si>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</si>
  <si>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</si>
  <si>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</si>
  <si>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</si>
  <si>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</si>
  <si>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</si>
  <si>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</si>
  <si>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</si>
  <si>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</si>
  <si>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</si>
  <si>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</si>
  <si>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</si>
  <si>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</si>
  <si>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</si>
  <si>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</si>
  <si>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</si>
  <si>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</si>
  <si>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</si>
  <si>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</si>
  <si>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</si>
  <si>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</si>
  <si>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</si>
  <si>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</si>
  <si>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</si>
  <si>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</si>
  <si>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</si>
  <si>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</si>
  <si>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</si>
  <si>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</si>
  <si>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</si>
  <si>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</si>
  <si>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</si>
  <si>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</si>
  <si>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</si>
  <si>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</si>
  <si>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</si>
  <si>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</si>
  <si>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</si>
  <si>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</si>
  <si>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</si>
  <si>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</si>
  <si>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</si>
  <si>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</si>
  <si>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</si>
  <si>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</si>
  <si>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</si>
  <si>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</si>
  <si>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</si>
  <si>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</si>
  <si>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</si>
  <si>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</si>
  <si>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</si>
  <si>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</si>
  <si>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</si>
  <si>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</si>
  <si>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</si>
  <si>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</si>
  <si>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</si>
  <si>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</si>
  <si>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</si>
  <si>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</si>
  <si>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</si>
  <si>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</si>
  <si>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</si>
  <si>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</si>
  <si>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</si>
  <si>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</si>
  <si>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</si>
  <si>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</si>
  <si>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</si>
  <si>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</si>
  <si>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</si>
  <si>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</si>
  <si>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</si>
  <si>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</si>
  <si>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</si>
  <si>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</si>
  <si>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</si>
  <si>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</si>
  <si>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</si>
  <si>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</si>
  <si>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</si>
  <si>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</si>
  <si>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</si>
  <si>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</si>
  <si>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</si>
  <si>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</si>
  <si>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</si>
  <si>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</si>
  <si>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</si>
  <si>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</si>
  <si>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</si>
  <si>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</si>
  <si>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</si>
  <si>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</si>
  <si>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</si>
  <si>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</si>
  <si>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</si>
  <si>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</si>
  <si>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</si>
  <si>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</si>
  <si>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</si>
  <si>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</si>
  <si>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</si>
  <si>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</si>
  <si>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</si>
  <si>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</si>
  <si>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</si>
  <si>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</si>
  <si>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</si>
  <si>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</si>
  <si>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</si>
  <si>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</si>
  <si>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</si>
  <si>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</si>
  <si>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</si>
  <si>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</si>
  <si>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</si>
  <si>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</si>
  <si>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</si>
  <si>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</si>
  <si>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</si>
  <si>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</si>
  <si>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</si>
  <si>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</si>
  <si>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</si>
  <si>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</si>
  <si>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</si>
  <si>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</si>
  <si>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</si>
  <si>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</si>
  <si>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</si>
  <si>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</si>
  <si>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</si>
  <si>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</si>
  <si>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</si>
  <si>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</si>
  <si>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</si>
  <si>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</si>
  <si>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</si>
  <si>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</si>
  <si>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</si>
  <si>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</si>
  <si>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</si>
  <si>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</si>
  <si>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</si>
  <si>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</si>
  <si>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</si>
  <si>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</si>
  <si>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</si>
  <si>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</si>
  <si>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</si>
  <si>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</si>
  <si>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</si>
  <si>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</si>
  <si>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</si>
  <si>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</si>
  <si>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</si>
  <si>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</si>
  <si>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</si>
  <si>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</si>
  <si>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</si>
  <si>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</si>
  <si>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</si>
  <si>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</si>
  <si>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</si>
  <si>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</si>
  <si>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</si>
  <si>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</si>
  <si>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</si>
  <si>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</si>
  <si>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</si>
  <si>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</si>
  <si>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</si>
  <si>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</si>
  <si>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</si>
  <si>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</si>
  <si>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</si>
  <si>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</si>
  <si>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</si>
  <si>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</si>
  <si>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</si>
  <si>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</si>
  <si>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</si>
  <si>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</si>
  <si>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</si>
  <si>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</si>
  <si>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</si>
  <si>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</si>
  <si>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</si>
  <si>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</si>
  <si>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</si>
  <si>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</si>
  <si>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</si>
  <si>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</si>
  <si>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</si>
  <si>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</si>
  <si>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</si>
  <si>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</si>
  <si>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</si>
  <si>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</si>
  <si>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</si>
  <si>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</si>
  <si>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</si>
  <si>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</si>
  <si>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</si>
  <si>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</si>
  <si>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</si>
  <si>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</si>
  <si>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</si>
  <si>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</si>
  <si>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</si>
  <si>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</si>
  <si>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</si>
  <si>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</si>
  <si>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</si>
  <si>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</si>
  <si>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</si>
  <si>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</si>
  <si>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</si>
  <si>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</si>
  <si>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</si>
  <si>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</si>
  <si>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</si>
  <si>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</si>
  <si>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</si>
  <si>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</si>
  <si>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</si>
  <si>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</si>
  <si>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</si>
  <si>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</si>
  <si>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</si>
  <si>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</si>
  <si>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</si>
  <si>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</si>
  <si>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</si>
  <si>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</si>
  <si>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</si>
  <si>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</si>
  <si>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</si>
  <si>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</si>
  <si>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</si>
  <si>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</si>
  <si>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</si>
  <si>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</si>
  <si>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</si>
  <si>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</si>
  <si>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</si>
  <si>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</si>
  <si>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</si>
  <si>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</si>
  <si>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</si>
  <si>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</si>
  <si>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</si>
  <si>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</si>
  <si>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</si>
  <si>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</si>
  <si>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</si>
  <si>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</si>
  <si>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</si>
  <si>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</si>
  <si>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</si>
  <si>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</si>
  <si>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</si>
  <si>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</si>
  <si>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</si>
  <si>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</si>
  <si>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</si>
  <si>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</si>
  <si>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</si>
  <si>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</si>
  <si>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</si>
  <si>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</si>
  <si>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</si>
  <si>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</si>
  <si>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</si>
  <si>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</si>
  <si>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</si>
  <si>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</si>
  <si>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</si>
  <si>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</si>
  <si>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</si>
  <si>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</si>
  <si>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</si>
  <si>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</si>
  <si>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</si>
  <si>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</si>
  <si>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</si>
  <si>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</si>
  <si>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</si>
  <si>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</si>
  <si>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</si>
  <si>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</si>
  <si>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</si>
  <si>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</si>
  <si>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</si>
  <si>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</si>
  <si>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</si>
  <si>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</si>
  <si>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</si>
  <si>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</si>
  <si>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</si>
  <si>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</si>
  <si>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</si>
  <si>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</si>
  <si>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</si>
  <si>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</si>
  <si>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</si>
  <si>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</si>
  <si>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</si>
  <si>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</si>
  <si>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</si>
  <si>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</si>
  <si>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</si>
  <si>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</si>
  <si>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</si>
  <si>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</si>
  <si>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</si>
  <si>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</si>
  <si>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</si>
  <si>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</si>
  <si>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</si>
  <si>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</si>
  <si>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</si>
  <si>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</si>
  <si>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</si>
  <si>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</si>
  <si>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</si>
  <si>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</si>
  <si>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</si>
  <si>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</si>
  <si>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</si>
  <si>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</si>
  <si>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</si>
  <si>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</si>
  <si>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</si>
  <si>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</si>
  <si>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</si>
  <si>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</si>
  <si>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</si>
  <si>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</si>
  <si>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</si>
  <si>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</si>
  <si>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</si>
  <si>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</si>
  <si>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</si>
  <si>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</si>
  <si>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</si>
  <si>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</si>
  <si>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</si>
  <si>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</si>
  <si>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</si>
  <si>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</si>
  <si>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</si>
  <si>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</si>
  <si>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</si>
  <si>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</si>
  <si>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</si>
  <si>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</si>
  <si>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</si>
  <si>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</si>
  <si>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</si>
  <si>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</si>
  <si>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</si>
  <si>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</si>
  <si>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</si>
  <si>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</si>
  <si>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</si>
  <si>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</si>
  <si>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</si>
  <si>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</si>
  <si>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</si>
  <si>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</si>
  <si>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</si>
  <si>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</si>
  <si>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</si>
  <si>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</si>
  <si>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</si>
  <si>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</si>
  <si>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</si>
  <si>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</si>
  <si>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</si>
  <si>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</si>
  <si>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</si>
  <si>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</si>
  <si>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</si>
  <si>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</si>
  <si>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</si>
  <si>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</si>
  <si>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</si>
  <si>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</si>
  <si>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</si>
  <si>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</si>
  <si>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</si>
  <si>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</si>
  <si>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</si>
  <si>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</si>
  <si>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</si>
  <si>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</si>
  <si>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</si>
  <si>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</si>
  <si>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</si>
  <si>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</si>
  <si>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</si>
  <si>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</si>
  <si>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</si>
  <si>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</si>
  <si>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</si>
  <si>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</si>
  <si>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</si>
  <si>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</si>
  <si>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</si>
  <si>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</si>
  <si>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</si>
  <si>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</si>
  <si>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</si>
  <si>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</si>
  <si>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</si>
  <si>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</si>
  <si>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</si>
  <si>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</si>
  <si>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</si>
  <si>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</si>
  <si>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</si>
  <si>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</si>
  <si>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</si>
  <si>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</si>
  <si>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</si>
  <si>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</si>
  <si>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</si>
  <si>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</si>
  <si>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</si>
  <si>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</si>
  <si>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</si>
  <si>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</si>
  <si>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</si>
  <si>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</si>
  <si>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</si>
  <si>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</si>
  <si>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</si>
  <si>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</si>
  <si>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</si>
  <si>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</si>
  <si>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</si>
  <si>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</si>
  <si>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</si>
  <si>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</si>
  <si>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</si>
  <si>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</si>
  <si>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</si>
  <si>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</si>
  <si>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</si>
  <si>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</si>
  <si>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</si>
  <si>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</si>
  <si>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</si>
  <si>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</si>
  <si>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</si>
  <si>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</si>
  <si>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</si>
  <si>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</si>
  <si>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</si>
  <si>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</si>
  <si>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</si>
  <si>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</si>
  <si>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</si>
  <si>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</si>
  <si>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</si>
  <si>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</si>
  <si>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</si>
  <si>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</si>
  <si>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</si>
  <si>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</si>
  <si>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</si>
  <si>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</si>
  <si>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</si>
  <si>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</si>
  <si>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</si>
  <si>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</si>
  <si>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</si>
  <si>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</si>
  <si>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</si>
  <si>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</si>
  <si>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</si>
  <si>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</si>
  <si>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</si>
  <si>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</si>
  <si>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</si>
  <si>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</si>
  <si>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</si>
  <si>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</si>
  <si>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</si>
  <si>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</si>
  <si>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</si>
  <si>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</si>
  <si>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</si>
  <si>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</si>
  <si>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</si>
  <si>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</si>
  <si>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</si>
  <si>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</si>
  <si>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</si>
  <si>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</si>
  <si>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</si>
  <si>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</si>
  <si>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</si>
  <si>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</si>
  <si>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</si>
  <si>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</si>
  <si>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</si>
  <si>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</si>
  <si>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</si>
  <si>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</si>
  <si>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</si>
  <si>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</si>
  <si>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</si>
  <si>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</si>
  <si>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</si>
  <si>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</si>
  <si>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</si>
  <si>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</si>
  <si>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</si>
  <si>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</si>
  <si>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</si>
  <si>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</si>
  <si>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</si>
  <si>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</si>
  <si>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</si>
  <si>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</si>
  <si>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</si>
  <si>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</si>
  <si>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</si>
  <si>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</si>
  <si>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</si>
  <si>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</si>
  <si>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</si>
  <si>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</si>
  <si>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</si>
  <si>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</si>
  <si>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</si>
  <si>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</si>
  <si>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</si>
  <si>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</si>
  <si>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</si>
  <si>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</si>
  <si>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</si>
  <si>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</si>
  <si>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</si>
  <si>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</si>
  <si>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</si>
  <si>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</si>
  <si>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</si>
  <si>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</si>
  <si>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</si>
  <si>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</si>
  <si>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</si>
  <si>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</si>
  <si>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</si>
  <si>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</si>
  <si>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</si>
  <si>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</si>
  <si>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</si>
  <si>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</si>
  <si>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</si>
  <si>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</si>
  <si>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</si>
  <si>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</si>
  <si>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</si>
  <si>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</si>
  <si>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</si>
  <si>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</si>
  <si>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</si>
  <si>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</si>
  <si>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</si>
  <si>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</si>
  <si>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</si>
  <si>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</si>
  <si>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</si>
  <si>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</si>
  <si>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</si>
  <si>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</si>
  <si>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</si>
  <si>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</si>
  <si>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</si>
  <si>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</si>
  <si>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</si>
  <si>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</si>
  <si>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</si>
  <si>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</si>
  <si>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</si>
  <si>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</si>
  <si>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</si>
  <si>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</si>
  <si>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</si>
  <si>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</si>
  <si>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</si>
  <si>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</si>
  <si>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</si>
  <si>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</si>
  <si>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</si>
  <si>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</si>
  <si>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</si>
  <si>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</si>
  <si>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</si>
  <si>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</si>
  <si>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</si>
  <si>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</si>
  <si>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</si>
  <si>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</si>
  <si>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</si>
  <si>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</si>
  <si>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</si>
  <si>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</si>
  <si>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</si>
  <si>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</si>
  <si>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</si>
  <si>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</si>
  <si>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</si>
  <si>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</si>
  <si>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</si>
  <si>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</si>
  <si>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</si>
  <si>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</si>
  <si>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</si>
  <si>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</si>
  <si>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</si>
  <si>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</si>
  <si>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</si>
  <si>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</si>
  <si>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</si>
  <si>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</si>
  <si>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</si>
  <si>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</si>
  <si>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</si>
  <si>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</si>
  <si>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</si>
  <si>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</si>
  <si>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</si>
  <si>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</si>
  <si>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</si>
  <si>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</si>
  <si>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</si>
  <si>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</si>
  <si>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</si>
  <si>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</si>
  <si>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</si>
  <si>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</si>
  <si>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</si>
  <si>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</si>
  <si>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</si>
  <si>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</si>
  <si>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</si>
  <si>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</si>
  <si>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</si>
  <si>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</si>
  <si>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</si>
  <si>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</si>
  <si>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</si>
  <si>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</si>
  <si>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</si>
  <si>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</si>
  <si>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</si>
  <si>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</si>
  <si>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</si>
  <si>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</si>
  <si>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</si>
  <si>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</si>
  <si>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</si>
  <si>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</si>
  <si>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</si>
  <si>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</si>
  <si>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</si>
  <si>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</si>
  <si>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</si>
  <si>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</si>
  <si>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</si>
  <si>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</si>
  <si>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</si>
  <si>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</si>
  <si>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</si>
  <si>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</si>
  <si>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</si>
  <si>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</si>
  <si>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</si>
  <si>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</si>
  <si>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</si>
  <si>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</si>
  <si>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</si>
  <si>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</si>
  <si>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</si>
  <si>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</si>
  <si>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</si>
  <si>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</si>
  <si>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</si>
  <si>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</si>
  <si>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</si>
  <si>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</si>
  <si>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</si>
  <si>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</si>
  <si>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</si>
  <si>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</si>
  <si>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</si>
  <si>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</si>
  <si>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</si>
  <si>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</si>
  <si>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</si>
  <si>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</si>
  <si>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</si>
  <si>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</si>
  <si>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</si>
  <si>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</si>
  <si>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</si>
  <si>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</si>
  <si>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</si>
  <si>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</si>
  <si>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</si>
  <si>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</si>
  <si>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</si>
  <si>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</si>
  <si>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</si>
  <si>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</si>
  <si>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</si>
  <si>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</si>
  <si>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</si>
  <si>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</si>
  <si>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</si>
  <si>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</si>
  <si>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</si>
  <si>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</si>
  <si>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</si>
  <si>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</si>
  <si>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</si>
  <si>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</si>
  <si>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</si>
  <si>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</si>
  <si>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</si>
  <si>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</si>
  <si>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</si>
  <si>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</si>
  <si>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</si>
  <si>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</si>
  <si>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</si>
  <si>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</si>
  <si>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</si>
  <si>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</si>
  <si>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</si>
  <si>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</si>
  <si>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</si>
  <si>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</si>
  <si>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</si>
  <si>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</si>
  <si>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</si>
  <si>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</si>
  <si>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</si>
  <si>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</si>
  <si>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</si>
  <si>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</si>
  <si>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</si>
  <si>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</si>
  <si>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</si>
  <si>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</si>
  <si>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</si>
  <si>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</si>
  <si>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</si>
  <si>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</si>
  <si>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</si>
  <si>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</si>
  <si>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</si>
  <si>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</si>
  <si>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</si>
  <si>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</si>
  <si>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</si>
  <si>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</si>
  <si>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</si>
  <si>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</si>
  <si>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</si>
  <si>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</si>
  <si>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</si>
  <si>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</si>
  <si>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</si>
  <si>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</si>
  <si>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</si>
  <si>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</si>
  <si>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</si>
  <si>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</si>
  <si>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</si>
  <si>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</si>
  <si>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</si>
  <si>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</si>
  <si>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</si>
  <si>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</si>
  <si>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</si>
  <si>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</si>
  <si>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</si>
  <si>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</si>
  <si>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</si>
  <si>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</si>
  <si>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</si>
  <si>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</si>
  <si>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</si>
  <si>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</si>
  <si>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</si>
  <si>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</si>
  <si>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</si>
  <si>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</si>
  <si>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</si>
  <si>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</si>
  <si>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</si>
  <si>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</si>
  <si>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</si>
  <si>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</si>
  <si>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</si>
  <si>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</si>
  <si>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</si>
  <si>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</si>
  <si>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</si>
  <si>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</si>
  <si>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</si>
  <si>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</si>
  <si>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</si>
  <si>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</si>
  <si>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</si>
  <si>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</si>
  <si>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</si>
  <si>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</si>
  <si>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</si>
  <si>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</si>
  <si>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</si>
  <si>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</si>
  <si>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</si>
  <si>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</si>
  <si>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</si>
  <si>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</si>
  <si>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</si>
  <si>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</si>
  <si>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</si>
  <si>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</si>
  <si>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</si>
  <si>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</si>
  <si>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</si>
  <si>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</si>
  <si>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</si>
  <si>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</si>
  <si>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</si>
  <si>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</si>
  <si>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</si>
  <si>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</si>
  <si>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</si>
  <si>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</si>
  <si>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</si>
  <si>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</si>
  <si>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</si>
  <si>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</si>
  <si>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</si>
  <si>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</si>
  <si>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</si>
  <si>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</si>
  <si>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</si>
  <si>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</si>
  <si>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</si>
  <si>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</si>
  <si>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</si>
  <si>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</si>
  <si>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</si>
  <si>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</si>
  <si>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</si>
  <si>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</si>
  <si>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</si>
  <si>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</si>
  <si>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</si>
  <si>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</si>
  <si>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</si>
  <si>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</si>
  <si>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</si>
  <si>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</si>
  <si>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</si>
  <si>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</si>
  <si>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</si>
  <si>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</si>
  <si>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</si>
  <si>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</si>
  <si>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</si>
  <si>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</si>
  <si>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</si>
  <si>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</si>
  <si>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</si>
  <si>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</si>
  <si>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</si>
  <si>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</si>
  <si>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</si>
  <si>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</si>
  <si>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</si>
  <si>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</si>
  <si>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</si>
  <si>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</si>
  <si>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</si>
  <si>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</si>
  <si>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</si>
  <si>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</si>
  <si>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</si>
  <si>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</si>
  <si>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</si>
  <si>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</si>
  <si>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</si>
  <si>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</si>
  <si>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</si>
  <si>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</si>
  <si>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</si>
  <si>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</si>
  <si>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</si>
  <si>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</si>
  <si>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</si>
  <si>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</si>
  <si>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</si>
  <si>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</si>
  <si>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</si>
  <si>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</si>
  <si>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</si>
  <si>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</si>
  <si>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</si>
  <si>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</si>
  <si>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</si>
  <si>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</si>
  <si>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</si>
  <si>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</si>
  <si>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</si>
  <si>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</si>
  <si>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</si>
  <si>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</si>
  <si>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</si>
  <si>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</si>
  <si>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</si>
  <si>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</si>
  <si>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</si>
  <si>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</si>
  <si>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</si>
  <si>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</si>
  <si>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</si>
  <si>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</si>
  <si>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</si>
  <si>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</si>
  <si>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</si>
  <si>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</si>
  <si>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</si>
  <si>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</si>
  <si>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</si>
  <si>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</si>
  <si>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</si>
  <si>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</si>
  <si>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</si>
  <si>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</si>
  <si>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</si>
  <si>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</si>
  <si>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</si>
  <si>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</si>
  <si>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</si>
  <si>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</si>
  <si>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</si>
  <si>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</si>
  <si>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</si>
  <si>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</si>
  <si>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</si>
  <si>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</si>
  <si>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</si>
  <si>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</si>
  <si>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</si>
  <si>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</si>
  <si>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</si>
  <si>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</si>
  <si>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</si>
  <si>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</si>
  <si>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</si>
  <si>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</si>
  <si>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</si>
  <si>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</si>
  <si>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</si>
  <si>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</si>
  <si>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</si>
  <si>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</si>
  <si>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</si>
  <si>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</si>
  <si>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</si>
  <si>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</si>
  <si>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</si>
  <si>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</si>
  <si>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</si>
  <si>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</si>
  <si>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</si>
  <si>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</si>
  <si>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</si>
  <si>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</si>
  <si>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</si>
  <si>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</si>
  <si>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</si>
  <si>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</si>
  <si>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</si>
  <si>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</si>
  <si>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</si>
  <si>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</si>
  <si>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</si>
  <si>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</si>
  <si>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</si>
  <si>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</si>
  <si>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</si>
  <si>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</si>
  <si>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</si>
  <si>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</si>
  <si>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</si>
  <si>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</si>
  <si>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</si>
  <si>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</si>
  <si>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</si>
  <si>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</si>
  <si>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</si>
  <si>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</si>
  <si>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</si>
  <si>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</si>
  <si>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</si>
  <si>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</si>
  <si>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</si>
  <si>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</si>
  <si>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</si>
  <si>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</si>
  <si>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</si>
  <si>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</si>
  <si>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</si>
  <si>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</si>
  <si>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</si>
  <si>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</si>
  <si>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</si>
  <si>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</si>
  <si>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</si>
  <si>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</si>
  <si>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</si>
  <si>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</si>
  <si>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</si>
  <si>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</si>
  <si>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</si>
  <si>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</si>
  <si>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</si>
  <si>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</si>
  <si>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</si>
  <si>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</si>
  <si>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</si>
  <si>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</si>
  <si>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</si>
  <si>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</si>
  <si>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</si>
  <si>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</si>
  <si>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</si>
  <si>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</si>
  <si>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</si>
  <si>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</si>
  <si>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</si>
  <si>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</si>
  <si>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</si>
  <si>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</si>
  <si>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</si>
  <si>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</si>
  <si>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</si>
  <si>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</si>
  <si>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</si>
  <si>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</si>
  <si>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</si>
  <si>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</si>
  <si>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</si>
  <si>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</si>
  <si>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</si>
  <si>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</si>
  <si>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</si>
  <si>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</si>
  <si>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</si>
  <si>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</si>
  <si>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</si>
  <si>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</si>
  <si>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</si>
  <si>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</si>
  <si>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</si>
  <si>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</si>
  <si>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</si>
  <si>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</si>
  <si>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</si>
  <si>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</si>
  <si>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</si>
  <si>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</si>
  <si>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</si>
  <si>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</si>
  <si>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</si>
  <si>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</si>
  <si>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</si>
  <si>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</si>
  <si>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</si>
  <si>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</si>
  <si>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</si>
  <si>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</si>
  <si>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</si>
  <si>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</si>
  <si>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</si>
  <si>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</si>
  <si>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</si>
  <si>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</si>
  <si>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</si>
  <si>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</si>
  <si>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</si>
  <si>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</si>
  <si>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</si>
  <si>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</si>
  <si>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</si>
  <si>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</si>
  <si>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</si>
  <si>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</si>
  <si>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</si>
  <si>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</si>
  <si>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</si>
  <si>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</si>
  <si>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</si>
  <si>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</si>
  <si>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</si>
  <si>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</si>
  <si>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</si>
  <si>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</si>
  <si>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</si>
  <si>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</si>
  <si>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</si>
  <si>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</si>
  <si>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</si>
  <si>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</si>
  <si>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</si>
  <si>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</si>
  <si>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</si>
  <si>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</si>
  <si>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</si>
  <si>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</si>
  <si>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</si>
  <si>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</si>
  <si>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</si>
  <si>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</si>
  <si>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</si>
  <si>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</si>
  <si>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</si>
  <si>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</si>
  <si>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</si>
  <si>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</si>
  <si>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</si>
  <si>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</si>
  <si>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</si>
  <si>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</si>
  <si>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</si>
  <si>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</si>
  <si>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</si>
  <si>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</si>
  <si>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</si>
  <si>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</si>
  <si>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</si>
  <si>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</si>
  <si>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</si>
  <si>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</si>
  <si>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</si>
  <si>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</si>
  <si>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</si>
  <si>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</si>
  <si>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</si>
  <si>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</si>
  <si>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</si>
  <si>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</si>
  <si>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</si>
  <si>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</si>
  <si>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</si>
  <si>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</si>
  <si>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</si>
  <si>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</si>
  <si>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</si>
  <si>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</si>
  <si>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</si>
  <si>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</si>
  <si>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</si>
  <si>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</si>
  <si>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</si>
  <si>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</si>
  <si>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</si>
  <si>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</si>
  <si>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</si>
  <si>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</si>
  <si>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</si>
  <si>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</si>
  <si>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</si>
  <si>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</si>
  <si>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</si>
  <si>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</si>
  <si>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</si>
  <si>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</si>
  <si>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</si>
  <si>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</si>
  <si>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</si>
  <si>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</si>
  <si>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</si>
  <si>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</si>
  <si>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</si>
  <si>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</si>
  <si>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</si>
  <si>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</si>
  <si>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</si>
  <si>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</si>
  <si>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</si>
  <si>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</si>
  <si>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</si>
  <si>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</si>
  <si>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</si>
  <si>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</si>
  <si>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</si>
  <si>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</si>
  <si>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</si>
  <si>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</si>
  <si>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</si>
  <si>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</si>
  <si>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</si>
  <si>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</si>
  <si>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</si>
  <si>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</si>
  <si>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</si>
  <si>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</si>
  <si>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</si>
  <si>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</si>
  <si>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</si>
  <si>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</si>
  <si>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</si>
  <si>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</si>
  <si>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</si>
  <si>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</si>
  <si>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</si>
  <si>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</si>
  <si>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</si>
  <si>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</si>
  <si>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</si>
  <si>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</si>
  <si>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</si>
  <si>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</si>
  <si>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</si>
  <si>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</si>
  <si>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</si>
  <si>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</si>
  <si>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</si>
  <si>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</si>
  <si>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</si>
  <si>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</si>
  <si>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</si>
  <si>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</si>
  <si>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</si>
  <si>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</si>
  <si>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</si>
  <si>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</si>
  <si>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</si>
  <si>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</si>
  <si>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</si>
  <si>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</si>
  <si>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</si>
  <si>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</si>
  <si>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</si>
  <si>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</si>
  <si>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</si>
  <si>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</si>
  <si>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</si>
  <si>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</si>
  <si>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</si>
  <si>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</si>
  <si>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</si>
  <si>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</si>
  <si>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</si>
  <si>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</si>
  <si>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</si>
  <si>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</si>
  <si>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</si>
  <si>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</si>
  <si>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</si>
  <si>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</si>
  <si>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</si>
  <si>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</si>
  <si>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</si>
  <si>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</si>
  <si>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</si>
  <si>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</si>
  <si>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</si>
  <si>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</si>
  <si>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</si>
  <si>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</si>
  <si>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</si>
  <si>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</si>
  <si>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</si>
  <si>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</si>
  <si>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</si>
  <si>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</si>
  <si>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</si>
  <si>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</si>
  <si>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</si>
  <si>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</si>
  <si>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</si>
  <si>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</si>
  <si>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</si>
  <si>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</si>
  <si>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</si>
  <si>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</si>
  <si>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</si>
  <si>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</si>
  <si>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</si>
  <si>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</si>
  <si>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</si>
  <si>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</si>
  <si>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</si>
  <si>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</si>
  <si>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</si>
  <si>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</si>
  <si>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</si>
  <si>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</si>
  <si>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</si>
  <si>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</si>
  <si>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</si>
  <si>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</si>
  <si>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</si>
  <si>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</si>
  <si>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</si>
  <si>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</si>
  <si>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</si>
  <si>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</si>
  <si>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</si>
  <si>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</si>
  <si>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</si>
  <si>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</si>
  <si>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</si>
  <si>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</si>
  <si>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</si>
  <si>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</si>
  <si>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</si>
  <si>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</si>
  <si>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</si>
  <si>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</si>
  <si>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</si>
  <si>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</si>
  <si>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</si>
  <si>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</si>
  <si>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</si>
  <si>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</si>
  <si>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</si>
  <si>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</si>
  <si>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</si>
  <si>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</si>
  <si>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</si>
  <si>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</si>
  <si>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</si>
  <si>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</si>
  <si>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</si>
  <si>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</si>
  <si>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</si>
  <si>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</si>
  <si>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</si>
  <si>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</si>
  <si>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</si>
  <si>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</si>
  <si>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</si>
  <si>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</si>
  <si>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</si>
  <si>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</si>
  <si>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</si>
  <si>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</si>
  <si>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</si>
  <si>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</si>
  <si>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</si>
  <si>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</si>
  <si>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</si>
  <si>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</si>
  <si>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</si>
  <si>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</si>
  <si>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</si>
  <si>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</si>
  <si>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</si>
  <si>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</si>
  <si>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</si>
  <si>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</si>
  <si>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</si>
  <si>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</si>
  <si>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</si>
  <si>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</si>
  <si>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</si>
  <si>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</si>
  <si>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</si>
  <si>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</si>
  <si>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</si>
  <si>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</si>
  <si>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</si>
  <si>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</si>
  <si>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</si>
  <si>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</si>
  <si>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</si>
  <si>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</si>
  <si>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</si>
  <si>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</si>
  <si>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</si>
  <si>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</si>
  <si>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</si>
  <si>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</si>
  <si>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</si>
  <si>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</si>
  <si>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</si>
  <si>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</si>
  <si>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</si>
  <si>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</si>
  <si>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</si>
  <si>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</si>
  <si>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</si>
  <si>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</si>
  <si>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</si>
  <si>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</si>
  <si>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</si>
  <si>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</si>
  <si>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</si>
  <si>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</si>
  <si>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</si>
  <si>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</si>
  <si>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</si>
  <si>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</si>
  <si>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</si>
  <si>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</si>
  <si>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</si>
  <si>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</si>
  <si>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</si>
  <si>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</si>
  <si>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</si>
  <si>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</si>
  <si>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</si>
  <si>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</si>
  <si>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</si>
  <si>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</si>
  <si>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</si>
  <si>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</si>
  <si>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</si>
  <si>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</si>
  <si>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</si>
  <si>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</si>
  <si>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</si>
  <si>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</si>
  <si>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</si>
  <si>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</si>
  <si>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</si>
  <si>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</si>
  <si>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</si>
  <si>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</si>
  <si>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</si>
  <si>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</si>
  <si>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</si>
  <si>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</si>
  <si>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</si>
  <si>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</si>
  <si>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</si>
  <si>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</si>
  <si>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</si>
  <si>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</si>
  <si>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</si>
  <si>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</si>
  <si>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</si>
  <si>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</si>
  <si>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</si>
  <si>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</si>
  <si>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</si>
  <si>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</si>
  <si>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</si>
  <si>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</si>
  <si>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</si>
  <si>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</si>
  <si>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</si>
  <si>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</si>
  <si>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</si>
  <si>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</si>
  <si>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</si>
  <si>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</si>
  <si>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</si>
  <si>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</si>
  <si>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</si>
  <si>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</si>
  <si>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</si>
  <si>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</si>
  <si>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</si>
  <si>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</si>
  <si>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</si>
  <si>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</si>
  <si>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</si>
  <si>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</si>
  <si>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</si>
  <si>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</si>
  <si>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</si>
  <si>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</si>
  <si>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</si>
  <si>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</si>
  <si>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</si>
  <si>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</si>
  <si>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</si>
  <si>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</si>
  <si>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</si>
  <si>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</si>
  <si>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</si>
  <si>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</si>
  <si>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</si>
  <si>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</si>
  <si>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</si>
  <si>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</si>
  <si>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</si>
  <si>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</si>
  <si>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</si>
  <si>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</si>
  <si>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</si>
  <si>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</si>
  <si>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</si>
  <si>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</si>
  <si>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</si>
  <si>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</si>
  <si>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</si>
  <si>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</si>
  <si>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</si>
  <si>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</si>
  <si>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</si>
  <si>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</si>
  <si>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</si>
  <si>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</si>
  <si>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</si>
  <si>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</si>
  <si>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</si>
  <si>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</si>
  <si>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</si>
  <si>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</si>
  <si>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</si>
  <si>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</si>
  <si>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</si>
  <si>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</si>
  <si>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</si>
  <si>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</si>
  <si>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</si>
  <si>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</si>
  <si>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</si>
  <si>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</si>
  <si>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</si>
  <si>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</si>
  <si>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</si>
  <si>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</si>
  <si>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</si>
  <si>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</si>
  <si>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</si>
  <si>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</si>
  <si>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</si>
  <si>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</si>
  <si>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</si>
  <si>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</si>
  <si>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</si>
  <si>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</si>
  <si>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</si>
  <si>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</si>
  <si>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</si>
  <si>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</si>
  <si>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</si>
  <si>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</si>
  <si>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</si>
  <si>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</si>
  <si>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</si>
  <si>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</si>
  <si>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</si>
  <si>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</si>
  <si>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</si>
  <si>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</si>
  <si>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</si>
  <si>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</si>
  <si>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</si>
  <si>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</si>
  <si>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</si>
  <si>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</si>
  <si>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</si>
  <si>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</si>
  <si>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</si>
  <si>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</si>
  <si>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</si>
  <si>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</si>
  <si>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</si>
  <si>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</si>
  <si>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</si>
  <si>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</si>
  <si>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</si>
  <si>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</si>
  <si>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</si>
  <si>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</si>
  <si>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</si>
  <si>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</si>
  <si>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</si>
  <si>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</si>
  <si>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</si>
  <si>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</si>
  <si>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</si>
  <si>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</si>
  <si>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</si>
  <si>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</si>
  <si>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</si>
  <si>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</si>
  <si>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</si>
  <si>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</si>
  <si>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</si>
  <si>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</si>
  <si>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</si>
  <si>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</si>
  <si>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</si>
  <si>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</si>
  <si>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</si>
  <si>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</si>
  <si>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</si>
  <si>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</si>
  <si>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</si>
  <si>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</si>
  <si>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</si>
  <si>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</si>
  <si>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</si>
  <si>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</si>
  <si>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</si>
  <si>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</si>
  <si>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</si>
  <si>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</si>
  <si>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</si>
  <si>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</si>
  <si>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</si>
  <si>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</si>
  <si>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</si>
  <si>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</si>
  <si>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</si>
  <si>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</si>
  <si>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</si>
  <si>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</si>
  <si>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</si>
  <si>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</si>
  <si>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</si>
  <si>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</si>
  <si>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</si>
  <si>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</si>
  <si>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</si>
  <si>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</si>
  <si>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</si>
  <si>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</si>
  <si>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</si>
  <si>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</si>
  <si>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</si>
  <si>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</si>
  <si>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</si>
  <si>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</si>
  <si>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</si>
  <si>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</si>
  <si>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</si>
  <si>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</si>
  <si>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</si>
  <si>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</si>
  <si>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</si>
  <si>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</si>
  <si>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</si>
  <si>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</si>
  <si>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</si>
  <si>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</si>
  <si>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</si>
  <si>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</si>
  <si>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</si>
  <si>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</si>
  <si>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</si>
  <si>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</si>
  <si>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</si>
  <si>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</si>
  <si>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</si>
  <si>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</si>
  <si>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</si>
  <si>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</si>
  <si>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</si>
  <si>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</si>
  <si>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</si>
  <si>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</si>
  <si>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</si>
  <si>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</si>
  <si>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</si>
  <si>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</si>
  <si>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</si>
  <si>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</si>
  <si>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</si>
  <si>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</si>
  <si>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</si>
  <si>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</si>
  <si>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</si>
  <si>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</si>
  <si>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</si>
  <si>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</si>
  <si>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</si>
  <si>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</si>
  <si>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</si>
  <si>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</si>
  <si>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</si>
  <si>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</si>
  <si>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</si>
  <si>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</si>
  <si>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</si>
  <si>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</si>
  <si>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</si>
  <si>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</si>
  <si>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</si>
  <si>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</si>
  <si>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</si>
  <si>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</si>
  <si>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</si>
  <si>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</si>
  <si>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</si>
  <si>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</si>
  <si>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</si>
  <si>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</si>
  <si>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</si>
  <si>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</si>
  <si>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</si>
  <si>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</si>
  <si>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</si>
  <si>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</si>
  <si>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</si>
  <si>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</si>
  <si>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</si>
  <si>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</si>
  <si>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</si>
  <si>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</si>
  <si>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</si>
  <si>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</si>
  <si>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</si>
  <si>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</si>
  <si>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</si>
  <si>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</si>
  <si>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</si>
  <si>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</si>
  <si>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</si>
  <si>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</si>
  <si>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</si>
  <si>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</si>
  <si>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</si>
  <si>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</si>
  <si>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</si>
  <si>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</si>
  <si>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</si>
  <si>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</si>
  <si>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</si>
  <si>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</si>
  <si>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</si>
  <si>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</si>
  <si>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</si>
  <si>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</si>
  <si>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</si>
  <si>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</si>
  <si>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</si>
  <si>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</si>
  <si>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</si>
  <si>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</si>
  <si>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</si>
  <si>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</si>
  <si>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</si>
  <si>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</si>
  <si>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</si>
  <si>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</si>
  <si>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</si>
  <si>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</si>
  <si>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</si>
  <si>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</si>
  <si>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</si>
  <si>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</si>
  <si>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</si>
  <si>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</si>
  <si>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</si>
  <si>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</si>
  <si>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</si>
  <si>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</si>
  <si>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</si>
  <si>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</si>
  <si>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</si>
  <si>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</si>
  <si>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</si>
  <si>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</si>
  <si>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</si>
  <si>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</si>
  <si>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</si>
  <si>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</si>
  <si>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</si>
  <si>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</si>
  <si>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</si>
  <si>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</si>
  <si>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</si>
  <si>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</si>
  <si>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</si>
  <si>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</si>
  <si>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</si>
  <si>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</si>
  <si>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</si>
  <si>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</si>
  <si>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</si>
  <si>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</si>
  <si>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</si>
  <si>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</si>
  <si>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</si>
  <si>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</si>
  <si>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</si>
  <si>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</si>
  <si>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</si>
  <si>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</si>
  <si>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</si>
  <si>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</si>
  <si>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</si>
  <si>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</si>
  <si>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</si>
  <si>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</si>
  <si>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</si>
  <si>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</si>
  <si>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</si>
  <si>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</si>
  <si>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</si>
  <si>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</si>
  <si>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</si>
  <si>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</si>
  <si>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</si>
  <si>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</si>
  <si>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</si>
  <si>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</si>
  <si>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</si>
  <si>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</si>
  <si>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</si>
  <si>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</si>
  <si>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</si>
  <si>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</si>
  <si>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</si>
  <si>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</si>
  <si>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</si>
  <si>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</si>
  <si>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</si>
  <si>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</si>
  <si>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</si>
  <si>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</si>
  <si>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</si>
  <si>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</si>
  <si>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</si>
  <si>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</si>
  <si>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</si>
  <si>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</si>
  <si>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</si>
  <si>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</si>
  <si>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</si>
  <si>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</si>
  <si>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</si>
  <si>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</si>
  <si>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</si>
  <si>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</si>
  <si>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</si>
  <si>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</si>
  <si>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</si>
  <si>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</si>
  <si>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</si>
  <si>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</si>
  <si>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</si>
  <si>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</si>
  <si>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</si>
  <si>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</si>
  <si>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</si>
  <si>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</si>
  <si>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</si>
  <si>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</si>
  <si>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</si>
  <si>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</si>
  <si>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</si>
  <si>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</si>
  <si>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</si>
  <si>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</si>
  <si>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</si>
  <si>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</si>
  <si>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</si>
  <si>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</si>
  <si>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</si>
  <si>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</si>
  <si>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</si>
  <si>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</si>
  <si>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</si>
  <si>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</si>
  <si>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</si>
  <si>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</si>
  <si>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</si>
  <si>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</si>
  <si>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</si>
  <si>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</si>
  <si>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</si>
  <si>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</si>
  <si>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</si>
  <si>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</si>
  <si>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</si>
  <si>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</si>
  <si>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</si>
  <si>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</si>
  <si>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</si>
  <si>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</si>
  <si>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</si>
  <si>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</si>
  <si>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</si>
  <si>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</si>
  <si>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</si>
  <si>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</si>
  <si>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</si>
  <si>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</si>
  <si>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</si>
  <si>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</si>
  <si>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</si>
  <si>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</si>
  <si>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</si>
  <si>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</si>
  <si>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</si>
  <si>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</si>
  <si>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</si>
  <si>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</si>
  <si>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</si>
  <si>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</si>
  <si>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</si>
  <si>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</si>
  <si>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</si>
  <si>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</si>
  <si>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</si>
  <si>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</si>
  <si>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</si>
  <si>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</si>
  <si>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</si>
  <si>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</si>
  <si>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</si>
  <si>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</si>
  <si>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</si>
  <si>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</si>
  <si>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</si>
  <si>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</si>
  <si>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</si>
  <si>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</si>
  <si>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CHAMPAIGN</t>
  </si>
  <si>
    <t>106 N VINE ST, PO BOX 27</t>
  </si>
  <si>
    <t>ROYAL</t>
  </si>
  <si>
    <t>VICTOR WHITE III</t>
  </si>
  <si>
    <t>vwhite@pvo.k12.il.us</t>
  </si>
  <si>
    <t>217-583-3300</t>
  </si>
  <si>
    <t>217-583-3391</t>
  </si>
  <si>
    <t>Russell Leigh &amp; Associates LLC</t>
  </si>
  <si>
    <t>2009 LIFE SAFETY ISSUE</t>
  </si>
  <si>
    <t>2015 WORKING CASH ISSUE</t>
  </si>
  <si>
    <t>2018 GO WORKING CASH BOND</t>
  </si>
  <si>
    <t>None</t>
  </si>
  <si>
    <t>x</t>
  </si>
  <si>
    <t>Rural Champaign County Special Education Cooperative</t>
  </si>
  <si>
    <t>Champaign County Sheriff - Resource Officer</t>
  </si>
  <si>
    <t>Page 7 - Acct #7990 - Other Sources not Classified Elsewhere</t>
  </si>
  <si>
    <t>Col 20 - Operations &amp; Maintenance</t>
  </si>
  <si>
    <t>Transfer from Tort Fund for one-time, non-recurring expenses - $32,058</t>
  </si>
  <si>
    <t>Page 8 - Acct #8990 - Other Uses not Classified Elsewhere</t>
  </si>
  <si>
    <t>Col 80 - Tort</t>
  </si>
  <si>
    <t>Transfer to Operations &amp; Maintenance for one-time, non-recurring expenses - $32,058</t>
  </si>
  <si>
    <t>Page 11 - Acct #1999 - Other Local Revenue</t>
  </si>
  <si>
    <t>Col 10 - Educational - Refunds &amp; Reimbursements - $10,573</t>
  </si>
  <si>
    <t>Col 20 - Operations &amp; Maintenance - Refunds &amp; Reimbursements - $8,574</t>
  </si>
  <si>
    <t>Col 40 - Transportation - Refunds &amp; Reimbursements - $5,549</t>
  </si>
  <si>
    <t>Page 12 - Acct #3999 - Other Restricted Revenue from State Sources</t>
  </si>
  <si>
    <t>Broadband expansion grant - $30,000</t>
  </si>
  <si>
    <t>Page 14 - Acct 4998 - Other Restricted Revenue from Federal Sources</t>
  </si>
  <si>
    <t>Col 10 - Educational</t>
  </si>
  <si>
    <t>REAP Grant - $34,518</t>
  </si>
  <si>
    <t>Page 18 - Funct #5400 - Debt Services - Other</t>
  </si>
  <si>
    <t>Other Objects - Bond Fees - $500</t>
  </si>
  <si>
    <t>AUDITCHECK Tab</t>
  </si>
  <si>
    <t>#13 - Contracts Paid Error</t>
  </si>
  <si>
    <t>No applicable contracts paid in current year.</t>
  </si>
  <si>
    <t>Prairieview Ogden CCSD 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</si>
</sst>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424296</xdr:colOff>
          <xdr:row>2</xdr:row>
          <xdr:rowOff>51955</xdr:rowOff>
        </xdr:from>
        <xdr:to>
          <xdr:col>1</xdr:col>
          <xdr:colOff>1336098</xdr:colOff>
          <xdr:row>6</xdr:row>
          <xdr:rowOff>90055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2073</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2073</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9010197004</v>
      </c>
      <c r="B13" s="2020"/>
      <c r="C13" s="2020"/>
      <c r="D13" s="2020"/>
      <c r="E13" s="2020"/>
      <c r="F13" s="2020"/>
      <c r="G13" s="2020"/>
      <c r="H13" s="2021"/>
      <c r="I13" s="31"/>
      <c r="J13" s="30"/>
      <c r="K13" s="28"/>
      <c r="L13" s="30"/>
      <c r="M13" s="30"/>
      <c r="N13" s="30"/>
      <c r="O13" s="30"/>
      <c r="P13" s="30"/>
      <c r="Q13" s="30"/>
      <c r="R13" s="30"/>
      <c r="S13" s="30"/>
      <c r="T13" s="2024" t="s">
        <v>2065</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2075</v>
      </c>
      <c r="B15" s="2022"/>
      <c r="C15" s="2022"/>
      <c r="D15" s="2022"/>
      <c r="E15" s="2022"/>
      <c r="F15" s="2022"/>
      <c r="G15" s="2022"/>
      <c r="H15" s="2023"/>
      <c r="T15" s="2028" t="s">
        <v>2066</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2110</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2076</v>
      </c>
      <c r="B19" s="1964"/>
      <c r="C19" s="1964"/>
      <c r="D19" s="1964"/>
      <c r="E19" s="1964"/>
      <c r="F19" s="1964"/>
      <c r="G19" s="1964"/>
      <c r="H19" s="1944"/>
      <c r="I19" s="30"/>
      <c r="J19" s="99"/>
      <c r="K19" s="40"/>
      <c r="L19" s="38"/>
      <c r="M19" s="112" t="s">
        <v>315</v>
      </c>
      <c r="P19" s="27"/>
      <c r="Q19" s="27"/>
      <c r="R19" s="27"/>
      <c r="S19" s="31"/>
      <c r="T19" s="2018" t="s">
        <v>2068</v>
      </c>
      <c r="U19" s="1943"/>
      <c r="V19" s="1943"/>
      <c r="W19" s="1944"/>
      <c r="X19" s="2033" t="s">
        <v>2069</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2077</v>
      </c>
      <c r="B21" s="1943"/>
      <c r="C21" s="1943"/>
      <c r="D21" s="1943"/>
      <c r="E21" s="1943"/>
      <c r="F21" s="1943"/>
      <c r="G21" s="1943"/>
      <c r="H21" s="1944"/>
      <c r="I21" s="1998" t="s">
        <v>678</v>
      </c>
      <c r="J21" s="1993"/>
      <c r="K21" s="1993"/>
      <c r="L21" s="1993"/>
      <c r="M21" s="1993"/>
      <c r="N21" s="1993"/>
      <c r="O21" s="1993"/>
      <c r="P21" s="1993"/>
      <c r="Q21" s="1993"/>
      <c r="R21" s="1993"/>
      <c r="S21" s="1999"/>
      <c r="T21" s="2043" t="s">
        <v>2070</v>
      </c>
      <c r="U21" s="2044"/>
      <c r="V21" s="2044"/>
      <c r="W21" s="2044"/>
      <c r="X21" s="2049" t="s">
        <v>2071</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2041" t="s">
        <v>2074</v>
      </c>
      <c r="U23" s="2042"/>
      <c r="V23" s="2042"/>
      <c r="W23" s="2042"/>
      <c r="X23" s="2046">
        <v>44469</v>
      </c>
      <c r="Y23" s="2047"/>
      <c r="Z23" s="2047"/>
      <c r="AA23" s="2048"/>
    </row>
    <row r="24" spans="1:27" ht="14.1" customHeight="1" x14ac:dyDescent="0.2">
      <c r="A24" s="88" t="s">
        <v>677</v>
      </c>
      <c r="B24" s="49"/>
      <c r="C24" s="49"/>
      <c r="D24" s="49"/>
      <c r="E24" s="49"/>
      <c r="F24" s="49"/>
      <c r="G24" s="49"/>
      <c r="H24" s="61"/>
      <c r="J24" s="1965">
        <f>IF(B5="x",IF(AUDITCHECK!D29="AFR form Incomplete.","",IF(AUDITCHECK!D29="Deficit reduction plan is required.","School District must complete a deficit reduction plan in the 2019-2020 Budget",)),"")</f>
        <v>0</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61871</v>
      </c>
      <c r="B25" s="1943"/>
      <c r="C25" s="1943"/>
      <c r="D25" s="1943"/>
      <c r="E25" s="1943"/>
      <c r="F25" s="1943"/>
      <c r="G25" s="1943"/>
      <c r="H25" s="1944"/>
      <c r="I25" s="113"/>
      <c r="J25" s="1967"/>
      <c r="K25" s="1967"/>
      <c r="L25" s="1967"/>
      <c r="M25" s="1967"/>
      <c r="N25" s="1967"/>
      <c r="O25" s="1967"/>
      <c r="P25" s="1967"/>
      <c r="Q25" s="1967"/>
      <c r="R25" s="1967"/>
      <c r="S25" s="1968"/>
      <c r="T25" s="2038" t="s">
        <v>2072</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2078</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2079</v>
      </c>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2080</v>
      </c>
      <c r="B42" s="1962"/>
      <c r="C42" s="1963"/>
      <c r="D42" s="1961" t="s">
        <v>2081</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2082</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5" colorId="8" zoomScale="110" zoomScaleNormal="110" workbookViewId="0">
      <selection activeCell="H31" sqref="H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81171865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1.9199999999999998E-2</v>
      </c>
      <c r="E10" s="356" t="s">
        <v>1005</v>
      </c>
      <c r="F10" s="355">
        <v>4.4999999999999997E-3</v>
      </c>
      <c r="G10" s="356" t="s">
        <v>1005</v>
      </c>
      <c r="H10" s="355">
        <v>1.1999999999999999E-3</v>
      </c>
      <c r="I10" s="356" t="s">
        <v>1006</v>
      </c>
      <c r="J10" s="1732">
        <f>ROUND(D10+F10+H10,5)</f>
        <v>2.4899999999999999E-2</v>
      </c>
      <c r="K10" s="222"/>
      <c r="L10" s="355">
        <v>5.0000000000000001E-4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1962901</v>
      </c>
      <c r="E16" s="356"/>
      <c r="F16" s="1733">
        <f>SUM('Acct Summary 7-8'!C17,'Acct Summary 7-8'!D17,'Acct Summary 7-8'!F17)</f>
        <v>2679596</v>
      </c>
      <c r="G16" s="356"/>
      <c r="H16" s="1733">
        <f>SUM(D16-F16)</f>
        <v>-716695</v>
      </c>
      <c r="I16" s="222"/>
      <c r="J16" s="1733">
        <f>SUM('Acct Summary 7-8'!C81,'Acct Summary 7-8'!D81,'Acct Summary 7-8'!F81,'Acct Summary 7-8'!I81)</f>
        <v>3278750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5600858.6850000005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1015000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Prairieview Ogden CCSD 197</v>
      </c>
      <c r="E7" s="391"/>
      <c r="G7" s="252"/>
      <c r="H7" s="387"/>
      <c r="I7" s="387"/>
      <c r="J7" s="387"/>
      <c r="K7" s="387"/>
      <c r="L7" s="329"/>
      <c r="M7" s="329"/>
      <c r="N7" s="329"/>
      <c r="O7" s="329"/>
      <c r="P7" s="329"/>
    </row>
    <row r="8" spans="1:18" ht="12.75" x14ac:dyDescent="0.2">
      <c r="A8" s="329"/>
      <c r="B8" s="329"/>
      <c r="C8" s="389" t="s">
        <v>1125</v>
      </c>
      <c r="D8" s="392">
        <f>COVER!A13</f>
        <v>9010197004</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3278750</v>
      </c>
      <c r="I12" s="404"/>
      <c r="J12" s="404"/>
      <c r="K12" s="405">
        <f>TRUNC((H12/H13*100000),5)/100000</f>
        <v>1.6703593302999999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1962901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2679596</v>
      </c>
      <c r="I17" s="404"/>
      <c r="J17" s="416"/>
      <c r="K17" s="405">
        <f>TRUNC((H17/H18*100000),5)/100000</f>
        <v>1.3651202989</v>
      </c>
      <c r="L17" s="406"/>
      <c r="M17" s="417" t="s">
        <v>1171</v>
      </c>
      <c r="O17" s="418" t="str">
        <f>IF(AND(O16="2", J20 &gt; 2),"1",IF(AND(O16 = "1", J20 &gt; 2),"2",IF(AND(O16="1", J20 &gt;1),"1","0")))</f>
        <v>2</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1962901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4.3009367999999997</v>
      </c>
      <c r="K20" s="405">
        <f>IF(K17&lt;=1,"0",IF(AND(O16="2", J20 &gt; 2),TRUNC(((K12-0.1)/(K17-1)*100),5)/100,IF(AND(O16 = "1", J20 &gt; 2),TRUNC(((K12-0.1)/(K17-1)*100),5)/100,IF(AND(O16="1", J20 &gt;1),TRUNC(((K12-0.1)/(K17-1)*100),5)/100,""))))</f>
        <v>4.3009367999999997</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3278750</v>
      </c>
      <c r="I24" s="422"/>
      <c r="J24" s="422"/>
      <c r="K24" s="423">
        <f>TRUNC(((H24/H25*100000)/100000),2)</f>
        <v>440.49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7443.32222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1718002.5227300001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1015000</v>
      </c>
      <c r="I32" s="420"/>
      <c r="J32" s="420"/>
      <c r="K32" s="423">
        <f>TRUNC(100-((((H32/H33*100))*100)/100),2)</f>
        <v>81.87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5600858.6850000005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366439</v>
      </c>
      <c r="D4" s="466">
        <v>95071</v>
      </c>
      <c r="E4" s="466">
        <v>34060</v>
      </c>
      <c r="F4" s="466">
        <v>28306</v>
      </c>
      <c r="G4" s="466">
        <v>25497</v>
      </c>
      <c r="H4" s="466">
        <v>42416</v>
      </c>
      <c r="I4" s="466">
        <v>34934</v>
      </c>
      <c r="J4" s="467">
        <v>16320</v>
      </c>
      <c r="K4" s="466">
        <v>219</v>
      </c>
      <c r="L4" s="466">
        <v>10972</v>
      </c>
      <c r="M4" s="468"/>
      <c r="N4" s="469"/>
    </row>
    <row r="5" spans="1:14" x14ac:dyDescent="0.2">
      <c r="A5" s="463" t="s">
        <v>992</v>
      </c>
      <c r="B5" s="470">
        <v>120</v>
      </c>
      <c r="C5" s="465">
        <v>355000</v>
      </c>
      <c r="D5" s="466">
        <v>640000</v>
      </c>
      <c r="E5" s="466">
        <v>110000</v>
      </c>
      <c r="F5" s="466">
        <v>495000</v>
      </c>
      <c r="G5" s="466">
        <v>88000</v>
      </c>
      <c r="H5" s="466">
        <v>20000</v>
      </c>
      <c r="I5" s="466">
        <v>1264000</v>
      </c>
      <c r="J5" s="467">
        <v>48000</v>
      </c>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721439</v>
      </c>
      <c r="D13" s="1737">
        <f t="shared" ref="D13:L13" si="0">SUM(D4:D12)</f>
        <v>735071</v>
      </c>
      <c r="E13" s="1737">
        <f t="shared" si="0"/>
        <v>144060</v>
      </c>
      <c r="F13" s="1737">
        <f t="shared" si="0"/>
        <v>523306</v>
      </c>
      <c r="G13" s="1737">
        <f t="shared" si="0"/>
        <v>113497</v>
      </c>
      <c r="H13" s="1737">
        <f t="shared" si="0"/>
        <v>62416</v>
      </c>
      <c r="I13" s="1737">
        <f t="shared" si="0"/>
        <v>1298934</v>
      </c>
      <c r="J13" s="1737">
        <f t="shared" si="0"/>
        <v>64320</v>
      </c>
      <c r="K13" s="1737">
        <f t="shared" si="0"/>
        <v>219</v>
      </c>
      <c r="L13" s="1737">
        <f t="shared" si="0"/>
        <v>10972</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14449</v>
      </c>
      <c r="N16" s="484"/>
    </row>
    <row r="17" spans="1:14" s="485" customFormat="1" ht="12.75" customHeight="1" x14ac:dyDescent="0.2">
      <c r="A17" s="482" t="s">
        <v>1403</v>
      </c>
      <c r="B17" s="483">
        <v>230</v>
      </c>
      <c r="C17" s="477"/>
      <c r="D17" s="477"/>
      <c r="E17" s="477"/>
      <c r="F17" s="477"/>
      <c r="G17" s="477"/>
      <c r="H17" s="477"/>
      <c r="I17" s="477"/>
      <c r="J17" s="477"/>
      <c r="K17" s="477"/>
      <c r="L17" s="477"/>
      <c r="M17" s="467">
        <v>2241334</v>
      </c>
      <c r="N17" s="484"/>
    </row>
    <row r="18" spans="1:14" s="485" customFormat="1" ht="12.75" customHeight="1" x14ac:dyDescent="0.2">
      <c r="A18" s="482" t="s">
        <v>1404</v>
      </c>
      <c r="B18" s="483">
        <v>240</v>
      </c>
      <c r="C18" s="477"/>
      <c r="D18" s="477"/>
      <c r="E18" s="477"/>
      <c r="F18" s="477"/>
      <c r="G18" s="477"/>
      <c r="H18" s="477"/>
      <c r="I18" s="477"/>
      <c r="J18" s="477"/>
      <c r="K18" s="477"/>
      <c r="L18" s="477"/>
      <c r="M18" s="467">
        <v>3231373</v>
      </c>
      <c r="N18" s="484"/>
    </row>
    <row r="19" spans="1:14" s="485" customFormat="1" ht="12.75" customHeight="1" x14ac:dyDescent="0.2">
      <c r="A19" s="482" t="s">
        <v>1405</v>
      </c>
      <c r="B19" s="483">
        <v>250</v>
      </c>
      <c r="C19" s="477"/>
      <c r="D19" s="477"/>
      <c r="E19" s="477"/>
      <c r="F19" s="477"/>
      <c r="G19" s="477"/>
      <c r="H19" s="477"/>
      <c r="I19" s="477"/>
      <c r="J19" s="477"/>
      <c r="K19" s="477"/>
      <c r="L19" s="477"/>
      <c r="M19" s="467">
        <v>1874875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144060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870940</v>
      </c>
    </row>
    <row r="23" spans="1:14" ht="13.5" customHeight="1" thickBot="1" x14ac:dyDescent="0.25">
      <c r="A23" s="1736" t="s">
        <v>643</v>
      </c>
      <c r="B23" s="1741"/>
      <c r="C23" s="468"/>
      <c r="D23" s="468"/>
      <c r="E23" s="468"/>
      <c r="F23" s="468"/>
      <c r="G23" s="468"/>
      <c r="H23" s="468"/>
      <c r="I23" s="468"/>
      <c r="J23" s="468"/>
      <c r="K23" s="468"/>
      <c r="L23" s="468"/>
      <c r="M23" s="1688">
        <f>SUM(M15:M22)</f>
        <v>7362031</v>
      </c>
      <c r="N23" s="1688">
        <f>SUM(N21:N22)</f>
        <v>1015000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10972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10972</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1015000</v>
      </c>
    </row>
    <row r="37" spans="1:14" ht="13.5" thickBot="1" x14ac:dyDescent="0.25">
      <c r="A37" s="1736" t="s">
        <v>653</v>
      </c>
      <c r="B37" s="1741"/>
      <c r="C37" s="477"/>
      <c r="D37" s="477"/>
      <c r="E37" s="477"/>
      <c r="F37" s="477"/>
      <c r="G37" s="477"/>
      <c r="H37" s="477"/>
      <c r="I37" s="477"/>
      <c r="J37" s="477"/>
      <c r="K37" s="477"/>
      <c r="L37" s="480"/>
      <c r="M37" s="468"/>
      <c r="N37" s="1688">
        <f>SUM(N36:N36)</f>
        <v>1015000</v>
      </c>
    </row>
    <row r="38" spans="1:14" s="329" customFormat="1" ht="13.5" customHeight="1" thickTop="1" x14ac:dyDescent="0.2">
      <c r="A38" s="496" t="s">
        <v>420</v>
      </c>
      <c r="B38" s="483">
        <v>714</v>
      </c>
      <c r="C38" s="466"/>
      <c r="D38" s="466">
        <v>30000</v>
      </c>
      <c r="E38" s="466">
        <v>50786</v>
      </c>
      <c r="F38" s="466"/>
      <c r="G38" s="466">
        <v>113497</v>
      </c>
      <c r="H38" s="466"/>
      <c r="I38" s="466"/>
      <c r="J38" s="467"/>
      <c r="K38" s="466"/>
      <c r="L38" s="481"/>
      <c r="M38" s="497"/>
      <c r="N38" s="497"/>
    </row>
    <row r="39" spans="1:14" s="329" customFormat="1" ht="13.5" customHeight="1" x14ac:dyDescent="0.2">
      <c r="A39" s="496" t="s">
        <v>342</v>
      </c>
      <c r="B39" s="483">
        <v>730</v>
      </c>
      <c r="C39" s="466">
        <v>721439</v>
      </c>
      <c r="D39" s="466">
        <v>705071</v>
      </c>
      <c r="E39" s="466">
        <v>93274</v>
      </c>
      <c r="F39" s="466">
        <v>523306</v>
      </c>
      <c r="G39" s="466"/>
      <c r="H39" s="466">
        <v>62416</v>
      </c>
      <c r="I39" s="466">
        <v>1298934</v>
      </c>
      <c r="J39" s="467">
        <v>64320</v>
      </c>
      <c r="K39" s="466">
        <v>219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7362031</v>
      </c>
      <c r="N40" s="497"/>
    </row>
    <row r="41" spans="1:14" ht="13.5" customHeight="1" thickBot="1" x14ac:dyDescent="0.25">
      <c r="A41" s="1736" t="s">
        <v>655</v>
      </c>
      <c r="B41" s="1706"/>
      <c r="C41" s="1688">
        <f>(SUM(C34,C37,C38,C39))</f>
        <v>721439</v>
      </c>
      <c r="D41" s="1688">
        <f t="shared" ref="D41:L41" si="2">SUM(D34,D37,D38:D39)</f>
        <v>735071</v>
      </c>
      <c r="E41" s="1688">
        <f t="shared" si="2"/>
        <v>144060</v>
      </c>
      <c r="F41" s="1688">
        <f t="shared" si="2"/>
        <v>523306</v>
      </c>
      <c r="G41" s="1688">
        <f t="shared" si="2"/>
        <v>113497</v>
      </c>
      <c r="H41" s="1688">
        <f t="shared" si="2"/>
        <v>62416</v>
      </c>
      <c r="I41" s="1688">
        <f t="shared" si="2"/>
        <v>1298934</v>
      </c>
      <c r="J41" s="1688">
        <f t="shared" si="2"/>
        <v>64320</v>
      </c>
      <c r="K41" s="1688">
        <f t="shared" si="2"/>
        <v>219</v>
      </c>
      <c r="L41" s="1688">
        <f t="shared" si="2"/>
        <v>10972</v>
      </c>
      <c r="M41" s="1688">
        <f>SUM(M40)</f>
        <v>7362031</v>
      </c>
      <c r="N41" s="1688">
        <f>SUM(N37)</f>
        <v>1015000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9" sqref="C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1124849</v>
      </c>
      <c r="D4" s="1742">
        <f>'Revenues 9-14'!D109</f>
        <v>239369</v>
      </c>
      <c r="E4" s="1742">
        <f>'Revenues 9-14'!E109</f>
        <v>215169</v>
      </c>
      <c r="F4" s="1742">
        <f>'Revenues 9-14'!F109</f>
        <v>73172</v>
      </c>
      <c r="G4" s="1742">
        <f>'Revenues 9-14'!G109</f>
        <v>66263</v>
      </c>
      <c r="H4" s="1742">
        <f>'Revenues 9-14'!H109</f>
        <v>107466</v>
      </c>
      <c r="I4" s="1742">
        <f>'Revenues 9-14'!I109</f>
        <v>51251</v>
      </c>
      <c r="J4" s="1742">
        <f>'Revenues 9-14'!J109</f>
        <v>49978</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185898</v>
      </c>
      <c r="D6" s="1743">
        <f>'Revenues 9-14'!D170</f>
        <v>30000</v>
      </c>
      <c r="E6" s="1743">
        <f>'Revenues 9-14'!E170</f>
        <v>0</v>
      </c>
      <c r="F6" s="1743">
        <f>'Revenues 9-14'!F170</f>
        <v>140079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118283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1429030</v>
      </c>
      <c r="D8" s="1688">
        <f t="shared" ref="D8:K8" si="0">SUM(D4:D7)</f>
        <v>269369</v>
      </c>
      <c r="E8" s="1688">
        <f t="shared" si="0"/>
        <v>215169</v>
      </c>
      <c r="F8" s="1688">
        <f t="shared" si="0"/>
        <v>213251</v>
      </c>
      <c r="G8" s="1688">
        <f t="shared" si="0"/>
        <v>66263</v>
      </c>
      <c r="H8" s="1688">
        <f t="shared" si="0"/>
        <v>107466</v>
      </c>
      <c r="I8" s="1688">
        <f t="shared" si="0"/>
        <v>51251</v>
      </c>
      <c r="J8" s="1688">
        <f t="shared" si="0"/>
        <v>49978</v>
      </c>
      <c r="K8" s="1688">
        <f t="shared" si="0"/>
        <v>0</v>
      </c>
      <c r="L8" s="347"/>
    </row>
    <row r="9" spans="1:13" ht="15.75" thickTop="1" x14ac:dyDescent="0.2">
      <c r="A9" s="514" t="s">
        <v>1653</v>
      </c>
      <c r="B9" s="515">
        <v>3998</v>
      </c>
      <c r="C9" s="481">
        <v>914534</v>
      </c>
      <c r="D9" s="516"/>
      <c r="E9" s="481"/>
      <c r="F9" s="481"/>
      <c r="G9" s="517"/>
      <c r="H9" s="481"/>
      <c r="I9" s="509" t="s">
        <v>1169</v>
      </c>
      <c r="J9" s="478"/>
      <c r="K9" s="481"/>
      <c r="L9" s="347"/>
    </row>
    <row r="10" spans="1:13" s="519" customFormat="1" ht="13.5" thickBot="1" x14ac:dyDescent="0.25">
      <c r="A10" s="1736" t="s">
        <v>1173</v>
      </c>
      <c r="B10" s="1709"/>
      <c r="C10" s="1688">
        <f>SUM(C8:C9)</f>
        <v>2343564</v>
      </c>
      <c r="D10" s="1688">
        <f t="shared" ref="D10:K10" si="1">SUM(D8:D9)</f>
        <v>269369</v>
      </c>
      <c r="E10" s="1688">
        <f t="shared" si="1"/>
        <v>215169</v>
      </c>
      <c r="F10" s="1688">
        <f t="shared" si="1"/>
        <v>213251</v>
      </c>
      <c r="G10" s="1688">
        <f t="shared" si="1"/>
        <v>66263</v>
      </c>
      <c r="H10" s="1688">
        <f t="shared" si="1"/>
        <v>107466</v>
      </c>
      <c r="I10" s="1688">
        <f t="shared" si="1"/>
        <v>51251</v>
      </c>
      <c r="J10" s="1688">
        <f t="shared" si="1"/>
        <v>49978</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1326916</v>
      </c>
      <c r="D12" s="520" t="s">
        <v>1169</v>
      </c>
      <c r="E12" s="468" t="s">
        <v>1169</v>
      </c>
      <c r="F12" s="468" t="s">
        <v>1169</v>
      </c>
      <c r="G12" s="1742">
        <f>'Expenditures 15-22'!K229</f>
        <v>69740</v>
      </c>
      <c r="H12" s="521"/>
      <c r="I12" s="468" t="s">
        <v>1169</v>
      </c>
      <c r="J12" s="468" t="s">
        <v>1169</v>
      </c>
      <c r="K12" s="521" t="s">
        <v>1169</v>
      </c>
      <c r="L12" s="347"/>
    </row>
    <row r="13" spans="1:13" ht="15.75" customHeight="1" x14ac:dyDescent="0.2">
      <c r="A13" s="1576" t="s">
        <v>457</v>
      </c>
      <c r="B13" s="1578">
        <v>2000</v>
      </c>
      <c r="C13" s="1743">
        <f>'Expenditures 15-22'!K74</f>
        <v>717873</v>
      </c>
      <c r="D13" s="1743">
        <f>'Expenditures 15-22'!K129</f>
        <v>367983</v>
      </c>
      <c r="E13" s="469" t="s">
        <v>1169</v>
      </c>
      <c r="F13" s="1743">
        <f>'Expenditures 15-22'!K184</f>
        <v>208078</v>
      </c>
      <c r="G13" s="1743">
        <f>'Expenditures 15-22'!K279</f>
        <v>31288</v>
      </c>
      <c r="H13" s="1743">
        <f>'Expenditures 15-22'!K303</f>
        <v>115930</v>
      </c>
      <c r="I13" s="468" t="s">
        <v>1169</v>
      </c>
      <c r="J13" s="1743">
        <f>'Expenditures 15-22'!K330</f>
        <v>49613</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58746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275317</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2103535</v>
      </c>
      <c r="D17" s="1688">
        <f t="shared" si="2"/>
        <v>367983</v>
      </c>
      <c r="E17" s="1688">
        <f t="shared" si="2"/>
        <v>275317</v>
      </c>
      <c r="F17" s="1688">
        <f t="shared" si="2"/>
        <v>208078</v>
      </c>
      <c r="G17" s="1688">
        <f t="shared" si="2"/>
        <v>101028</v>
      </c>
      <c r="H17" s="1688">
        <f t="shared" si="2"/>
        <v>115930</v>
      </c>
      <c r="I17" s="468"/>
      <c r="J17" s="1688">
        <f>SUM(J12:J16)</f>
        <v>49613</v>
      </c>
      <c r="K17" s="1688">
        <f>SUM(K12:K16)</f>
        <v>0</v>
      </c>
      <c r="L17" s="347"/>
    </row>
    <row r="18" spans="1:12" ht="15" customHeight="1" thickTop="1" x14ac:dyDescent="0.2">
      <c r="A18" s="1744" t="s">
        <v>1654</v>
      </c>
      <c r="B18" s="1745">
        <v>4180</v>
      </c>
      <c r="C18" s="1742">
        <f t="shared" ref="C18:H18" si="3">C9</f>
        <v>914534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3018069</v>
      </c>
      <c r="D19" s="1688">
        <f t="shared" si="4"/>
        <v>367983</v>
      </c>
      <c r="E19" s="1688">
        <f t="shared" si="4"/>
        <v>275317</v>
      </c>
      <c r="F19" s="1688">
        <f t="shared" si="4"/>
        <v>208078</v>
      </c>
      <c r="G19" s="1688">
        <f t="shared" si="4"/>
        <v>101028</v>
      </c>
      <c r="H19" s="1688">
        <f t="shared" si="4"/>
        <v>115930</v>
      </c>
      <c r="I19" s="468"/>
      <c r="J19" s="1688">
        <f>SUM(J17:J18)</f>
        <v>49613</v>
      </c>
      <c r="K19" s="1688">
        <f>SUM(K17:K18)</f>
        <v>0</v>
      </c>
      <c r="L19" s="347"/>
    </row>
    <row r="20" spans="1:12" ht="16.5" thickTop="1" thickBot="1" x14ac:dyDescent="0.25">
      <c r="A20" s="2128" t="s">
        <v>1655</v>
      </c>
      <c r="B20" s="2129"/>
      <c r="C20" s="1746">
        <f>C8-C17</f>
        <v>-674505</v>
      </c>
      <c r="D20" s="1746">
        <f t="shared" ref="D20:K20" si="5">D8-D17</f>
        <v>-98614</v>
      </c>
      <c r="E20" s="1746">
        <f t="shared" si="5"/>
        <v>-60148</v>
      </c>
      <c r="F20" s="1746">
        <f t="shared" si="5"/>
        <v>5173</v>
      </c>
      <c r="G20" s="1746">
        <f t="shared" si="5"/>
        <v>-34765</v>
      </c>
      <c r="H20" s="1746">
        <f t="shared" si="5"/>
        <v>-8464</v>
      </c>
      <c r="I20" s="1746">
        <f t="shared" si="5"/>
        <v>51251</v>
      </c>
      <c r="J20" s="1746">
        <f t="shared" si="5"/>
        <v>365</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v>27241</v>
      </c>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v>32058</v>
      </c>
      <c r="E43" s="467"/>
      <c r="F43" s="467"/>
      <c r="G43" s="467"/>
      <c r="H43" s="467"/>
      <c r="I43" s="467"/>
      <c r="J43" s="467"/>
      <c r="K43" s="467"/>
      <c r="L43" s="524"/>
    </row>
    <row r="44" spans="1:12" s="485" customFormat="1" ht="13.5" customHeight="1" thickBot="1" x14ac:dyDescent="0.25">
      <c r="A44" s="2142" t="s">
        <v>374</v>
      </c>
      <c r="B44" s="2143"/>
      <c r="C44" s="1703">
        <f>SUM(C24:C43)</f>
        <v>27241</v>
      </c>
      <c r="D44" s="1703">
        <f t="shared" ref="D44:K44" si="6">SUM(D24:D43)</f>
        <v>32058</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27241</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v>32058</v>
      </c>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27241</v>
      </c>
      <c r="J76" s="1703">
        <f t="shared" si="7"/>
        <v>32058</v>
      </c>
      <c r="K76" s="1703">
        <f t="shared" si="7"/>
        <v>0</v>
      </c>
      <c r="L76" s="524"/>
    </row>
    <row r="77" spans="1:12" ht="14.25" thickTop="1" thickBot="1" x14ac:dyDescent="0.25">
      <c r="A77" s="2120" t="s">
        <v>1177</v>
      </c>
      <c r="B77" s="2121"/>
      <c r="C77" s="1703">
        <f t="shared" ref="C77:K77" si="8">C44-C76</f>
        <v>27241</v>
      </c>
      <c r="D77" s="1703">
        <f t="shared" si="8"/>
        <v>32058</v>
      </c>
      <c r="E77" s="1703">
        <f t="shared" si="8"/>
        <v>0</v>
      </c>
      <c r="F77" s="1703">
        <f t="shared" si="8"/>
        <v>0</v>
      </c>
      <c r="G77" s="1703">
        <f t="shared" si="8"/>
        <v>0</v>
      </c>
      <c r="H77" s="1703">
        <f t="shared" si="8"/>
        <v>0</v>
      </c>
      <c r="I77" s="1703">
        <f t="shared" si="8"/>
        <v>-27241</v>
      </c>
      <c r="J77" s="1703">
        <f t="shared" si="8"/>
        <v>-32058</v>
      </c>
      <c r="K77" s="1703">
        <f t="shared" si="8"/>
        <v>0</v>
      </c>
      <c r="L77" s="347"/>
    </row>
    <row r="78" spans="1:12" ht="21.75" customHeight="1" thickTop="1" thickBot="1" x14ac:dyDescent="0.25">
      <c r="A78" s="2124" t="s">
        <v>597</v>
      </c>
      <c r="B78" s="2125"/>
      <c r="C78" s="1702">
        <f t="shared" ref="C78:K78" si="9">C20+C77</f>
        <v>-647264</v>
      </c>
      <c r="D78" s="1702">
        <f t="shared" si="9"/>
        <v>-66556</v>
      </c>
      <c r="E78" s="1702">
        <f t="shared" si="9"/>
        <v>-60148</v>
      </c>
      <c r="F78" s="1702">
        <f t="shared" si="9"/>
        <v>5173</v>
      </c>
      <c r="G78" s="1702">
        <f t="shared" si="9"/>
        <v>-34765</v>
      </c>
      <c r="H78" s="1702">
        <f t="shared" si="9"/>
        <v>-8464</v>
      </c>
      <c r="I78" s="1702">
        <f t="shared" si="9"/>
        <v>24010</v>
      </c>
      <c r="J78" s="1702">
        <f t="shared" si="9"/>
        <v>-31693</v>
      </c>
      <c r="K78" s="1702">
        <f t="shared" si="9"/>
        <v>0</v>
      </c>
      <c r="L78" s="533"/>
    </row>
    <row r="79" spans="1:12" ht="13.5" thickTop="1" x14ac:dyDescent="0.2">
      <c r="A79" s="1494" t="s">
        <v>1947</v>
      </c>
      <c r="B79" s="534"/>
      <c r="C79" s="478">
        <v>1368703</v>
      </c>
      <c r="D79" s="535">
        <v>801627</v>
      </c>
      <c r="E79" s="535">
        <v>204208</v>
      </c>
      <c r="F79" s="535">
        <v>518133</v>
      </c>
      <c r="G79" s="535">
        <v>148262</v>
      </c>
      <c r="H79" s="535">
        <v>70880</v>
      </c>
      <c r="I79" s="535">
        <v>1274924</v>
      </c>
      <c r="J79" s="535">
        <v>96013</v>
      </c>
      <c r="K79" s="535">
        <v>219</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721439</v>
      </c>
      <c r="D81" s="1688">
        <f>SUM(D78:D80)</f>
        <v>735071</v>
      </c>
      <c r="E81" s="1688">
        <f t="shared" ref="E81:K81" si="10">SUM(E78:E80)</f>
        <v>144060</v>
      </c>
      <c r="F81" s="1688">
        <f t="shared" si="10"/>
        <v>523306</v>
      </c>
      <c r="G81" s="1688">
        <f t="shared" si="10"/>
        <v>113497</v>
      </c>
      <c r="H81" s="1688">
        <f t="shared" si="10"/>
        <v>62416</v>
      </c>
      <c r="I81" s="1688">
        <f t="shared" si="10"/>
        <v>1298934</v>
      </c>
      <c r="J81" s="1688">
        <f t="shared" si="10"/>
        <v>64320</v>
      </c>
      <c r="K81" s="1688">
        <f t="shared" si="10"/>
        <v>219</v>
      </c>
      <c r="L81" s="347"/>
    </row>
    <row r="82" spans="1:12" ht="0.75" customHeight="1" thickTop="1" thickBot="1" x14ac:dyDescent="0.25">
      <c r="A82" s="536" t="s">
        <v>343</v>
      </c>
      <c r="B82" s="537"/>
      <c r="C82" s="538">
        <f>(C81-C79)</f>
        <v>-647264</v>
      </c>
      <c r="D82" s="538">
        <f t="shared" ref="D82:K82" si="11">(D81-D79)</f>
        <v>-66556</v>
      </c>
      <c r="E82" s="538">
        <f t="shared" si="11"/>
        <v>-60148</v>
      </c>
      <c r="F82" s="538">
        <f t="shared" si="11"/>
        <v>5173</v>
      </c>
      <c r="G82" s="538">
        <f t="shared" si="11"/>
        <v>-34765</v>
      </c>
      <c r="H82" s="538">
        <f t="shared" si="11"/>
        <v>-8464</v>
      </c>
      <c r="I82" s="538">
        <f t="shared" si="11"/>
        <v>24010</v>
      </c>
      <c r="J82" s="538">
        <f t="shared" si="11"/>
        <v>-31693</v>
      </c>
      <c r="K82" s="538">
        <f t="shared" si="11"/>
        <v>0</v>
      </c>
    </row>
    <row r="83" spans="1:12" ht="14.25" hidden="1" thickTop="1" thickBot="1" x14ac:dyDescent="0.25">
      <c r="A83" s="539" t="s">
        <v>344</v>
      </c>
      <c r="B83" s="464"/>
      <c r="C83" s="540">
        <f>C82/C81</f>
        <v>-0.89718465455845886</v>
      </c>
      <c r="D83" s="540">
        <f t="shared" ref="D83:K83" si="12">D82/D81</f>
        <v>-9.0543634560471029E-2</v>
      </c>
      <c r="E83" s="540">
        <f t="shared" si="12"/>
        <v>-0.41752047757878663</v>
      </c>
      <c r="F83" s="540">
        <f t="shared" si="12"/>
        <v>9.8852296744161156E-3</v>
      </c>
      <c r="G83" s="540">
        <f t="shared" si="12"/>
        <v>-0.30630765570896146</v>
      </c>
      <c r="H83" s="540">
        <f t="shared" si="12"/>
        <v>-0.13560625480645988</v>
      </c>
      <c r="I83" s="540">
        <f t="shared" si="12"/>
        <v>1.8484387967364006E-2</v>
      </c>
      <c r="J83" s="540">
        <f t="shared" si="12"/>
        <v>-0.49273942786069652</v>
      </c>
      <c r="K83" s="540">
        <f t="shared" si="12"/>
        <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922052</v>
      </c>
      <c r="D5" s="481">
        <v>215968</v>
      </c>
      <c r="E5" s="466">
        <v>108587</v>
      </c>
      <c r="F5" s="548">
        <v>57560</v>
      </c>
      <c r="G5" s="466">
        <v>31022</v>
      </c>
      <c r="H5" s="466"/>
      <c r="I5" s="466">
        <v>24007</v>
      </c>
      <c r="J5" s="467">
        <v>48918</v>
      </c>
      <c r="K5" s="466"/>
    </row>
    <row r="6" spans="1:12" ht="15" x14ac:dyDescent="0.2">
      <c r="A6" s="463" t="s">
        <v>1662</v>
      </c>
      <c r="B6" s="470">
        <v>1130</v>
      </c>
      <c r="C6" s="466">
        <v>13016</v>
      </c>
      <c r="D6" s="466"/>
      <c r="E6" s="475"/>
      <c r="F6" s="475"/>
      <c r="G6" s="468"/>
      <c r="H6" s="468"/>
      <c r="I6" s="468"/>
      <c r="J6" s="468"/>
      <c r="K6" s="468"/>
    </row>
    <row r="7" spans="1:12" x14ac:dyDescent="0.2">
      <c r="A7" s="463" t="s">
        <v>110</v>
      </c>
      <c r="B7" s="549">
        <v>1140</v>
      </c>
      <c r="C7" s="466">
        <v>9641</v>
      </c>
      <c r="D7" s="466"/>
      <c r="E7" s="468"/>
      <c r="F7" s="467"/>
      <c r="G7" s="467"/>
      <c r="H7" s="467"/>
      <c r="I7" s="468"/>
      <c r="J7" s="468"/>
      <c r="K7" s="468"/>
    </row>
    <row r="8" spans="1:12" x14ac:dyDescent="0.2">
      <c r="A8" s="463" t="s">
        <v>413</v>
      </c>
      <c r="B8" s="470">
        <v>1150</v>
      </c>
      <c r="C8" s="475"/>
      <c r="D8" s="475"/>
      <c r="E8" s="477"/>
      <c r="F8" s="477"/>
      <c r="G8" s="481">
        <v>31022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944709</v>
      </c>
      <c r="D12" s="1707">
        <f t="shared" si="0"/>
        <v>215968</v>
      </c>
      <c r="E12" s="1707">
        <f t="shared" si="0"/>
        <v>108587</v>
      </c>
      <c r="F12" s="1707">
        <f t="shared" si="0"/>
        <v>57560</v>
      </c>
      <c r="G12" s="1707">
        <f t="shared" si="0"/>
        <v>62044</v>
      </c>
      <c r="H12" s="1707">
        <f t="shared" si="0"/>
        <v>0</v>
      </c>
      <c r="I12" s="1707">
        <f t="shared" si="0"/>
        <v>24007</v>
      </c>
      <c r="J12" s="1707">
        <f t="shared" si="0"/>
        <v>48918</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127</v>
      </c>
      <c r="D14" s="466">
        <v>29</v>
      </c>
      <c r="E14" s="466">
        <v>15</v>
      </c>
      <c r="F14" s="466">
        <v>8</v>
      </c>
      <c r="G14" s="466">
        <v>9</v>
      </c>
      <c r="H14" s="466"/>
      <c r="I14" s="466">
        <v>3</v>
      </c>
      <c r="J14" s="467">
        <v>7</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50144</v>
      </c>
      <c r="D16" s="466"/>
      <c r="E16" s="466"/>
      <c r="F16" s="466"/>
      <c r="G16" s="466">
        <v>1782</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50271</v>
      </c>
      <c r="D18" s="1710">
        <f t="shared" ref="D18:K18" si="1">SUM(D14:D17)</f>
        <v>29</v>
      </c>
      <c r="E18" s="1710">
        <f t="shared" si="1"/>
        <v>15</v>
      </c>
      <c r="F18" s="1710">
        <f t="shared" si="1"/>
        <v>8</v>
      </c>
      <c r="G18" s="1710">
        <f t="shared" si="1"/>
        <v>1791</v>
      </c>
      <c r="H18" s="1710">
        <f t="shared" si="1"/>
        <v>0</v>
      </c>
      <c r="I18" s="1710">
        <f t="shared" si="1"/>
        <v>3</v>
      </c>
      <c r="J18" s="1710">
        <f t="shared" si="1"/>
        <v>7</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18986</v>
      </c>
      <c r="D65" s="466">
        <v>14798</v>
      </c>
      <c r="E65" s="466">
        <v>2105</v>
      </c>
      <c r="F65" s="467">
        <v>10055</v>
      </c>
      <c r="G65" s="466">
        <v>2428</v>
      </c>
      <c r="H65" s="466">
        <v>1159</v>
      </c>
      <c r="I65" s="466">
        <v>27241</v>
      </c>
      <c r="J65" s="467">
        <v>1053</v>
      </c>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18986</v>
      </c>
      <c r="D67" s="1688">
        <f t="shared" ref="D67:K67" si="2">SUM(D65:D66)</f>
        <v>14798</v>
      </c>
      <c r="E67" s="1688">
        <f t="shared" si="2"/>
        <v>2105</v>
      </c>
      <c r="F67" s="1688">
        <f t="shared" si="2"/>
        <v>10055</v>
      </c>
      <c r="G67" s="1688">
        <f t="shared" si="2"/>
        <v>2428</v>
      </c>
      <c r="H67" s="1688">
        <f t="shared" si="2"/>
        <v>1159</v>
      </c>
      <c r="I67" s="1688">
        <f t="shared" si="2"/>
        <v>27241</v>
      </c>
      <c r="J67" s="1688">
        <f t="shared" si="2"/>
        <v>1053</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60199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2567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62766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14782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14782</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22565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22565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197</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104462</v>
      </c>
      <c r="F103" s="468"/>
      <c r="G103" s="468"/>
      <c r="H103" s="489">
        <v>106307</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10573</v>
      </c>
      <c r="D107" s="466">
        <v>8574</v>
      </c>
      <c r="E107" s="466"/>
      <c r="F107" s="466">
        <v>5549</v>
      </c>
      <c r="G107" s="466"/>
      <c r="H107" s="466"/>
      <c r="I107" s="466"/>
      <c r="J107" s="467"/>
      <c r="K107" s="466"/>
    </row>
    <row r="108" spans="1:12" ht="12.75" customHeight="1" thickBot="1" x14ac:dyDescent="0.25">
      <c r="A108" s="1708" t="s">
        <v>487</v>
      </c>
      <c r="B108" s="1712"/>
      <c r="C108" s="1707">
        <f>SUM(C95:C107)</f>
        <v>10770</v>
      </c>
      <c r="D108" s="1707">
        <f t="shared" ref="D108:K108" si="3">SUM(D95:D107)</f>
        <v>8574</v>
      </c>
      <c r="E108" s="1707">
        <f t="shared" si="3"/>
        <v>104462</v>
      </c>
      <c r="F108" s="1707">
        <f t="shared" si="3"/>
        <v>5549</v>
      </c>
      <c r="G108" s="1707">
        <f t="shared" si="3"/>
        <v>0</v>
      </c>
      <c r="H108" s="1707">
        <f t="shared" si="3"/>
        <v>106307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1124849</v>
      </c>
      <c r="D109" s="1715">
        <f t="shared" si="4"/>
        <v>239369</v>
      </c>
      <c r="E109" s="1715">
        <f t="shared" si="4"/>
        <v>215169</v>
      </c>
      <c r="F109" s="1715">
        <f t="shared" si="4"/>
        <v>73172</v>
      </c>
      <c r="G109" s="1715">
        <f t="shared" si="4"/>
        <v>66263</v>
      </c>
      <c r="H109" s="1715">
        <f t="shared" si="4"/>
        <v>107466</v>
      </c>
      <c r="I109" s="1715">
        <f t="shared" si="4"/>
        <v>51251</v>
      </c>
      <c r="J109" s="1715">
        <f t="shared" si="4"/>
        <v>49978</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185500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185500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398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137022</v>
      </c>
      <c r="G152" s="467"/>
      <c r="H152" s="468"/>
      <c r="I152" s="468"/>
      <c r="J152" s="468"/>
      <c r="K152" s="468"/>
    </row>
    <row r="153" spans="1:11" ht="12.75" customHeight="1" x14ac:dyDescent="0.2">
      <c r="A153" s="463" t="s">
        <v>1057</v>
      </c>
      <c r="B153" s="562">
        <v>3510</v>
      </c>
      <c r="C153" s="551"/>
      <c r="D153" s="466"/>
      <c r="E153" s="561"/>
      <c r="F153" s="466">
        <v>3057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140079</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v>30000</v>
      </c>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398</v>
      </c>
      <c r="D169" s="1722">
        <f t="shared" si="6"/>
        <v>30000</v>
      </c>
      <c r="E169" s="1722">
        <f t="shared" si="6"/>
        <v>0</v>
      </c>
      <c r="F169" s="1722">
        <f t="shared" si="6"/>
        <v>140079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185898</v>
      </c>
      <c r="D170" s="1715">
        <f t="shared" si="7"/>
        <v>30000</v>
      </c>
      <c r="E170" s="1715">
        <f t="shared" si="7"/>
        <v>0</v>
      </c>
      <c r="F170" s="1715">
        <f t="shared" si="7"/>
        <v>140079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29747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29747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31331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31331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2152</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2152</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17255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3280</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34518</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118283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118283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1429030</v>
      </c>
      <c r="D268" s="1715">
        <f t="shared" si="12"/>
        <v>269369</v>
      </c>
      <c r="E268" s="1715">
        <f t="shared" si="12"/>
        <v>215169</v>
      </c>
      <c r="F268" s="1715">
        <f t="shared" si="12"/>
        <v>213251</v>
      </c>
      <c r="G268" s="1715">
        <f t="shared" si="12"/>
        <v>66263</v>
      </c>
      <c r="H268" s="1715">
        <f t="shared" si="12"/>
        <v>107466</v>
      </c>
      <c r="I268" s="1715">
        <f t="shared" si="12"/>
        <v>51251</v>
      </c>
      <c r="J268" s="1715">
        <f t="shared" si="12"/>
        <v>49978</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98" activePane="bottomLeft" state="frozen"/>
      <selection pane="bottomLeft" activeCell="C124" sqref="C12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923985</v>
      </c>
      <c r="D5" s="466">
        <v>135126</v>
      </c>
      <c r="E5" s="466">
        <v>16285</v>
      </c>
      <c r="F5" s="466">
        <v>43890</v>
      </c>
      <c r="G5" s="466">
        <v>25814</v>
      </c>
      <c r="H5" s="466"/>
      <c r="I5" s="467"/>
      <c r="J5" s="467"/>
      <c r="K5" s="1671">
        <f>SUM(C5:J5)</f>
        <v>1145100</v>
      </c>
      <c r="L5" s="466">
        <v>1132300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90638</v>
      </c>
      <c r="D8" s="466">
        <v>10280</v>
      </c>
      <c r="E8" s="466"/>
      <c r="F8" s="466">
        <v>718</v>
      </c>
      <c r="G8" s="466"/>
      <c r="H8" s="466"/>
      <c r="I8" s="467"/>
      <c r="J8" s="467"/>
      <c r="K8" s="1671">
        <f t="shared" si="0"/>
        <v>101636</v>
      </c>
      <c r="L8" s="466">
        <v>103250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40144</v>
      </c>
      <c r="D10" s="466">
        <v>4318</v>
      </c>
      <c r="E10" s="466"/>
      <c r="F10" s="466">
        <v>58</v>
      </c>
      <c r="G10" s="466"/>
      <c r="H10" s="466"/>
      <c r="I10" s="467"/>
      <c r="J10" s="467"/>
      <c r="K10" s="1671">
        <f t="shared" si="0"/>
        <v>44520</v>
      </c>
      <c r="L10" s="466">
        <v>43475</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1175</v>
      </c>
      <c r="D14" s="466"/>
      <c r="E14" s="466">
        <v>33467</v>
      </c>
      <c r="F14" s="466">
        <v>1018</v>
      </c>
      <c r="G14" s="466"/>
      <c r="H14" s="466"/>
      <c r="I14" s="467"/>
      <c r="J14" s="467"/>
      <c r="K14" s="1671">
        <f t="shared" si="0"/>
        <v>35660</v>
      </c>
      <c r="L14" s="466">
        <v>32300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1055942</v>
      </c>
      <c r="D33" s="1670">
        <f t="shared" ref="D33:L33" si="1">SUM(D5:D32)</f>
        <v>149724</v>
      </c>
      <c r="E33" s="1670">
        <f t="shared" si="1"/>
        <v>49752</v>
      </c>
      <c r="F33" s="1670">
        <f t="shared" si="1"/>
        <v>45684</v>
      </c>
      <c r="G33" s="1670">
        <f t="shared" si="1"/>
        <v>25814</v>
      </c>
      <c r="H33" s="1670">
        <f t="shared" si="1"/>
        <v>0</v>
      </c>
      <c r="I33" s="1670">
        <f t="shared" si="1"/>
        <v>0</v>
      </c>
      <c r="J33" s="1670">
        <f t="shared" si="1"/>
        <v>0</v>
      </c>
      <c r="K33" s="1670">
        <f t="shared" si="1"/>
        <v>1326916</v>
      </c>
      <c r="L33" s="1670">
        <f t="shared" si="1"/>
        <v>1311325</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1065</v>
      </c>
      <c r="D38" s="466"/>
      <c r="E38" s="466"/>
      <c r="F38" s="466">
        <v>9</v>
      </c>
      <c r="G38" s="466"/>
      <c r="H38" s="466"/>
      <c r="I38" s="467"/>
      <c r="J38" s="467"/>
      <c r="K38" s="1671">
        <f t="shared" si="2"/>
        <v>1074</v>
      </c>
      <c r="L38" s="466">
        <v>1250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31126</v>
      </c>
      <c r="D40" s="466"/>
      <c r="E40" s="466">
        <v>30253</v>
      </c>
      <c r="F40" s="466"/>
      <c r="G40" s="466"/>
      <c r="H40" s="466"/>
      <c r="I40" s="467"/>
      <c r="J40" s="467"/>
      <c r="K40" s="1671">
        <f t="shared" si="2"/>
        <v>61379</v>
      </c>
      <c r="L40" s="466">
        <v>63000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32191</v>
      </c>
      <c r="D42" s="1670">
        <f t="shared" ref="D42:L42" si="3">SUM(D36:D41)</f>
        <v>0</v>
      </c>
      <c r="E42" s="1670">
        <f t="shared" si="3"/>
        <v>30253</v>
      </c>
      <c r="F42" s="1670">
        <f t="shared" si="3"/>
        <v>9</v>
      </c>
      <c r="G42" s="1670">
        <f t="shared" si="3"/>
        <v>0</v>
      </c>
      <c r="H42" s="1670">
        <f t="shared" si="3"/>
        <v>0</v>
      </c>
      <c r="I42" s="1670">
        <f t="shared" si="3"/>
        <v>0</v>
      </c>
      <c r="J42" s="1670">
        <f t="shared" si="3"/>
        <v>0</v>
      </c>
      <c r="K42" s="1670">
        <f t="shared" si="3"/>
        <v>62453</v>
      </c>
      <c r="L42" s="1670">
        <f t="shared" si="3"/>
        <v>64250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v>5254</v>
      </c>
      <c r="E44" s="481">
        <v>8968</v>
      </c>
      <c r="F44" s="481"/>
      <c r="G44" s="481">
        <v>1324</v>
      </c>
      <c r="H44" s="481"/>
      <c r="I44" s="467"/>
      <c r="J44" s="467"/>
      <c r="K44" s="1672">
        <f>SUM(C44:J44)</f>
        <v>15546</v>
      </c>
      <c r="L44" s="481">
        <v>14225</v>
      </c>
    </row>
    <row r="45" spans="1:14" x14ac:dyDescent="0.2">
      <c r="A45" s="1504" t="s">
        <v>815</v>
      </c>
      <c r="B45" s="614">
        <v>2220</v>
      </c>
      <c r="C45" s="466"/>
      <c r="D45" s="466"/>
      <c r="E45" s="466"/>
      <c r="F45" s="466">
        <v>9741</v>
      </c>
      <c r="G45" s="466">
        <v>17189</v>
      </c>
      <c r="H45" s="466"/>
      <c r="I45" s="467"/>
      <c r="J45" s="467"/>
      <c r="K45" s="1672">
        <f>SUM(C45:J45)</f>
        <v>26930</v>
      </c>
      <c r="L45" s="466">
        <v>26700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5254</v>
      </c>
      <c r="E47" s="1670">
        <f t="shared" si="4"/>
        <v>8968</v>
      </c>
      <c r="F47" s="1670">
        <f t="shared" si="4"/>
        <v>9741</v>
      </c>
      <c r="G47" s="1670">
        <f t="shared" si="4"/>
        <v>18513</v>
      </c>
      <c r="H47" s="1670">
        <f t="shared" si="4"/>
        <v>0</v>
      </c>
      <c r="I47" s="1670">
        <f t="shared" si="4"/>
        <v>0</v>
      </c>
      <c r="J47" s="1670">
        <f t="shared" si="4"/>
        <v>0</v>
      </c>
      <c r="K47" s="1670">
        <f t="shared" si="4"/>
        <v>42476</v>
      </c>
      <c r="L47" s="1670">
        <f>SUM(L44:L46)</f>
        <v>40925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150</v>
      </c>
      <c r="D49" s="481"/>
      <c r="E49" s="481">
        <v>47245</v>
      </c>
      <c r="F49" s="481">
        <v>4980</v>
      </c>
      <c r="G49" s="481"/>
      <c r="H49" s="481">
        <v>2291</v>
      </c>
      <c r="I49" s="467"/>
      <c r="J49" s="467"/>
      <c r="K49" s="1672">
        <f>SUM(C49:J49)</f>
        <v>54666</v>
      </c>
      <c r="L49" s="481">
        <v>50950</v>
      </c>
    </row>
    <row r="50" spans="1:14" x14ac:dyDescent="0.2">
      <c r="A50" s="1504" t="s">
        <v>818</v>
      </c>
      <c r="B50" s="614">
        <v>2320</v>
      </c>
      <c r="C50" s="466">
        <v>123500</v>
      </c>
      <c r="D50" s="466">
        <v>30624</v>
      </c>
      <c r="E50" s="466">
        <v>3199</v>
      </c>
      <c r="F50" s="466">
        <v>624</v>
      </c>
      <c r="G50" s="466"/>
      <c r="H50" s="466">
        <v>1330</v>
      </c>
      <c r="I50" s="467"/>
      <c r="J50" s="467"/>
      <c r="K50" s="1672">
        <f>SUM(C50:J50)</f>
        <v>159277</v>
      </c>
      <c r="L50" s="466">
        <v>161350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123650</v>
      </c>
      <c r="D53" s="1670">
        <f t="shared" ref="D53:L53" si="5">SUM(D49:D52)</f>
        <v>30624</v>
      </c>
      <c r="E53" s="1670">
        <f t="shared" si="5"/>
        <v>50444</v>
      </c>
      <c r="F53" s="1670">
        <f t="shared" si="5"/>
        <v>5604</v>
      </c>
      <c r="G53" s="1670">
        <f t="shared" si="5"/>
        <v>0</v>
      </c>
      <c r="H53" s="1670">
        <f t="shared" si="5"/>
        <v>3621</v>
      </c>
      <c r="I53" s="1670">
        <f t="shared" si="5"/>
        <v>0</v>
      </c>
      <c r="J53" s="1670">
        <f t="shared" si="5"/>
        <v>0</v>
      </c>
      <c r="K53" s="1670">
        <f t="shared" si="5"/>
        <v>213943</v>
      </c>
      <c r="L53" s="1670">
        <f t="shared" si="5"/>
        <v>212300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120458</v>
      </c>
      <c r="D55" s="481">
        <v>28593</v>
      </c>
      <c r="E55" s="481">
        <v>3623</v>
      </c>
      <c r="F55" s="481">
        <v>2265</v>
      </c>
      <c r="G55" s="481"/>
      <c r="H55" s="481">
        <v>654</v>
      </c>
      <c r="I55" s="467"/>
      <c r="J55" s="467"/>
      <c r="K55" s="1672">
        <f>SUM(C55:J55)</f>
        <v>155593</v>
      </c>
      <c r="L55" s="481">
        <v>148550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120458</v>
      </c>
      <c r="D57" s="1674">
        <f t="shared" ref="D57:K57" si="6">SUM(D55:D56)</f>
        <v>28593</v>
      </c>
      <c r="E57" s="1674">
        <f t="shared" si="6"/>
        <v>3623</v>
      </c>
      <c r="F57" s="1674">
        <f t="shared" si="6"/>
        <v>2265</v>
      </c>
      <c r="G57" s="1674">
        <f t="shared" si="6"/>
        <v>0</v>
      </c>
      <c r="H57" s="1674">
        <f t="shared" si="6"/>
        <v>654</v>
      </c>
      <c r="I57" s="1674">
        <f t="shared" si="6"/>
        <v>0</v>
      </c>
      <c r="J57" s="1674">
        <f t="shared" si="6"/>
        <v>0</v>
      </c>
      <c r="K57" s="1674">
        <f t="shared" si="6"/>
        <v>155593</v>
      </c>
      <c r="L57" s="1670">
        <f>SUM(L55:L56)</f>
        <v>148550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108035</v>
      </c>
      <c r="D60" s="466">
        <v>14036</v>
      </c>
      <c r="E60" s="466"/>
      <c r="F60" s="466"/>
      <c r="G60" s="466"/>
      <c r="H60" s="466"/>
      <c r="I60" s="467"/>
      <c r="J60" s="467"/>
      <c r="K60" s="1672">
        <f t="shared" si="7"/>
        <v>122071</v>
      </c>
      <c r="L60" s="466">
        <v>124700</v>
      </c>
      <c r="M60" s="609"/>
      <c r="N60" s="609"/>
    </row>
    <row r="61" spans="1:14" s="343" customFormat="1" x14ac:dyDescent="0.2">
      <c r="A61" s="1504" t="s">
        <v>197</v>
      </c>
      <c r="B61" s="614">
        <v>2540</v>
      </c>
      <c r="C61" s="466"/>
      <c r="D61" s="466"/>
      <c r="E61" s="466">
        <v>2807</v>
      </c>
      <c r="F61" s="466"/>
      <c r="G61" s="466"/>
      <c r="H61" s="466"/>
      <c r="I61" s="467"/>
      <c r="J61" s="467"/>
      <c r="K61" s="1672">
        <f t="shared" si="7"/>
        <v>2807</v>
      </c>
      <c r="L61" s="466">
        <v>2200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63617</v>
      </c>
      <c r="D63" s="466">
        <v>6966</v>
      </c>
      <c r="E63" s="466">
        <v>3363</v>
      </c>
      <c r="F63" s="466">
        <v>41346</v>
      </c>
      <c r="G63" s="466">
        <v>3238</v>
      </c>
      <c r="H63" s="466"/>
      <c r="I63" s="467"/>
      <c r="J63" s="467"/>
      <c r="K63" s="1672">
        <f t="shared" si="7"/>
        <v>118530</v>
      </c>
      <c r="L63" s="466">
        <v>122400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171652</v>
      </c>
      <c r="D65" s="1670">
        <f t="shared" ref="D65:L65" si="8">SUM(D59:D64)</f>
        <v>21002</v>
      </c>
      <c r="E65" s="1670">
        <f t="shared" si="8"/>
        <v>6170</v>
      </c>
      <c r="F65" s="1670">
        <f t="shared" si="8"/>
        <v>41346</v>
      </c>
      <c r="G65" s="1670">
        <f t="shared" si="8"/>
        <v>3238</v>
      </c>
      <c r="H65" s="1670">
        <f t="shared" si="8"/>
        <v>0</v>
      </c>
      <c r="I65" s="1670">
        <f t="shared" si="8"/>
        <v>0</v>
      </c>
      <c r="J65" s="1670">
        <f t="shared" si="8"/>
        <v>0</v>
      </c>
      <c r="K65" s="1670">
        <f t="shared" si="8"/>
        <v>243408</v>
      </c>
      <c r="L65" s="1670">
        <f t="shared" si="8"/>
        <v>249300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447951</v>
      </c>
      <c r="D74" s="1677">
        <f t="shared" ref="D74:K74" si="10">SUM(D42,D47,D53,D57,D65,D72,D73)</f>
        <v>85473</v>
      </c>
      <c r="E74" s="1677">
        <f t="shared" si="10"/>
        <v>99458</v>
      </c>
      <c r="F74" s="1677">
        <f t="shared" si="10"/>
        <v>58965</v>
      </c>
      <c r="G74" s="1677">
        <f t="shared" si="10"/>
        <v>21751</v>
      </c>
      <c r="H74" s="1677">
        <f t="shared" si="10"/>
        <v>4275</v>
      </c>
      <c r="I74" s="1677">
        <f t="shared" si="10"/>
        <v>0</v>
      </c>
      <c r="J74" s="1677">
        <f t="shared" si="10"/>
        <v>0</v>
      </c>
      <c r="K74" s="1677">
        <f t="shared" si="10"/>
        <v>717873</v>
      </c>
      <c r="L74" s="1677">
        <f>SUM(L42,L47,L53,L57,L65,L72,L73)</f>
        <v>715325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58746</v>
      </c>
      <c r="I79" s="477"/>
      <c r="J79" s="477"/>
      <c r="K79" s="1671">
        <f t="shared" si="11"/>
        <v>58746</v>
      </c>
      <c r="L79" s="466">
        <v>57000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58746</v>
      </c>
      <c r="I84" s="477"/>
      <c r="J84" s="477"/>
      <c r="K84" s="1670">
        <f>SUM(K78:K83)</f>
        <v>58746</v>
      </c>
      <c r="L84" s="1670">
        <f>SUM(L78:L83)</f>
        <v>57000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58746</v>
      </c>
      <c r="I102" s="477"/>
      <c r="J102" s="477"/>
      <c r="K102" s="1677">
        <f>SUM(K84,K92,K100,K101)</f>
        <v>58746</v>
      </c>
      <c r="L102" s="1677">
        <f>SUM(L84,L92,L100,L101)</f>
        <v>57000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1503893</v>
      </c>
      <c r="D114" s="1670">
        <f t="shared" ref="D114:K114" si="13">SUM(D33,D74,D75,D102,D112,D113)</f>
        <v>235197</v>
      </c>
      <c r="E114" s="1670">
        <f t="shared" si="13"/>
        <v>149210</v>
      </c>
      <c r="F114" s="1670">
        <f t="shared" si="13"/>
        <v>104649</v>
      </c>
      <c r="G114" s="1670">
        <f t="shared" si="13"/>
        <v>47565</v>
      </c>
      <c r="H114" s="1670">
        <f>SUM(H33,H74,H75,H102,H112,H113)</f>
        <v>63021</v>
      </c>
      <c r="I114" s="1670">
        <f t="shared" si="13"/>
        <v>0</v>
      </c>
      <c r="J114" s="1670">
        <f t="shared" si="13"/>
        <v>0</v>
      </c>
      <c r="K114" s="1670">
        <f t="shared" si="13"/>
        <v>2103535</v>
      </c>
      <c r="L114" s="1670">
        <f>SUM(L33,L74,L75,L102,L112,L113)</f>
        <v>2083650</v>
      </c>
    </row>
    <row r="115" spans="1:14" ht="13.5" thickTop="1" x14ac:dyDescent="0.2">
      <c r="A115" s="2158" t="s">
        <v>996</v>
      </c>
      <c r="B115" s="2159"/>
      <c r="C115" s="618"/>
      <c r="D115" s="618"/>
      <c r="E115" s="618"/>
      <c r="F115" s="618"/>
      <c r="G115" s="618"/>
      <c r="H115" s="618"/>
      <c r="I115" s="618"/>
      <c r="J115" s="618"/>
      <c r="K115" s="1684">
        <f>'Revenues 9-14'!C268-'Expenditures 15-22'!K114</f>
        <v>-674505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88100</v>
      </c>
      <c r="D124" s="466">
        <v>12152</v>
      </c>
      <c r="E124" s="466">
        <v>207809</v>
      </c>
      <c r="F124" s="466">
        <v>27399</v>
      </c>
      <c r="G124" s="466">
        <v>32506</v>
      </c>
      <c r="H124" s="466">
        <v>17</v>
      </c>
      <c r="I124" s="467"/>
      <c r="J124" s="467"/>
      <c r="K124" s="1670">
        <f>SUM(C124:J124)</f>
        <v>367983</v>
      </c>
      <c r="L124" s="466">
        <v>381520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88100</v>
      </c>
      <c r="D127" s="1670">
        <f t="shared" ref="D127:L127" si="14">SUM(D122:D126)</f>
        <v>12152</v>
      </c>
      <c r="E127" s="1670">
        <f t="shared" si="14"/>
        <v>207809</v>
      </c>
      <c r="F127" s="1670">
        <f t="shared" si="14"/>
        <v>27399</v>
      </c>
      <c r="G127" s="1670">
        <f t="shared" si="14"/>
        <v>32506</v>
      </c>
      <c r="H127" s="1670">
        <f t="shared" si="14"/>
        <v>17</v>
      </c>
      <c r="I127" s="1670">
        <f t="shared" si="14"/>
        <v>0</v>
      </c>
      <c r="J127" s="1670">
        <f t="shared" si="14"/>
        <v>0</v>
      </c>
      <c r="K127" s="1670">
        <f t="shared" si="14"/>
        <v>367983</v>
      </c>
      <c r="L127" s="1670">
        <f t="shared" si="14"/>
        <v>381520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88100</v>
      </c>
      <c r="D129" s="1677">
        <f t="shared" ref="D129:L129" si="15">SUM(D120,D127,D128)</f>
        <v>12152</v>
      </c>
      <c r="E129" s="1677">
        <f t="shared" si="15"/>
        <v>207809</v>
      </c>
      <c r="F129" s="1677">
        <f t="shared" si="15"/>
        <v>27399</v>
      </c>
      <c r="G129" s="1677">
        <f t="shared" si="15"/>
        <v>32506</v>
      </c>
      <c r="H129" s="1677">
        <f t="shared" si="15"/>
        <v>17</v>
      </c>
      <c r="I129" s="1677">
        <f t="shared" si="15"/>
        <v>0</v>
      </c>
      <c r="J129" s="1677">
        <f t="shared" si="15"/>
        <v>0</v>
      </c>
      <c r="K129" s="1677">
        <f t="shared" si="15"/>
        <v>367983</v>
      </c>
      <c r="L129" s="1677">
        <f t="shared" si="15"/>
        <v>381520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88100</v>
      </c>
      <c r="D151" s="1670">
        <f t="shared" ref="D151:K151" si="16">SUM(D129,D130,D139,D149,D150)</f>
        <v>12152</v>
      </c>
      <c r="E151" s="1670">
        <f t="shared" si="16"/>
        <v>207809</v>
      </c>
      <c r="F151" s="1670">
        <f t="shared" si="16"/>
        <v>27399</v>
      </c>
      <c r="G151" s="1670">
        <f t="shared" si="16"/>
        <v>32506</v>
      </c>
      <c r="H151" s="1670">
        <f t="shared" si="16"/>
        <v>17</v>
      </c>
      <c r="I151" s="1670">
        <f t="shared" si="16"/>
        <v>0</v>
      </c>
      <c r="J151" s="1670">
        <f t="shared" si="16"/>
        <v>0</v>
      </c>
      <c r="K151" s="1670">
        <f t="shared" si="16"/>
        <v>367983</v>
      </c>
      <c r="L151" s="1670">
        <f>SUM(L129,L130,L139,L149,L150)</f>
        <v>381520</v>
      </c>
    </row>
    <row r="152" spans="1:14" ht="12.75" customHeight="1" thickTop="1" x14ac:dyDescent="0.2">
      <c r="A152" s="2178" t="s">
        <v>1178</v>
      </c>
      <c r="B152" s="2179"/>
      <c r="C152" s="618"/>
      <c r="D152" s="618"/>
      <c r="E152" s="618"/>
      <c r="F152" s="618"/>
      <c r="G152" s="618"/>
      <c r="H152" s="618"/>
      <c r="I152" s="618"/>
      <c r="J152" s="616"/>
      <c r="K152" s="1684">
        <f>'Revenues 9-14'!D268-'Expenditures 15-22'!K151</f>
        <v>-98614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26817</v>
      </c>
      <c r="I169" s="616"/>
      <c r="J169" s="616"/>
      <c r="K169" s="1671">
        <f>SUM(C169:H169)</f>
        <v>26817</v>
      </c>
      <c r="L169" s="656">
        <v>36600</v>
      </c>
    </row>
    <row r="170" spans="1:14" ht="33.75" customHeight="1" x14ac:dyDescent="0.2">
      <c r="A170" s="669" t="s">
        <v>1670</v>
      </c>
      <c r="B170" s="671" t="s">
        <v>31</v>
      </c>
      <c r="C170" s="616"/>
      <c r="D170" s="616"/>
      <c r="E170" s="616"/>
      <c r="F170" s="616"/>
      <c r="G170" s="616"/>
      <c r="H170" s="569">
        <v>248000</v>
      </c>
      <c r="I170" s="616"/>
      <c r="J170" s="616"/>
      <c r="K170" s="1671">
        <f>SUM(C170:J170)</f>
        <v>248000</v>
      </c>
      <c r="L170" s="569">
        <v>70000</v>
      </c>
    </row>
    <row r="171" spans="1:14" ht="15.75" customHeight="1" x14ac:dyDescent="0.2">
      <c r="A171" s="621" t="s">
        <v>766</v>
      </c>
      <c r="B171" s="672" t="s">
        <v>84</v>
      </c>
      <c r="C171" s="616"/>
      <c r="D171" s="616"/>
      <c r="E171" s="466"/>
      <c r="F171" s="616"/>
      <c r="G171" s="616"/>
      <c r="H171" s="569">
        <v>500</v>
      </c>
      <c r="I171" s="477"/>
      <c r="J171" s="616"/>
      <c r="K171" s="1671">
        <f>SUM(C171:J171)</f>
        <v>500</v>
      </c>
      <c r="L171" s="569">
        <v>169000</v>
      </c>
    </row>
    <row r="172" spans="1:14" ht="12.75" customHeight="1" thickBot="1" x14ac:dyDescent="0.25">
      <c r="A172" s="1668" t="s">
        <v>638</v>
      </c>
      <c r="B172" s="1669" t="s">
        <v>492</v>
      </c>
      <c r="C172" s="616"/>
      <c r="D172" s="616"/>
      <c r="E172" s="1677">
        <f>SUM(E168,E169,E170,E171)</f>
        <v>0</v>
      </c>
      <c r="F172" s="616"/>
      <c r="G172" s="616"/>
      <c r="H172" s="1677">
        <f>SUM(H168,H169,H170,H171)</f>
        <v>275317</v>
      </c>
      <c r="I172" s="638"/>
      <c r="J172" s="616"/>
      <c r="K172" s="1677">
        <f>SUM(K168,K169,K170,K171)</f>
        <v>275317</v>
      </c>
      <c r="L172" s="1677">
        <f>SUM(L168,L169,L170,L171)</f>
        <v>275600</v>
      </c>
    </row>
    <row r="173" spans="1:14" ht="15.75" customHeight="1" thickTop="1" thickBot="1" x14ac:dyDescent="0.25">
      <c r="A173" s="1619" t="s">
        <v>85</v>
      </c>
      <c r="B173" s="1611" t="s">
        <v>861</v>
      </c>
      <c r="C173" s="616"/>
      <c r="D173" s="616"/>
      <c r="E173" s="623"/>
      <c r="F173" s="616"/>
      <c r="G173" s="616"/>
      <c r="H173" s="626"/>
      <c r="I173" s="638"/>
      <c r="J173" s="616"/>
      <c r="K173" s="623"/>
      <c r="L173" s="576">
        <v>500</v>
      </c>
    </row>
    <row r="174" spans="1:14" ht="12.75" customHeight="1" thickTop="1" thickBot="1" x14ac:dyDescent="0.25">
      <c r="A174" s="1689" t="s">
        <v>90</v>
      </c>
      <c r="B174" s="1690"/>
      <c r="C174" s="616"/>
      <c r="D174" s="616"/>
      <c r="E174" s="1677">
        <f>SUM(E172,E173)</f>
        <v>0</v>
      </c>
      <c r="F174" s="616"/>
      <c r="G174" s="616"/>
      <c r="H174" s="1677">
        <f>SUM(H160,H172,H173)</f>
        <v>275317</v>
      </c>
      <c r="I174" s="638"/>
      <c r="J174" s="616"/>
      <c r="K174" s="1677">
        <f>SUM(K160,K172,K173)</f>
        <v>275317</v>
      </c>
      <c r="L174" s="1677">
        <f>SUM(L160,L172,L173)</f>
        <v>276100</v>
      </c>
    </row>
    <row r="175" spans="1:14" ht="13.5" thickTop="1" x14ac:dyDescent="0.2">
      <c r="A175" s="2158" t="s">
        <v>996</v>
      </c>
      <c r="B175" s="2159"/>
      <c r="C175" s="616"/>
      <c r="D175" s="616"/>
      <c r="E175" s="616"/>
      <c r="F175" s="616"/>
      <c r="G175" s="616"/>
      <c r="H175" s="618"/>
      <c r="I175" s="616"/>
      <c r="J175" s="616"/>
      <c r="K175" s="1684">
        <f>'Revenues 9-14'!E268-'Expenditures 15-22'!K174</f>
        <v>-60148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118877</v>
      </c>
      <c r="D182" s="466">
        <v>3612</v>
      </c>
      <c r="E182" s="466">
        <v>41074</v>
      </c>
      <c r="F182" s="466">
        <v>44515</v>
      </c>
      <c r="G182" s="466"/>
      <c r="H182" s="466"/>
      <c r="I182" s="467"/>
      <c r="J182" s="467"/>
      <c r="K182" s="1671">
        <f>SUM(C182:J182)</f>
        <v>208078</v>
      </c>
      <c r="L182" s="466">
        <v>208500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118877</v>
      </c>
      <c r="D184" s="1677">
        <f t="shared" ref="D184:J184" si="17">SUM(D180,D182,D183)</f>
        <v>3612</v>
      </c>
      <c r="E184" s="1677">
        <f t="shared" si="17"/>
        <v>41074</v>
      </c>
      <c r="F184" s="1677">
        <f t="shared" si="17"/>
        <v>44515</v>
      </c>
      <c r="G184" s="1677">
        <f t="shared" si="17"/>
        <v>0</v>
      </c>
      <c r="H184" s="1677">
        <f t="shared" si="17"/>
        <v>0</v>
      </c>
      <c r="I184" s="1677">
        <f t="shared" si="17"/>
        <v>0</v>
      </c>
      <c r="J184" s="1677">
        <f t="shared" si="17"/>
        <v>0</v>
      </c>
      <c r="K184" s="1677">
        <f>SUM(K180,K182,K183)</f>
        <v>208078</v>
      </c>
      <c r="L184" s="1677">
        <f>SUM(L180, L182:L183)</f>
        <v>208500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118877</v>
      </c>
      <c r="D210" s="1670">
        <f>SUM(D184,D185)</f>
        <v>3612</v>
      </c>
      <c r="E210" s="1670">
        <f>SUM(E184,E185,E196)</f>
        <v>41074</v>
      </c>
      <c r="F210" s="1670">
        <f>SUM(F184,F185)</f>
        <v>44515</v>
      </c>
      <c r="G210" s="1670">
        <f>SUM(G184,G185)</f>
        <v>0</v>
      </c>
      <c r="H210" s="1670">
        <f>SUM(H184,H185,H196,H208,H209)</f>
        <v>0</v>
      </c>
      <c r="I210" s="1670">
        <f>SUM(I184,I185)</f>
        <v>0</v>
      </c>
      <c r="J210" s="1670">
        <f>SUM(J184,J185)</f>
        <v>0</v>
      </c>
      <c r="K210" s="1671">
        <f>SUM(K184,K185,K196,K208,K209)</f>
        <v>208078</v>
      </c>
      <c r="L210" s="1670">
        <f>SUM(L184,L185,L196,L208,L209)</f>
        <v>208500</v>
      </c>
    </row>
    <row r="211" spans="1:14" ht="13.5" thickTop="1" x14ac:dyDescent="0.2">
      <c r="A211" s="2158" t="s">
        <v>996</v>
      </c>
      <c r="B211" s="2159"/>
      <c r="C211" s="618"/>
      <c r="D211" s="618"/>
      <c r="E211" s="618"/>
      <c r="F211" s="618"/>
      <c r="G211" s="618"/>
      <c r="H211" s="618"/>
      <c r="I211" s="616"/>
      <c r="J211" s="616"/>
      <c r="K211" s="1684">
        <f>'Revenues 9-14'!F268-'Expenditures 15-22'!K210</f>
        <v>5173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65291</v>
      </c>
      <c r="E215" s="616"/>
      <c r="F215" s="616"/>
      <c r="G215" s="616"/>
      <c r="H215" s="616"/>
      <c r="I215" s="616"/>
      <c r="J215" s="616"/>
      <c r="K215" s="1671">
        <f>D215</f>
        <v>65291</v>
      </c>
      <c r="L215" s="466">
        <v>65500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1296</v>
      </c>
      <c r="E217" s="616"/>
      <c r="F217" s="616"/>
      <c r="G217" s="616"/>
      <c r="H217" s="616"/>
      <c r="I217" s="616"/>
      <c r="J217" s="616"/>
      <c r="K217" s="1671">
        <f t="shared" si="19"/>
        <v>1296</v>
      </c>
      <c r="L217" s="466">
        <v>1300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3063</v>
      </c>
      <c r="E219" s="616"/>
      <c r="F219" s="616"/>
      <c r="G219" s="616"/>
      <c r="H219" s="616"/>
      <c r="I219" s="616"/>
      <c r="J219" s="616"/>
      <c r="K219" s="1671">
        <f t="shared" si="19"/>
        <v>3063</v>
      </c>
      <c r="L219" s="466">
        <v>4300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90</v>
      </c>
      <c r="E223" s="616"/>
      <c r="F223" s="616"/>
      <c r="G223" s="616"/>
      <c r="H223" s="616"/>
      <c r="I223" s="616"/>
      <c r="J223" s="616"/>
      <c r="K223" s="1671">
        <f t="shared" si="19"/>
        <v>90</v>
      </c>
      <c r="L223" s="466">
        <v>100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69740</v>
      </c>
      <c r="E229" s="616"/>
      <c r="F229" s="616"/>
      <c r="G229" s="616"/>
      <c r="H229" s="616"/>
      <c r="I229" s="616"/>
      <c r="J229" s="616"/>
      <c r="K229" s="1670">
        <f>SUM(K215:K228)</f>
        <v>69740</v>
      </c>
      <c r="L229" s="1670">
        <f>SUM(L215:L228)</f>
        <v>71200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451</v>
      </c>
      <c r="E236" s="616"/>
      <c r="F236" s="616"/>
      <c r="G236" s="616"/>
      <c r="H236" s="616"/>
      <c r="I236" s="616"/>
      <c r="J236" s="616"/>
      <c r="K236" s="1671">
        <f t="shared" si="20"/>
        <v>451</v>
      </c>
      <c r="L236" s="466">
        <v>500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451</v>
      </c>
      <c r="E238" s="616"/>
      <c r="F238" s="616"/>
      <c r="G238" s="616"/>
      <c r="H238" s="616"/>
      <c r="I238" s="616"/>
      <c r="J238" s="616"/>
      <c r="K238" s="1670">
        <f>SUM(K232:K237)</f>
        <v>451</v>
      </c>
      <c r="L238" s="1670">
        <f>SUM(L232:L237)</f>
        <v>500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v>15</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15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1779</v>
      </c>
      <c r="E246" s="616"/>
      <c r="F246" s="616"/>
      <c r="G246" s="616"/>
      <c r="H246" s="616"/>
      <c r="I246" s="616"/>
      <c r="J246" s="616"/>
      <c r="K246" s="1672">
        <f t="shared" ref="K246:K256" si="21">D246</f>
        <v>1779</v>
      </c>
      <c r="L246" s="466">
        <v>1800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1779</v>
      </c>
      <c r="E257" s="616"/>
      <c r="F257" s="616"/>
      <c r="G257" s="616"/>
      <c r="H257" s="616"/>
      <c r="I257" s="616"/>
      <c r="J257" s="616"/>
      <c r="K257" s="1670">
        <f>SUM(K245:K256)</f>
        <v>1779</v>
      </c>
      <c r="L257" s="1670">
        <f>SUM(L245:L256)</f>
        <v>1800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1567</v>
      </c>
      <c r="E259" s="616"/>
      <c r="F259" s="616"/>
      <c r="G259" s="616"/>
      <c r="H259" s="616"/>
      <c r="I259" s="616"/>
      <c r="J259" s="616"/>
      <c r="K259" s="1672">
        <f>D259</f>
        <v>1567</v>
      </c>
      <c r="L259" s="481">
        <v>1600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1567</v>
      </c>
      <c r="E261" s="616"/>
      <c r="F261" s="616"/>
      <c r="G261" s="616"/>
      <c r="H261" s="616"/>
      <c r="I261" s="616"/>
      <c r="J261" s="616"/>
      <c r="K261" s="1670">
        <f>SUM(K259:K260)</f>
        <v>1567</v>
      </c>
      <c r="L261" s="1670">
        <f>SUM(L259:L260)</f>
        <v>1600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7717</v>
      </c>
      <c r="E264" s="616"/>
      <c r="F264" s="616"/>
      <c r="G264" s="616"/>
      <c r="H264" s="616"/>
      <c r="I264" s="616"/>
      <c r="J264" s="616"/>
      <c r="K264" s="1672">
        <f t="shared" ref="K264:K269" si="22">D264</f>
        <v>7717</v>
      </c>
      <c r="L264" s="466">
        <v>7650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6384</v>
      </c>
      <c r="E266" s="616"/>
      <c r="F266" s="616"/>
      <c r="G266" s="616"/>
      <c r="H266" s="616"/>
      <c r="I266" s="616"/>
      <c r="J266" s="616"/>
      <c r="K266" s="1672">
        <f t="shared" si="22"/>
        <v>6384</v>
      </c>
      <c r="L266" s="466">
        <v>6400</v>
      </c>
    </row>
    <row r="267" spans="1:14" x14ac:dyDescent="0.2">
      <c r="A267" s="1504" t="s">
        <v>953</v>
      </c>
      <c r="B267" s="614">
        <v>2550</v>
      </c>
      <c r="C267" s="616"/>
      <c r="D267" s="466">
        <v>8563</v>
      </c>
      <c r="E267" s="616"/>
      <c r="F267" s="616"/>
      <c r="G267" s="616"/>
      <c r="H267" s="616"/>
      <c r="I267" s="616"/>
      <c r="J267" s="616"/>
      <c r="K267" s="1672">
        <f t="shared" si="22"/>
        <v>8563</v>
      </c>
      <c r="L267" s="466">
        <v>7800</v>
      </c>
    </row>
    <row r="268" spans="1:14" x14ac:dyDescent="0.2">
      <c r="A268" s="1504" t="s">
        <v>100</v>
      </c>
      <c r="B268" s="614">
        <v>2560</v>
      </c>
      <c r="C268" s="616"/>
      <c r="D268" s="466">
        <v>4827</v>
      </c>
      <c r="E268" s="616"/>
      <c r="F268" s="616"/>
      <c r="G268" s="616"/>
      <c r="H268" s="616"/>
      <c r="I268" s="616"/>
      <c r="J268" s="616"/>
      <c r="K268" s="1672">
        <f t="shared" si="22"/>
        <v>4827</v>
      </c>
      <c r="L268" s="466">
        <v>5000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27491</v>
      </c>
      <c r="E270" s="616"/>
      <c r="F270" s="616"/>
      <c r="G270" s="616"/>
      <c r="H270" s="616"/>
      <c r="I270" s="616"/>
      <c r="J270" s="616"/>
      <c r="K270" s="1670">
        <f>SUM(K263:K269)</f>
        <v>27491</v>
      </c>
      <c r="L270" s="1670">
        <f>SUM(L263:L269)</f>
        <v>26850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31288</v>
      </c>
      <c r="E279" s="616"/>
      <c r="F279" s="616"/>
      <c r="G279" s="616"/>
      <c r="H279" s="616"/>
      <c r="I279" s="616"/>
      <c r="J279" s="616"/>
      <c r="K279" s="1677">
        <f>SUM(K238,K243,K257,K261,K270,K277,K278)</f>
        <v>31288</v>
      </c>
      <c r="L279" s="1677">
        <f>SUM(L238,L243,L257,L261,L270,L277,L278)</f>
        <v>30765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101028</v>
      </c>
      <c r="E295" s="616"/>
      <c r="F295" s="616"/>
      <c r="G295" s="616"/>
      <c r="H295" s="1670">
        <f>H293</f>
        <v>0</v>
      </c>
      <c r="I295" s="616"/>
      <c r="J295" s="616"/>
      <c r="K295" s="1670">
        <f>SUM(K229,K279,K280,K285,K293,K294)</f>
        <v>101028</v>
      </c>
      <c r="L295" s="1670">
        <f>SUM(L229,L279,L280,L285,L293,L294)</f>
        <v>101965</v>
      </c>
    </row>
    <row r="296" spans="1:14" ht="13.5" thickTop="1" x14ac:dyDescent="0.2">
      <c r="A296" s="2158" t="s">
        <v>996</v>
      </c>
      <c r="B296" s="2159"/>
      <c r="C296" s="616"/>
      <c r="D296" s="618"/>
      <c r="E296" s="616"/>
      <c r="F296" s="616"/>
      <c r="G296" s="616"/>
      <c r="H296" s="687"/>
      <c r="I296" s="616"/>
      <c r="J296" s="616"/>
      <c r="K296" s="1684">
        <f>'Revenues 9-14'!G268-'Expenditures 15-22'!K295</f>
        <v>-34765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1715</v>
      </c>
      <c r="F301" s="466"/>
      <c r="G301" s="466">
        <v>114215</v>
      </c>
      <c r="H301" s="466"/>
      <c r="I301" s="467"/>
      <c r="J301" s="467"/>
      <c r="K301" s="1671">
        <f>SUM(C301:J301)</f>
        <v>115930</v>
      </c>
      <c r="L301" s="467">
        <v>122000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1715</v>
      </c>
      <c r="F303" s="1677">
        <f t="shared" si="23"/>
        <v>0</v>
      </c>
      <c r="G303" s="1677">
        <f t="shared" si="23"/>
        <v>114215</v>
      </c>
      <c r="H303" s="1677">
        <f t="shared" si="23"/>
        <v>0</v>
      </c>
      <c r="I303" s="1677">
        <f t="shared" si="23"/>
        <v>0</v>
      </c>
      <c r="J303" s="1677">
        <f t="shared" si="23"/>
        <v>0</v>
      </c>
      <c r="K303" s="1677">
        <f t="shared" si="23"/>
        <v>115930</v>
      </c>
      <c r="L303" s="1677">
        <f t="shared" si="23"/>
        <v>122000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1715</v>
      </c>
      <c r="F312" s="1670">
        <f>SUM(F303)</f>
        <v>0</v>
      </c>
      <c r="G312" s="1670">
        <f>SUM(G303)</f>
        <v>114215</v>
      </c>
      <c r="H312" s="1670">
        <f>SUM(H303,H310)</f>
        <v>0</v>
      </c>
      <c r="I312" s="1670">
        <f>SUM(I303)</f>
        <v>0</v>
      </c>
      <c r="J312" s="1670">
        <f>SUM(J303)</f>
        <v>0</v>
      </c>
      <c r="K312" s="1670">
        <f>SUM(K303,K310,K311)</f>
        <v>115930</v>
      </c>
      <c r="L312" s="1670">
        <f>SUM(L303,L310,L311)</f>
        <v>122000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-8464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12976</v>
      </c>
      <c r="F320" s="467"/>
      <c r="G320" s="467"/>
      <c r="H320" s="467"/>
      <c r="I320" s="467"/>
      <c r="J320" s="467"/>
      <c r="K320" s="1671">
        <f t="shared" ref="K320:K327" si="24">SUM(C320:J320)</f>
        <v>12976</v>
      </c>
      <c r="L320" s="467">
        <v>13000</v>
      </c>
      <c r="M320" s="665"/>
      <c r="N320" s="665"/>
    </row>
    <row r="321" spans="1:14" s="674" customFormat="1" x14ac:dyDescent="0.2">
      <c r="A321" s="1519" t="s">
        <v>300</v>
      </c>
      <c r="B321" s="697" t="s">
        <v>283</v>
      </c>
      <c r="C321" s="467"/>
      <c r="D321" s="467"/>
      <c r="E321" s="467">
        <v>3239</v>
      </c>
      <c r="F321" s="467"/>
      <c r="G321" s="467"/>
      <c r="H321" s="467"/>
      <c r="I321" s="467"/>
      <c r="J321" s="467"/>
      <c r="K321" s="1671">
        <f t="shared" si="24"/>
        <v>3239</v>
      </c>
      <c r="L321" s="467">
        <v>3500</v>
      </c>
      <c r="M321" s="665"/>
      <c r="N321" s="665"/>
    </row>
    <row r="322" spans="1:14" s="674" customFormat="1" x14ac:dyDescent="0.2">
      <c r="A322" s="1519" t="s">
        <v>238</v>
      </c>
      <c r="B322" s="697" t="s">
        <v>284</v>
      </c>
      <c r="C322" s="467"/>
      <c r="D322" s="467"/>
      <c r="E322" s="467">
        <v>24780</v>
      </c>
      <c r="F322" s="467"/>
      <c r="G322" s="467"/>
      <c r="H322" s="467"/>
      <c r="I322" s="467"/>
      <c r="J322" s="467"/>
      <c r="K322" s="1671">
        <f t="shared" si="24"/>
        <v>24780</v>
      </c>
      <c r="L322" s="467">
        <v>25000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8618</v>
      </c>
      <c r="F327" s="467"/>
      <c r="G327" s="467"/>
      <c r="H327" s="467"/>
      <c r="I327" s="467"/>
      <c r="J327" s="467"/>
      <c r="K327" s="1671">
        <f t="shared" si="24"/>
        <v>8618</v>
      </c>
      <c r="L327" s="467">
        <v>10500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49613</v>
      </c>
      <c r="F330" s="1670">
        <f t="shared" si="25"/>
        <v>0</v>
      </c>
      <c r="G330" s="1670">
        <f t="shared" si="25"/>
        <v>0</v>
      </c>
      <c r="H330" s="1670">
        <f t="shared" si="25"/>
        <v>0</v>
      </c>
      <c r="I330" s="1670">
        <f t="shared" si="25"/>
        <v>0</v>
      </c>
      <c r="J330" s="1670">
        <f t="shared" si="25"/>
        <v>0</v>
      </c>
      <c r="K330" s="1670">
        <f>SUM(K319:K329)</f>
        <v>49613</v>
      </c>
      <c r="L330" s="1670">
        <f>SUM(L319:L329)</f>
        <v>52000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49613</v>
      </c>
      <c r="F342" s="1670">
        <f>SUM(F330)</f>
        <v>0</v>
      </c>
      <c r="G342" s="1670">
        <f>SUM(G330)</f>
        <v>0</v>
      </c>
      <c r="H342" s="1670">
        <f>SUM(H330,H334,H340)</f>
        <v>0</v>
      </c>
      <c r="I342" s="1670">
        <f>SUM(I330)</f>
        <v>0</v>
      </c>
      <c r="J342" s="1670">
        <f>SUM(J330)</f>
        <v>0</v>
      </c>
      <c r="K342" s="1670">
        <f>SUM(K330,K334,K340)</f>
        <v>49613</v>
      </c>
      <c r="L342" s="1677">
        <f>SUM(L330,L334,L340,L341)</f>
        <v>52000</v>
      </c>
    </row>
    <row r="343" spans="1:14" ht="12.75" customHeight="1" thickTop="1" x14ac:dyDescent="0.2">
      <c r="A343" s="2171" t="s">
        <v>996</v>
      </c>
      <c r="B343" s="2172"/>
      <c r="C343" s="616"/>
      <c r="D343" s="616"/>
      <c r="E343" s="616"/>
      <c r="F343" s="616"/>
      <c r="G343" s="616"/>
      <c r="H343" s="616"/>
      <c r="I343" s="616"/>
      <c r="J343" s="616"/>
      <c r="K343" s="1684">
        <f>'Revenues 9-14'!J268-'Expenditures 15-22'!K342</f>
        <v>365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8" t="s">
        <v>996</v>
      </c>
      <c r="B368" s="2159"/>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4" activeCellId="1" sqref="C13 C4"/>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922052</v>
      </c>
      <c r="C4" s="1524">
        <f>9077.3+262664.77</f>
        <v>271742.07</v>
      </c>
      <c r="D4" s="1752">
        <f>B4-C4</f>
        <v>650309.92999999993</v>
      </c>
      <c r="E4" s="1524">
        <v>1558500</v>
      </c>
      <c r="F4" s="1752">
        <f>E4-C4</f>
        <v>1286757.93</v>
      </c>
    </row>
    <row r="5" spans="1:6" ht="13.7" customHeight="1" x14ac:dyDescent="0.2">
      <c r="A5" s="715" t="s">
        <v>870</v>
      </c>
      <c r="B5" s="1750">
        <f>'Revenues 9-14'!D5</f>
        <v>215968</v>
      </c>
      <c r="C5" s="585">
        <f>2127.49+61562.15</f>
        <v>63689.64</v>
      </c>
      <c r="D5" s="1753">
        <f t="shared" ref="D5:D18" si="0">B5-C5</f>
        <v>152278.35999999999</v>
      </c>
      <c r="E5" s="585">
        <v>365273</v>
      </c>
      <c r="F5" s="1753">
        <f>E5-C5</f>
        <v>301583.35999999999</v>
      </c>
    </row>
    <row r="6" spans="1:6" ht="13.7" customHeight="1" x14ac:dyDescent="0.2">
      <c r="A6" s="715" t="s">
        <v>411</v>
      </c>
      <c r="B6" s="1750">
        <f>'Revenues 9-14'!E5</f>
        <v>108587</v>
      </c>
      <c r="C6" s="585">
        <f>1086.92+31451.55</f>
        <v>32538.47</v>
      </c>
      <c r="D6" s="1753">
        <f t="shared" si="0"/>
        <v>76048.53</v>
      </c>
      <c r="E6" s="585">
        <v>186614</v>
      </c>
      <c r="F6" s="1753">
        <f t="shared" ref="F6:F18" si="1">E6-C6</f>
        <v>154075.53</v>
      </c>
    </row>
    <row r="7" spans="1:6" ht="13.7" customHeight="1" x14ac:dyDescent="0.2">
      <c r="A7" s="715" t="s">
        <v>155</v>
      </c>
      <c r="B7" s="1750">
        <f>'Revenues 9-14'!F5</f>
        <v>57560</v>
      </c>
      <c r="C7" s="585">
        <f>567.33+16416.55</f>
        <v>16983.88</v>
      </c>
      <c r="D7" s="1753">
        <f t="shared" si="0"/>
        <v>40576.119999999995</v>
      </c>
      <c r="E7" s="585">
        <v>97406</v>
      </c>
      <c r="F7" s="1753">
        <f t="shared" si="1"/>
        <v>80422.12</v>
      </c>
    </row>
    <row r="8" spans="1:6" ht="13.7" customHeight="1" x14ac:dyDescent="0.2">
      <c r="A8" s="715" t="s">
        <v>1179</v>
      </c>
      <c r="B8" s="1750">
        <f>'Revenues 9-14'!G5</f>
        <v>31022</v>
      </c>
      <c r="C8" s="585">
        <f>291.23+8427.27</f>
        <v>8718.5</v>
      </c>
      <c r="D8" s="1753">
        <f t="shared" si="0"/>
        <v>22303.5</v>
      </c>
      <c r="E8" s="585">
        <v>50002</v>
      </c>
      <c r="F8" s="1753">
        <f t="shared" si="1"/>
        <v>41283.5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24007</v>
      </c>
      <c r="C10" s="585">
        <f>236.39+6840.19</f>
        <v>7076.58</v>
      </c>
      <c r="D10" s="1753">
        <f t="shared" si="0"/>
        <v>16930.419999999998</v>
      </c>
      <c r="E10" s="585">
        <v>40586</v>
      </c>
      <c r="F10" s="1753">
        <f t="shared" si="1"/>
        <v>33509.42</v>
      </c>
    </row>
    <row r="11" spans="1:6" x14ac:dyDescent="0.2">
      <c r="A11" s="715" t="s">
        <v>409</v>
      </c>
      <c r="B11" s="1750">
        <f>'Revenues 9-14'!J5</f>
        <v>48918</v>
      </c>
      <c r="C11" s="585">
        <f>471.83+13653.04</f>
        <v>14124.87</v>
      </c>
      <c r="D11" s="1753">
        <f t="shared" si="0"/>
        <v>34793.129999999997</v>
      </c>
      <c r="E11" s="585">
        <v>81010</v>
      </c>
      <c r="F11" s="1753">
        <f t="shared" si="1"/>
        <v>66885.13</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13016</v>
      </c>
      <c r="C13" s="585">
        <f>76.11+2202.44</f>
        <v>2278.5500000000002</v>
      </c>
      <c r="D13" s="1753">
        <f t="shared" si="0"/>
        <v>10737.45</v>
      </c>
      <c r="E13" s="585">
        <v>13069</v>
      </c>
      <c r="F13" s="1753">
        <f t="shared" si="1"/>
        <v>10790.45</v>
      </c>
    </row>
    <row r="14" spans="1:6" ht="13.7" customHeight="1" x14ac:dyDescent="0.2">
      <c r="A14" s="715" t="s">
        <v>410</v>
      </c>
      <c r="B14" s="1750">
        <f>SUM('Revenues 9-14'!C7:D7,'Revenues 9-14'!F7:H7)</f>
        <v>9641</v>
      </c>
      <c r="C14" s="585">
        <f>94.56+2736.16</f>
        <v>2830.72</v>
      </c>
      <c r="D14" s="1753">
        <f t="shared" si="0"/>
        <v>6810.2800000000007</v>
      </c>
      <c r="E14" s="585">
        <v>16234</v>
      </c>
      <c r="F14" s="1753">
        <f t="shared" si="1"/>
        <v>13403.28</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31022</v>
      </c>
      <c r="C16" s="585">
        <f>291.23+8427.27</f>
        <v>8718.5</v>
      </c>
      <c r="D16" s="1753">
        <f t="shared" si="0"/>
        <v>22303.5</v>
      </c>
      <c r="E16" s="585">
        <v>50002</v>
      </c>
      <c r="F16" s="1753">
        <f t="shared" si="1"/>
        <v>41283.5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1461793</v>
      </c>
      <c r="C19" s="1751">
        <f>SUM(C4:C18)</f>
        <v>428701.78</v>
      </c>
      <c r="D19" s="1751">
        <f>SUM(D4:D18)</f>
        <v>1033091.22</v>
      </c>
      <c r="E19" s="1751">
        <f>SUM(E4:E18)</f>
        <v>2458696</v>
      </c>
      <c r="F19" s="1751">
        <f>SUM(F4:F18)</f>
        <v>2029994.2199999997</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E33" sqref="E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39934</v>
      </c>
      <c r="C31" s="734">
        <v>1000000</v>
      </c>
      <c r="D31" s="735">
        <v>4</v>
      </c>
      <c r="E31" s="734">
        <v>590000</v>
      </c>
      <c r="F31" s="734"/>
      <c r="G31" s="734"/>
      <c r="H31" s="734">
        <v>75000</v>
      </c>
      <c r="I31" s="1756">
        <f>((E31+F31)-H31)+G31</f>
        <v>515000</v>
      </c>
      <c r="J31" s="734">
        <v>370940</v>
      </c>
      <c r="K31" s="736"/>
    </row>
    <row r="32" spans="1:11" ht="12" customHeight="1" x14ac:dyDescent="0.2">
      <c r="A32" s="732" t="s">
        <v>2084</v>
      </c>
      <c r="B32" s="733">
        <v>42368</v>
      </c>
      <c r="C32" s="734">
        <v>500000</v>
      </c>
      <c r="D32" s="735">
        <v>1</v>
      </c>
      <c r="E32" s="734">
        <v>173000</v>
      </c>
      <c r="F32" s="734"/>
      <c r="G32" s="734"/>
      <c r="H32" s="734">
        <v>173000</v>
      </c>
      <c r="I32" s="1756">
        <f>((E32+F32)-H32)+G32</f>
        <v>0</v>
      </c>
      <c r="J32" s="734"/>
      <c r="K32" s="736"/>
    </row>
    <row r="33" spans="1:11" ht="12" customHeight="1" x14ac:dyDescent="0.2">
      <c r="A33" s="732" t="s">
        <v>2085</v>
      </c>
      <c r="B33" s="733">
        <v>43158</v>
      </c>
      <c r="C33" s="734">
        <v>500000</v>
      </c>
      <c r="D33" s="735">
        <v>1</v>
      </c>
      <c r="E33" s="734">
        <v>500000</v>
      </c>
      <c r="F33" s="734"/>
      <c r="G33" s="734"/>
      <c r="H33" s="734"/>
      <c r="I33" s="1756">
        <f t="shared" ref="I33:I48" si="1">((E33+F33)-H33)+G33</f>
        <v>500000</v>
      </c>
      <c r="J33" s="734">
        <v>500000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2000000</v>
      </c>
      <c r="D49" s="745"/>
      <c r="E49" s="1756">
        <f t="shared" ref="E49:J49" si="2">SUM(E31:E48)</f>
        <v>1263000</v>
      </c>
      <c r="F49" s="1756">
        <f t="shared" si="2"/>
        <v>0</v>
      </c>
      <c r="G49" s="1756">
        <f t="shared" si="2"/>
        <v>0</v>
      </c>
      <c r="H49" s="1756">
        <f t="shared" si="2"/>
        <v>248000</v>
      </c>
      <c r="I49" s="1756">
        <f t="shared" si="2"/>
        <v>1015000</v>
      </c>
      <c r="J49" s="1756">
        <f t="shared" si="2"/>
        <v>870940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v>45221</v>
      </c>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9641</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210769</v>
      </c>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9641</v>
      </c>
      <c r="I12" s="1758">
        <f>SUM(I5:I11)</f>
        <v>0</v>
      </c>
      <c r="J12" s="1758">
        <f>SUM(J5:J11)</f>
        <v>210769</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9641</v>
      </c>
      <c r="I14" s="771"/>
      <c r="J14" s="773"/>
      <c r="K14" s="765"/>
    </row>
    <row r="15" spans="1:11" x14ac:dyDescent="0.2">
      <c r="A15" s="2220" t="s">
        <v>4</v>
      </c>
      <c r="B15" s="2220"/>
      <c r="C15" s="2220"/>
      <c r="D15" s="2220"/>
      <c r="E15" s="2221"/>
      <c r="F15" s="789" t="s">
        <v>855</v>
      </c>
      <c r="G15" s="771"/>
      <c r="H15" s="764"/>
      <c r="I15" s="764"/>
      <c r="J15" s="765">
        <v>106307</v>
      </c>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v>23897</v>
      </c>
      <c r="K18" s="795"/>
    </row>
    <row r="19" spans="1:11" ht="21.75" customHeight="1" x14ac:dyDescent="0.2">
      <c r="A19" s="2228" t="s">
        <v>1809</v>
      </c>
      <c r="B19" s="2228"/>
      <c r="C19" s="2228"/>
      <c r="D19" s="2228"/>
      <c r="E19" s="2229"/>
      <c r="F19" s="789" t="s">
        <v>933</v>
      </c>
      <c r="G19" s="782"/>
      <c r="H19" s="782"/>
      <c r="I19" s="782"/>
      <c r="J19" s="765">
        <v>75000</v>
      </c>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98897</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9641</v>
      </c>
      <c r="I23" s="1758">
        <f>SUM(I14:I16,I21,I22)</f>
        <v>0</v>
      </c>
      <c r="J23" s="1758">
        <f>SUM(J14:J16,J21,J22)</f>
        <v>205204</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50786</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50786</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16" sqref="K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14449</v>
      </c>
      <c r="D5" s="841"/>
      <c r="E5" s="841"/>
      <c r="F5" s="1760">
        <f>(C5+D5)-E5</f>
        <v>14449</v>
      </c>
      <c r="G5" s="837"/>
      <c r="H5" s="842"/>
      <c r="I5" s="842"/>
      <c r="J5" s="842"/>
      <c r="K5" s="793"/>
      <c r="L5" s="1769">
        <f>F5-K5</f>
        <v>14449</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2241334</v>
      </c>
      <c r="D8" s="844"/>
      <c r="E8" s="844"/>
      <c r="F8" s="1760">
        <f>(C8+D8)-E8</f>
        <v>2241334</v>
      </c>
      <c r="G8" s="843">
        <v>50</v>
      </c>
      <c r="H8" s="765">
        <v>1506141</v>
      </c>
      <c r="I8" s="765">
        <v>35102</v>
      </c>
      <c r="J8" s="765"/>
      <c r="K8" s="1769">
        <f>(H8+I8)-J8</f>
        <v>1541243</v>
      </c>
      <c r="L8" s="1769">
        <f>F8-K8</f>
        <v>700091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3171358</v>
      </c>
      <c r="D10" s="846">
        <v>114215</v>
      </c>
      <c r="E10" s="846">
        <v>54200</v>
      </c>
      <c r="F10" s="1764">
        <f>(C10+D10)-E10</f>
        <v>3231373</v>
      </c>
      <c r="G10" s="843">
        <v>20</v>
      </c>
      <c r="H10" s="847">
        <v>1791270</v>
      </c>
      <c r="I10" s="847">
        <v>117318</v>
      </c>
      <c r="J10" s="847"/>
      <c r="K10" s="1769">
        <f>(H10+I10)-J10</f>
        <v>1908588</v>
      </c>
      <c r="L10" s="1769">
        <f>F10-K10</f>
        <v>1322785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1123320</v>
      </c>
      <c r="D12" s="844">
        <v>80071</v>
      </c>
      <c r="E12" s="844">
        <v>23148</v>
      </c>
      <c r="F12" s="1760">
        <f>(C12+D12)-E12</f>
        <v>1180243</v>
      </c>
      <c r="G12" s="843">
        <v>10</v>
      </c>
      <c r="H12" s="765">
        <v>936996</v>
      </c>
      <c r="I12" s="765">
        <v>37244</v>
      </c>
      <c r="J12" s="765"/>
      <c r="K12" s="1769">
        <f>(H12+I12)-J12</f>
        <v>974240</v>
      </c>
      <c r="L12" s="1769">
        <f>F12-K12</f>
        <v>206003</v>
      </c>
    </row>
    <row r="13" spans="1:14" ht="14.25" thickTop="1" thickBot="1" x14ac:dyDescent="0.25">
      <c r="A13" s="848" t="s">
        <v>1122</v>
      </c>
      <c r="B13" s="840">
        <v>252</v>
      </c>
      <c r="C13" s="844">
        <v>694632</v>
      </c>
      <c r="D13" s="844"/>
      <c r="E13" s="844"/>
      <c r="F13" s="1760">
        <f>(C13+D13)-E13</f>
        <v>694632</v>
      </c>
      <c r="G13" s="843">
        <v>5</v>
      </c>
      <c r="H13" s="765">
        <v>578097</v>
      </c>
      <c r="I13" s="765">
        <v>37217</v>
      </c>
      <c r="J13" s="765"/>
      <c r="K13" s="1769">
        <f>(H13+I13)-J13</f>
        <v>615314</v>
      </c>
      <c r="L13" s="1769">
        <f>F13-K13</f>
        <v>79318</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7245093</v>
      </c>
      <c r="D16" s="1760">
        <f>SUM(D3,D5:D6,D8:D10,D12:D15)</f>
        <v>194286</v>
      </c>
      <c r="E16" s="1760">
        <f>SUM(E3,E5:E6,E8:E10,E12:E15)</f>
        <v>77348</v>
      </c>
      <c r="F16" s="1760">
        <f>SUM(F3,F5:F6,F8:F10,F12:F15)</f>
        <v>7362031</v>
      </c>
      <c r="G16" s="843"/>
      <c r="H16" s="1760">
        <f>SUM(H3,H6,H8:H10,H12:H14,)</f>
        <v>4812504</v>
      </c>
      <c r="I16" s="1760">
        <f>SUM(I3,I6,I8:I10,I12:I14,)</f>
        <v>226881</v>
      </c>
      <c r="J16" s="1760">
        <f>SUM(J3,J6,J8:J10,J12:J14,)</f>
        <v>0</v>
      </c>
      <c r="K16" s="1760">
        <f>(H16+I16)-J16</f>
        <v>5039385</v>
      </c>
      <c r="L16" s="1760">
        <f>F16-K16</f>
        <v>2322646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226881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2103535</v>
      </c>
      <c r="G8" s="865"/>
    </row>
    <row r="9" spans="1:7" x14ac:dyDescent="0.2">
      <c r="A9" s="869" t="s">
        <v>460</v>
      </c>
      <c r="B9" s="870" t="s">
        <v>1876</v>
      </c>
      <c r="C9" s="871"/>
      <c r="D9" s="869" t="s">
        <v>501</v>
      </c>
      <c r="E9" s="868"/>
      <c r="F9" s="1909">
        <f>'Expenditures 15-22'!K151</f>
        <v>367983</v>
      </c>
      <c r="G9" s="872"/>
    </row>
    <row r="10" spans="1:7" x14ac:dyDescent="0.2">
      <c r="A10" s="869" t="s">
        <v>499</v>
      </c>
      <c r="B10" s="870" t="s">
        <v>1877</v>
      </c>
      <c r="C10" s="871"/>
      <c r="D10" s="869" t="s">
        <v>501</v>
      </c>
      <c r="E10" s="868"/>
      <c r="F10" s="1909">
        <f>'Expenditures 15-22'!K174</f>
        <v>275317</v>
      </c>
      <c r="G10" s="872"/>
    </row>
    <row r="11" spans="1:7" x14ac:dyDescent="0.2">
      <c r="A11" s="869" t="s">
        <v>461</v>
      </c>
      <c r="B11" s="870" t="s">
        <v>1878</v>
      </c>
      <c r="C11" s="871"/>
      <c r="D11" s="869" t="s">
        <v>501</v>
      </c>
      <c r="E11" s="868"/>
      <c r="F11" s="1909">
        <f>'Expenditures 15-22'!K210</f>
        <v>208078</v>
      </c>
      <c r="G11" s="872"/>
    </row>
    <row r="12" spans="1:7" x14ac:dyDescent="0.2">
      <c r="A12" s="869" t="s">
        <v>462</v>
      </c>
      <c r="B12" s="870" t="s">
        <v>1879</v>
      </c>
      <c r="C12" s="871"/>
      <c r="D12" s="869" t="s">
        <v>501</v>
      </c>
      <c r="E12" s="868"/>
      <c r="F12" s="1909">
        <f>'Expenditures 15-22'!K295</f>
        <v>101028</v>
      </c>
      <c r="G12" s="872"/>
    </row>
    <row r="13" spans="1:7" x14ac:dyDescent="0.2">
      <c r="A13" s="869" t="s">
        <v>106</v>
      </c>
      <c r="B13" s="870" t="s">
        <v>1880</v>
      </c>
      <c r="C13" s="871"/>
      <c r="D13" s="869" t="s">
        <v>501</v>
      </c>
      <c r="E13" s="868"/>
      <c r="F13" s="1909">
        <f>'Expenditures 15-22'!K342</f>
        <v>49613</v>
      </c>
      <c r="G13" s="873"/>
    </row>
    <row r="14" spans="1:7" ht="12" customHeight="1" thickBot="1" x14ac:dyDescent="0.25">
      <c r="A14" s="1770"/>
      <c r="B14" s="1771"/>
      <c r="C14" s="1772"/>
      <c r="D14" s="1773" t="s">
        <v>501</v>
      </c>
      <c r="E14" s="1774" t="s">
        <v>958</v>
      </c>
      <c r="F14" s="1775">
        <f>SUM(F8:F13)</f>
        <v>3105554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58746</v>
      </c>
      <c r="G53" s="865"/>
    </row>
    <row r="54" spans="1:7" x14ac:dyDescent="0.2">
      <c r="A54" s="869" t="s">
        <v>459</v>
      </c>
      <c r="B54" s="869" t="s">
        <v>1476</v>
      </c>
      <c r="C54" s="889" t="s">
        <v>982</v>
      </c>
      <c r="D54" s="885" t="s">
        <v>1095</v>
      </c>
      <c r="E54" s="868"/>
      <c r="F54" s="1913">
        <f>'Expenditures 15-22'!G114</f>
        <v>47565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32506</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248000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386817</v>
      </c>
      <c r="G76" s="865"/>
    </row>
    <row r="77" spans="1:8" s="893" customFormat="1" ht="12" customHeight="1" thickTop="1" thickBot="1" x14ac:dyDescent="0.25">
      <c r="A77" s="1779"/>
      <c r="B77" s="1776"/>
      <c r="C77" s="1772"/>
      <c r="D77" s="1777" t="s">
        <v>1899</v>
      </c>
      <c r="E77" s="1774"/>
      <c r="F77" s="1780">
        <f>(F14-F76)</f>
        <v>2718737</v>
      </c>
      <c r="G77" s="869"/>
    </row>
    <row r="78" spans="1:8" s="893" customFormat="1" ht="12" customHeight="1" thickTop="1" x14ac:dyDescent="0.2">
      <c r="A78" s="1781"/>
      <c r="B78" s="1776"/>
      <c r="C78" s="1772"/>
      <c r="D78" s="1777" t="s">
        <v>2060</v>
      </c>
      <c r="E78" s="1774"/>
      <c r="F78" s="898">
        <v>246</v>
      </c>
      <c r="G78" s="899"/>
      <c r="H78" s="869"/>
    </row>
    <row r="79" spans="1:8" s="893" customFormat="1" ht="12" customHeight="1" thickBot="1" x14ac:dyDescent="0.25">
      <c r="A79" s="1782"/>
      <c r="B79" s="1776"/>
      <c r="C79" s="1772"/>
      <c r="D79" s="1777" t="s">
        <v>1900</v>
      </c>
      <c r="E79" s="1774" t="s">
        <v>958</v>
      </c>
      <c r="F79" s="1783">
        <f>IF(F78&gt;0,F77/F78," Complete Line 78")</f>
        <v>11051.776422764227</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62766</v>
      </c>
      <c r="G94" s="912"/>
    </row>
    <row r="95" spans="1:7" x14ac:dyDescent="0.2">
      <c r="A95" s="908" t="s">
        <v>140</v>
      </c>
      <c r="B95" s="908" t="s">
        <v>175</v>
      </c>
      <c r="C95" s="910">
        <v>1700</v>
      </c>
      <c r="D95" s="918" t="str">
        <f>'Revenues 9-14'!A82</f>
        <v>Total District/School Activity Income</v>
      </c>
      <c r="E95" s="906"/>
      <c r="F95" s="1789">
        <f>SUM('Revenues 9-14'!C82,'Revenues 9-14'!D82)</f>
        <v>14782</v>
      </c>
      <c r="G95" s="912"/>
    </row>
    <row r="96" spans="1:7" x14ac:dyDescent="0.2">
      <c r="A96" s="908" t="s">
        <v>459</v>
      </c>
      <c r="B96" s="908" t="s">
        <v>176</v>
      </c>
      <c r="C96" s="910">
        <f>'Revenues 9-14'!B84</f>
        <v>1811</v>
      </c>
      <c r="D96" s="911" t="str">
        <f>'Revenues 9-14'!A84</f>
        <v>Rentals - Regular Textbooks</v>
      </c>
      <c r="E96" s="906"/>
      <c r="F96" s="1789">
        <f>'Revenues 9-14'!C84</f>
        <v>22565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398</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140079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30000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29747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31331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2152</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17255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3280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34518</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388873</v>
      </c>
    </row>
    <row r="175" spans="1:7" ht="12" customHeight="1" x14ac:dyDescent="0.2">
      <c r="A175" s="1770"/>
      <c r="B175" s="1784"/>
      <c r="C175" s="1785"/>
      <c r="D175" s="1786" t="s">
        <v>2055</v>
      </c>
      <c r="E175" s="1787"/>
      <c r="F175" s="1789">
        <f>'PCTC-OEPP 27-28'!F77-F174</f>
        <v>2329864</v>
      </c>
    </row>
    <row r="176" spans="1:7" ht="12" customHeight="1" x14ac:dyDescent="0.2">
      <c r="A176" s="1770"/>
      <c r="B176" s="1784"/>
      <c r="C176" s="1785"/>
      <c r="D176" s="1786" t="s">
        <v>1817</v>
      </c>
      <c r="E176" s="1787"/>
      <c r="F176" s="1789">
        <f>'Cap Outlay Deprec 26'!I18</f>
        <v>226881</v>
      </c>
    </row>
    <row r="177" spans="1:7" ht="12" customHeight="1" x14ac:dyDescent="0.2">
      <c r="A177" s="1770"/>
      <c r="B177" s="1784"/>
      <c r="C177" s="1785"/>
      <c r="D177" s="1786" t="s">
        <v>2056</v>
      </c>
      <c r="E177" s="1787"/>
      <c r="F177" s="1789">
        <f>F175+F176</f>
        <v>2556745</v>
      </c>
    </row>
    <row r="178" spans="1:7" ht="12" customHeight="1" x14ac:dyDescent="0.2">
      <c r="A178" s="1770"/>
      <c r="B178" s="1790"/>
      <c r="C178" s="1785"/>
      <c r="D178" s="1786" t="str">
        <f>D78</f>
        <v>9 Month ADA from District Average Daily Attendance/Prior General State Aid Inquiry 2018-2019</v>
      </c>
      <c r="E178" s="1787"/>
      <c r="F178" s="1791">
        <f>'PCTC-OEPP 27-28'!F78</f>
        <v>246</v>
      </c>
      <c r="G178" s="930"/>
    </row>
    <row r="179" spans="1:7" ht="12" customHeight="1" thickBot="1" x14ac:dyDescent="0.25">
      <c r="A179" s="1770"/>
      <c r="B179" s="1790"/>
      <c r="C179" s="1785"/>
      <c r="D179" s="1786" t="s">
        <v>2057</v>
      </c>
      <c r="E179" s="1787" t="s">
        <v>1545</v>
      </c>
      <c r="F179" s="1792">
        <f>F177/F178</f>
        <v>10393.272357723577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2086</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44709</v>
      </c>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1370842</v>
      </c>
      <c r="F19" s="1799"/>
      <c r="G19" s="1801">
        <f>'Expenditures 15-22'!K33-SUM('Expenditures 15-22'!G33,'Expenditures 15-22'!I33)+'Expenditures 15-22'!D229</f>
        <v>1370842</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62904</v>
      </c>
      <c r="F21" s="1802"/>
      <c r="G21" s="1805">
        <f>'Expenditures 15-22'!K42-SUM('Expenditures 15-22'!G42,'Expenditures 15-22'!I42)+'Expenditures 15-22'!K120-SUM('Expenditures 15-22'!G120,'Expenditures 15-22'!I120)+'Expenditures 15-22'!K180-SUM('Expenditures 15-22'!G180,'Expenditures 15-22'!I180)+'Expenditures 15-22'!D238</f>
        <v>62904</v>
      </c>
      <c r="H21" s="987"/>
      <c r="I21" s="162"/>
    </row>
    <row r="22" spans="1:9" s="668" customFormat="1" ht="12" customHeight="1" x14ac:dyDescent="0.2">
      <c r="A22" s="994" t="s">
        <v>564</v>
      </c>
      <c r="B22" s="995"/>
      <c r="C22" s="993">
        <v>2200</v>
      </c>
      <c r="D22" s="1802"/>
      <c r="E22" s="1804">
        <f>'Expenditures 15-22'!K47-SUM('Expenditures 15-22'!G47,'Expenditures 15-22'!I47)+'Expenditures 15-22'!D243</f>
        <v>23963</v>
      </c>
      <c r="F22" s="1802"/>
      <c r="G22" s="1805">
        <f>'Expenditures 15-22'!K47-SUM('Expenditures 15-22'!G47,'Expenditures 15-22'!I47)+'Expenditures 15-22'!D243</f>
        <v>23963</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265335</v>
      </c>
      <c r="F23" s="1802"/>
      <c r="G23" s="1804">
        <f>'Expenditures 15-22'!K53-SUM('Expenditures 15-22'!G53,'Expenditures 15-22'!I53)+'Expenditures 15-22'!D257+'Expenditures 15-22'!K330-SUM('Expenditures 15-22'!G330,'Expenditures 15-22'!I330)</f>
        <v>265335</v>
      </c>
      <c r="H23" s="987"/>
      <c r="I23" s="162"/>
    </row>
    <row r="24" spans="1:9" s="668" customFormat="1" ht="12" customHeight="1" x14ac:dyDescent="0.2">
      <c r="A24" s="994" t="s">
        <v>566</v>
      </c>
      <c r="B24" s="995"/>
      <c r="C24" s="993">
        <v>2400</v>
      </c>
      <c r="D24" s="1802"/>
      <c r="E24" s="1804">
        <f>'Expenditures 15-22'!K57-SUM('Expenditures 15-22'!G57,'Expenditures 15-22'!I57)+'Expenditures 15-22'!D261</f>
        <v>157160</v>
      </c>
      <c r="F24" s="1802"/>
      <c r="G24" s="1805">
        <f>'Expenditures 15-22'!K57-SUM('Expenditures 15-22'!G57,'Expenditures 15-22'!I57)+'Expenditures 15-22'!D261</f>
        <v>157160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129788</v>
      </c>
      <c r="E27" s="1804">
        <f>E8</f>
        <v>0</v>
      </c>
      <c r="F27" s="1804">
        <f>'Expenditures 15-22'!K60-SUM('Expenditures 15-22'!G60,'Expenditures 15-22'!I60)+'Expenditures 15-22'!D264-E8</f>
        <v>129788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344668</v>
      </c>
      <c r="F28" s="1806">
        <f>'Expenditures 15-22'!K61-SUM('Expenditures 15-22'!G61,'Expenditures 15-22'!I61)+'Expenditures 15-22'!K124-SUM('Expenditures 15-22'!G124,'Expenditures 15-22'!I124)+'Expenditures 15-22'!D266-E9</f>
        <v>344668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216641</v>
      </c>
      <c r="F29" s="1802"/>
      <c r="G29" s="1805">
        <f>'Expenditures 15-22'!K62-SUM('Expenditures 15-22'!G62,'Expenditures 15-22'!I62)+'Expenditures 15-22'!K125-SUM('Expenditures 15-22'!G125,'Expenditures 15-22'!I125)+'Expenditures 15-22'!K182-SUM('Expenditures 15-22'!G182,'Expenditures 15-22'!I182)+'Expenditures 15-22'!D267</f>
        <v>216641</v>
      </c>
      <c r="H29" s="985"/>
    </row>
    <row r="30" spans="1:9" ht="12" customHeight="1" x14ac:dyDescent="0.2">
      <c r="A30" s="994" t="s">
        <v>100</v>
      </c>
      <c r="B30" s="997"/>
      <c r="C30" s="993">
        <v>2560</v>
      </c>
      <c r="D30" s="1802"/>
      <c r="E30" s="1804">
        <f>'Expenditures 15-22'!K63-SUM('Expenditures 15-22'!G63,'Expenditures 15-22'!I63)+'Expenditures 15-22'!D268-E10</f>
        <v>75410</v>
      </c>
      <c r="F30" s="1802"/>
      <c r="G30" s="1804">
        <f>'Expenditures 15-22'!K63-SUM('Expenditures 15-22'!G63,'Expenditures 15-22'!I63)+'Expenditures 15-22'!D268-E10</f>
        <v>75410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129788</v>
      </c>
      <c r="E41" s="1806">
        <f>SUM(E19:E40)</f>
        <v>2516923</v>
      </c>
      <c r="F41" s="1806">
        <f>SUM(F19:F39)</f>
        <v>474456</v>
      </c>
      <c r="G41" s="1806">
        <f>SUM(G19:G40)</f>
        <v>2172255</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129788</v>
      </c>
      <c r="F43" s="1807" t="s">
        <v>473</v>
      </c>
      <c r="G43" s="1808">
        <f>F41</f>
        <v>474456</v>
      </c>
    </row>
    <row r="44" spans="1:7" ht="12" customHeight="1" x14ac:dyDescent="0.2">
      <c r="A44" s="987"/>
      <c r="B44" s="162"/>
      <c r="C44" s="1001"/>
      <c r="D44" s="1807" t="s">
        <v>474</v>
      </c>
      <c r="E44" s="1808">
        <f>E41</f>
        <v>2516923</v>
      </c>
      <c r="F44" s="1807" t="s">
        <v>474</v>
      </c>
      <c r="G44" s="1808">
        <f>G41</f>
        <v>2172255</v>
      </c>
    </row>
    <row r="45" spans="1:7" ht="12" customHeight="1" x14ac:dyDescent="0.2">
      <c r="A45" s="987"/>
      <c r="B45" s="162"/>
      <c r="C45" s="162"/>
      <c r="D45" s="1809" t="s">
        <v>1006</v>
      </c>
      <c r="E45" s="1810">
        <f>(E43/E44)</f>
        <v>5.1566138495297634E-2</v>
      </c>
      <c r="F45" s="1809" t="s">
        <v>1006</v>
      </c>
      <c r="G45" s="1810">
        <f>(G43/G44)</f>
        <v>0.21841634614720648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Prairieview Ogden CCSD 197</v>
      </c>
      <c r="D6" s="2310"/>
      <c r="E6" s="2310"/>
      <c r="F6" s="1852"/>
    </row>
    <row r="7" spans="1:10" ht="11.25" customHeight="1" thickBot="1" x14ac:dyDescent="0.3">
      <c r="A7" s="1850"/>
      <c r="B7" s="1851"/>
      <c r="C7" s="2311">
        <f>COVER!A13</f>
        <v>9010197004</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2087</v>
      </c>
      <c r="D26" s="1865" t="s">
        <v>2087</v>
      </c>
      <c r="E26" s="1868" t="s">
        <v>2087</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2087</v>
      </c>
      <c r="D32" s="1865" t="s">
        <v>2087</v>
      </c>
      <c r="E32" s="1868" t="s">
        <v>2087</v>
      </c>
      <c r="F32" s="1867" t="s">
        <v>2089</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Prairieview Ogden CCSD 197</v>
      </c>
      <c r="J6" s="2320"/>
      <c r="Q6" s="1664"/>
    </row>
    <row r="7" spans="1:17" x14ac:dyDescent="0.2">
      <c r="A7" s="2321" t="s">
        <v>869</v>
      </c>
      <c r="B7" s="2322"/>
      <c r="C7" s="2322"/>
      <c r="D7" s="2322"/>
      <c r="E7" s="2323"/>
      <c r="F7" s="1017"/>
      <c r="G7" s="1009"/>
      <c r="H7" s="1016" t="s">
        <v>372</v>
      </c>
      <c r="I7" s="2324">
        <f>COVER!A13</f>
        <v>9010197004</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159277</v>
      </c>
      <c r="F12" s="1039"/>
      <c r="G12" s="1811">
        <f t="shared" ref="G12:G18" si="0">SUM(E12:F12)</f>
        <v>159277</v>
      </c>
      <c r="H12" s="1040">
        <v>160500</v>
      </c>
      <c r="I12" s="1039"/>
      <c r="J12" s="1811">
        <f t="shared" ref="J12:J18" si="1">SUM(H12:I12)</f>
        <v>160500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159277</v>
      </c>
      <c r="F19" s="1813">
        <f t="shared" si="2"/>
        <v>0</v>
      </c>
      <c r="G19" s="1813">
        <f t="shared" si="2"/>
        <v>159277</v>
      </c>
      <c r="H19" s="1813">
        <f t="shared" si="2"/>
        <v>160500</v>
      </c>
      <c r="I19" s="1813">
        <f t="shared" si="2"/>
        <v>0</v>
      </c>
      <c r="J19" s="1813">
        <f t="shared" si="2"/>
        <v>160500</v>
      </c>
    </row>
    <row r="20" spans="1:10" ht="13.5" thickTop="1" x14ac:dyDescent="0.2">
      <c r="A20" s="1035">
        <v>9</v>
      </c>
      <c r="B20" s="2331" t="s">
        <v>1979</v>
      </c>
      <c r="C20" s="2331"/>
      <c r="D20" s="2332"/>
      <c r="E20" s="1046"/>
      <c r="F20" s="1046"/>
      <c r="G20" s="1046"/>
      <c r="H20" s="1046"/>
      <c r="I20" s="1046"/>
      <c r="J20" s="1814">
        <f>IF(AND(G19&gt;0,J19&gt;0),(((J19-G19)/G19)),"Enter Budget Data")</f>
        <v>7.6784469823012735E-3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51"/>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2090</v>
      </c>
    </row>
    <row r="6" spans="1:2" x14ac:dyDescent="0.2">
      <c r="A6" s="1068"/>
      <c r="B6" s="329" t="s">
        <v>2091</v>
      </c>
    </row>
    <row r="7" spans="1:2" x14ac:dyDescent="0.2">
      <c r="A7" s="1068"/>
      <c r="B7" s="329" t="s">
        <v>2092</v>
      </c>
    </row>
    <row r="8" spans="1:2" x14ac:dyDescent="0.2">
      <c r="A8" s="1068"/>
    </row>
    <row r="9" spans="1:2" x14ac:dyDescent="0.2">
      <c r="A9" s="1068">
        <v>2</v>
      </c>
      <c r="B9" s="329" t="s">
        <v>2093</v>
      </c>
    </row>
    <row r="10" spans="1:2" x14ac:dyDescent="0.2">
      <c r="A10" s="1068"/>
      <c r="B10" s="329" t="s">
        <v>2094</v>
      </c>
    </row>
    <row r="11" spans="1:2" x14ac:dyDescent="0.2">
      <c r="A11" s="1068"/>
      <c r="B11" s="329" t="s">
        <v>2095</v>
      </c>
    </row>
    <row r="12" spans="1:2" x14ac:dyDescent="0.2">
      <c r="A12" s="1068"/>
    </row>
    <row r="13" spans="1:2" x14ac:dyDescent="0.2">
      <c r="A13" s="1068">
        <v>3</v>
      </c>
      <c r="B13" s="329" t="s">
        <v>2096</v>
      </c>
    </row>
    <row r="14" spans="1:2" x14ac:dyDescent="0.2">
      <c r="A14" s="1068"/>
      <c r="B14" s="329" t="s">
        <v>2097</v>
      </c>
    </row>
    <row r="15" spans="1:2" x14ac:dyDescent="0.2">
      <c r="A15" s="1068"/>
      <c r="B15" s="329" t="s">
        <v>2098</v>
      </c>
    </row>
    <row r="16" spans="1:2" x14ac:dyDescent="0.2">
      <c r="A16" s="1068"/>
      <c r="B16" s="329" t="s">
        <v>2099</v>
      </c>
    </row>
    <row r="17" spans="1:2" x14ac:dyDescent="0.2">
      <c r="A17" s="1068"/>
    </row>
    <row r="18" spans="1:2" x14ac:dyDescent="0.2">
      <c r="A18" s="1068">
        <v>4</v>
      </c>
      <c r="B18" s="329" t="s">
        <v>2100</v>
      </c>
    </row>
    <row r="19" spans="1:2" x14ac:dyDescent="0.2">
      <c r="A19" s="1069"/>
      <c r="B19" s="329" t="s">
        <v>2091</v>
      </c>
    </row>
    <row r="20" spans="1:2" x14ac:dyDescent="0.2">
      <c r="A20" s="1069"/>
      <c r="B20" s="329" t="s">
        <v>2101</v>
      </c>
    </row>
    <row r="21" spans="1:2" x14ac:dyDescent="0.2">
      <c r="A21" s="1069"/>
    </row>
    <row r="22" spans="1:2" x14ac:dyDescent="0.2">
      <c r="A22" s="1069">
        <v>5</v>
      </c>
      <c r="B22" s="329" t="s">
        <v>2102</v>
      </c>
    </row>
    <row r="23" spans="1:2" x14ac:dyDescent="0.2">
      <c r="A23" s="1069"/>
      <c r="B23" s="329" t="s">
        <v>2103</v>
      </c>
    </row>
    <row r="24" spans="1:2" x14ac:dyDescent="0.2">
      <c r="A24" s="1069"/>
      <c r="B24" s="329" t="s">
        <v>2104</v>
      </c>
    </row>
    <row r="25" spans="1:2" x14ac:dyDescent="0.2">
      <c r="A25" s="1069"/>
    </row>
    <row r="26" spans="1:2" x14ac:dyDescent="0.2">
      <c r="A26" s="1069">
        <v>6</v>
      </c>
      <c r="B26" s="329" t="s">
        <v>2105</v>
      </c>
    </row>
    <row r="27" spans="1:2" x14ac:dyDescent="0.2">
      <c r="A27" s="1069"/>
      <c r="B27" s="329" t="s">
        <v>2106</v>
      </c>
    </row>
    <row r="28" spans="1:2" x14ac:dyDescent="0.2">
      <c r="A28" s="1069"/>
    </row>
    <row r="29" spans="1:2" x14ac:dyDescent="0.2">
      <c r="A29" s="1069">
        <v>7</v>
      </c>
      <c r="B29" s="329" t="s">
        <v>2107</v>
      </c>
    </row>
    <row r="30" spans="1:2" x14ac:dyDescent="0.2">
      <c r="A30" s="1069"/>
      <c r="B30" s="329" t="s">
        <v>2108</v>
      </c>
    </row>
    <row r="31" spans="1:2" x14ac:dyDescent="0.2">
      <c r="A31" s="1069"/>
      <c r="B31" s="329" t="s">
        <v>2109</v>
      </c>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c r="B50" s="258" t="str">
        <f>COVER!A17</f>
        <v>Prairieview Ogden CCSD 197</v>
      </c>
    </row>
    <row r="51" spans="1:2" x14ac:dyDescent="0.2">
      <c r="B51" s="1070">
        <f>COVER!A13</f>
        <v>9010197004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428625</xdr:colOff>
                <xdr:row>2</xdr:row>
                <xdr:rowOff>47625</xdr:rowOff>
              </from>
              <to>
                <xdr:col>1</xdr:col>
                <xdr:colOff>1343025</xdr:colOff>
                <xdr:row>6</xdr:row>
                <xdr:rowOff>85725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1429030</v>
      </c>
      <c r="C8" s="1815">
        <f>'Acct Summary 7-8'!D8</f>
        <v>269369</v>
      </c>
      <c r="D8" s="1815">
        <f>'Acct Summary 7-8'!F8</f>
        <v>213251</v>
      </c>
      <c r="E8" s="1815">
        <f>'Acct Summary 7-8'!I8</f>
        <v>51251</v>
      </c>
      <c r="F8" s="1815">
        <f>SUM(B8:E8)</f>
        <v>1962901</v>
      </c>
    </row>
    <row r="9" spans="1:8" s="1079" customFormat="1" ht="14.25" customHeight="1" thickBot="1" x14ac:dyDescent="0.25">
      <c r="A9" s="1078" t="s">
        <v>1369</v>
      </c>
      <c r="B9" s="1816">
        <f>'Acct Summary 7-8'!C17</f>
        <v>2103535</v>
      </c>
      <c r="C9" s="1816">
        <f>'Acct Summary 7-8'!D17</f>
        <v>367983</v>
      </c>
      <c r="D9" s="1816">
        <f>'Acct Summary 7-8'!F17</f>
        <v>208078</v>
      </c>
      <c r="E9" s="1815"/>
      <c r="F9" s="1815">
        <f>SUM(B9:E9)</f>
        <v>2679596</v>
      </c>
    </row>
    <row r="10" spans="1:8" s="1079" customFormat="1" ht="14.25" thickTop="1" thickBot="1" x14ac:dyDescent="0.25">
      <c r="A10" s="1080" t="s">
        <v>1370</v>
      </c>
      <c r="B10" s="1817">
        <f>(B8-B9)</f>
        <v>-674505</v>
      </c>
      <c r="C10" s="1817">
        <f>(C8-C9)</f>
        <v>-98614</v>
      </c>
      <c r="D10" s="1817">
        <f>(D8-D9)</f>
        <v>5173</v>
      </c>
      <c r="E10" s="1816">
        <f>(E8-E9)</f>
        <v>51251</v>
      </c>
      <c r="F10" s="1818">
        <f>SUM(F8-F9)</f>
        <v>-716695</v>
      </c>
    </row>
    <row r="11" spans="1:8" s="1079" customFormat="1" ht="14.25" thickTop="1" thickBot="1" x14ac:dyDescent="0.25">
      <c r="A11" s="1081" t="s">
        <v>1983</v>
      </c>
      <c r="B11" s="1819">
        <f>'Acct Summary 7-8'!C81</f>
        <v>721439</v>
      </c>
      <c r="C11" s="1819">
        <f>'Acct Summary 7-8'!D81</f>
        <v>735071</v>
      </c>
      <c r="D11" s="1819">
        <f>'Acct Summary 7-8'!F81</f>
        <v>523306</v>
      </c>
      <c r="E11" s="1819">
        <f>'Acct Summary 7-8'!I81</f>
        <v>1298934</v>
      </c>
      <c r="F11" s="1820">
        <f>SUM(B11:E11)</f>
        <v>3278750</v>
      </c>
    </row>
    <row r="12" spans="1:8" ht="16.5" customHeight="1" thickTop="1" x14ac:dyDescent="0.2">
      <c r="A12" s="1082"/>
      <c r="B12" s="1083"/>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9010197004</v>
      </c>
    </row>
    <row r="3" spans="1:2" x14ac:dyDescent="0.2">
      <c r="A3" t="s">
        <v>956</v>
      </c>
      <c r="B3" s="138" t="str">
        <f>COVER!A15</f>
        <v>CHAMPAIGN</v>
      </c>
    </row>
    <row r="4" spans="1:2" x14ac:dyDescent="0.2">
      <c r="A4" t="s">
        <v>1007</v>
      </c>
      <c r="B4" s="138" t="str">
        <f>COVER!A17</f>
        <v>Prairieview Ogden CCSD 197</v>
      </c>
    </row>
    <row r="5" spans="1:2" x14ac:dyDescent="0.2">
      <c r="A5" t="s">
        <v>704</v>
      </c>
      <c r="B5" s="138" t="str">
        <f>COVER!A38</f>
        <v>VICTOR WHITE III</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355000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721439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721439</v>
      </c>
      <c r="D92" s="2" t="str">
        <f t="shared" si="0"/>
        <v>Error?</v>
      </c>
    </row>
    <row r="93" spans="1:4" x14ac:dyDescent="0.2">
      <c r="A93" s="5">
        <v>32</v>
      </c>
      <c r="B93" s="138">
        <f>'Assets-Liab 5-6'!C41</f>
        <v>721439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640000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735071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705071</v>
      </c>
      <c r="D123" s="2" t="str">
        <f t="shared" si="0"/>
        <v>Error?</v>
      </c>
    </row>
    <row r="124" spans="1:4" x14ac:dyDescent="0.2">
      <c r="A124" s="5">
        <v>63</v>
      </c>
      <c r="B124" s="138">
        <f>'Assets-Liab 5-6'!D41</f>
        <v>735071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110000</v>
      </c>
      <c r="D129" s="2" t="str">
        <f t="shared" si="1"/>
        <v>Error?</v>
      </c>
    </row>
    <row r="130" spans="1:4" x14ac:dyDescent="0.2">
      <c r="A130" s="5">
        <v>69</v>
      </c>
      <c r="B130" s="138">
        <f>'Assets-Liab 5-6'!E12</f>
        <v>0</v>
      </c>
      <c r="D130" s="2" t="str">
        <f t="shared" si="1"/>
        <v>Error?</v>
      </c>
    </row>
    <row r="131" spans="1:4" x14ac:dyDescent="0.2">
      <c r="A131" s="5">
        <v>70</v>
      </c>
      <c r="B131" s="138">
        <f>'Assets-Liab 5-6'!E13</f>
        <v>144060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93274</v>
      </c>
      <c r="D140" s="2" t="str">
        <f t="shared" si="1"/>
        <v>Error?</v>
      </c>
    </row>
    <row r="141" spans="1:4" x14ac:dyDescent="0.2">
      <c r="A141" s="5">
        <v>80</v>
      </c>
      <c r="B141" s="138">
        <f>'Assets-Liab 5-6'!E41</f>
        <v>144060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495000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523306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523306</v>
      </c>
      <c r="D170" s="2" t="str">
        <f t="shared" si="1"/>
        <v>Error?</v>
      </c>
    </row>
    <row r="171" spans="1:4" x14ac:dyDescent="0.2">
      <c r="A171" s="5">
        <v>110</v>
      </c>
      <c r="B171" s="138">
        <f>'Assets-Liab 5-6'!F41</f>
        <v>523306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88000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113497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113497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20000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62416</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62416</v>
      </c>
      <c r="D212" s="2" t="str">
        <f t="shared" si="2"/>
        <v>Error?</v>
      </c>
    </row>
    <row r="213" spans="1:4" x14ac:dyDescent="0.2">
      <c r="A213" s="12">
        <v>152</v>
      </c>
      <c r="B213" s="138">
        <f>'Assets-Liab 5-6'!H41</f>
        <v>62416</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14449</v>
      </c>
      <c r="D273" s="2" t="str">
        <f t="shared" si="3"/>
        <v>Error?</v>
      </c>
    </row>
    <row r="274" spans="1:4" x14ac:dyDescent="0.2">
      <c r="A274" s="5">
        <v>213</v>
      </c>
      <c r="B274" s="138">
        <f>'Assets-Liab 5-6'!M17</f>
        <v>2241334</v>
      </c>
      <c r="D274" s="2" t="str">
        <f t="shared" si="3"/>
        <v>Error?</v>
      </c>
    </row>
    <row r="275" spans="1:4" x14ac:dyDescent="0.2">
      <c r="A275" s="5">
        <v>214</v>
      </c>
      <c r="B275" s="138">
        <f>'Assets-Liab 5-6'!M18</f>
        <v>3231373</v>
      </c>
      <c r="D275" s="2" t="str">
        <f t="shared" si="3"/>
        <v>Error?</v>
      </c>
    </row>
    <row r="276" spans="1:4" x14ac:dyDescent="0.2">
      <c r="A276" s="5">
        <v>215</v>
      </c>
      <c r="B276" s="138">
        <f>'Assets-Liab 5-6'!M19</f>
        <v>1874875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7362031</v>
      </c>
      <c r="C279" s="2" t="s">
        <v>573</v>
      </c>
      <c r="D279" s="2" t="str">
        <f t="shared" si="3"/>
        <v>Error?</v>
      </c>
    </row>
    <row r="280" spans="1:4" x14ac:dyDescent="0.2">
      <c r="A280" s="5">
        <v>219</v>
      </c>
      <c r="B280" s="138">
        <f>'Assets-Liab 5-6'!M40</f>
        <v>7362031</v>
      </c>
      <c r="D280" s="2" t="str">
        <f t="shared" si="3"/>
        <v>Error?</v>
      </c>
    </row>
    <row r="281" spans="1:4" x14ac:dyDescent="0.2">
      <c r="A281" s="5">
        <v>220</v>
      </c>
      <c r="B281" s="138">
        <f>'Assets-Liab 5-6'!M41</f>
        <v>7362031</v>
      </c>
      <c r="C281" s="2" t="s">
        <v>573</v>
      </c>
      <c r="D281" s="2" t="str">
        <f t="shared" si="3"/>
        <v>Error?</v>
      </c>
    </row>
    <row r="282" spans="1:4" x14ac:dyDescent="0.2">
      <c r="A282" s="5">
        <v>221</v>
      </c>
      <c r="B282" s="138">
        <f>'Assets-Liab 5-6'!N21</f>
        <v>144060</v>
      </c>
      <c r="D282" s="2" t="str">
        <f t="shared" si="3"/>
        <v>Error?</v>
      </c>
    </row>
    <row r="283" spans="1:4" x14ac:dyDescent="0.2">
      <c r="A283" s="5">
        <v>222</v>
      </c>
      <c r="B283" s="138">
        <f>'Assets-Liab 5-6'!N22</f>
        <v>870940</v>
      </c>
      <c r="D283" s="2" t="str">
        <f t="shared" si="3"/>
        <v>Error?</v>
      </c>
    </row>
    <row r="284" spans="1:4" x14ac:dyDescent="0.2">
      <c r="A284" s="5">
        <v>223</v>
      </c>
      <c r="B284" s="138">
        <f>'Assets-Liab 5-6'!N23</f>
        <v>1015000</v>
      </c>
      <c r="C284" s="2" t="s">
        <v>573</v>
      </c>
      <c r="D284" s="2" t="str">
        <f t="shared" si="3"/>
        <v>Error?</v>
      </c>
    </row>
    <row r="285" spans="1:4" x14ac:dyDescent="0.2">
      <c r="A285" s="5">
        <v>224</v>
      </c>
      <c r="B285" s="138">
        <f>'Assets-Liab 5-6'!N36</f>
        <v>1015000</v>
      </c>
      <c r="D285" s="2" t="str">
        <f t="shared" si="3"/>
        <v>Error?</v>
      </c>
    </row>
    <row r="286" spans="1:4" x14ac:dyDescent="0.2">
      <c r="A286" s="10">
        <v>225</v>
      </c>
      <c r="D286" s="2" t="str">
        <f t="shared" si="3"/>
        <v>OK</v>
      </c>
    </row>
    <row r="287" spans="1:4" x14ac:dyDescent="0.2">
      <c r="A287" s="5">
        <v>226</v>
      </c>
      <c r="B287" s="138">
        <f>'Assets-Liab 5-6'!N37</f>
        <v>1015000</v>
      </c>
      <c r="C287" s="2" t="s">
        <v>573</v>
      </c>
      <c r="D287" s="2" t="str">
        <f t="shared" si="3"/>
        <v>Error?</v>
      </c>
    </row>
    <row r="288" spans="1:4" x14ac:dyDescent="0.2">
      <c r="A288" s="5">
        <v>227</v>
      </c>
      <c r="B288" s="138">
        <f>'Assets-Liab 5-6'!N41</f>
        <v>1015000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27241</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923985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1175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1055942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31126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32191</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150</v>
      </c>
      <c r="D732" s="2" t="str">
        <f t="shared" si="10"/>
        <v>Error?</v>
      </c>
    </row>
    <row r="733" spans="1:4" x14ac:dyDescent="0.2">
      <c r="A733" s="5">
        <v>672</v>
      </c>
      <c r="B733" s="138">
        <f>'Expenditures 15-22'!C50</f>
        <v>123500</v>
      </c>
      <c r="D733" s="2" t="str">
        <f t="shared" si="10"/>
        <v>Error?</v>
      </c>
    </row>
    <row r="734" spans="1:4" x14ac:dyDescent="0.2">
      <c r="A734" s="5">
        <v>673</v>
      </c>
      <c r="B734" s="138">
        <f>'Expenditures 15-22'!C53</f>
        <v>123650</v>
      </c>
      <c r="C734" s="2" t="s">
        <v>573</v>
      </c>
      <c r="D734" s="2" t="str">
        <f t="shared" si="10"/>
        <v>Error?</v>
      </c>
    </row>
    <row r="735" spans="1:4" x14ac:dyDescent="0.2">
      <c r="A735" s="5">
        <v>674</v>
      </c>
      <c r="B735" s="138">
        <f>'Expenditures 15-22'!C55</f>
        <v>120458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120458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108035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63617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171652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447951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1503893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135126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149724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5254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5254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30624</v>
      </c>
      <c r="D791" s="2" t="str">
        <f t="shared" si="11"/>
        <v>Error?</v>
      </c>
    </row>
    <row r="792" spans="1:4" x14ac:dyDescent="0.2">
      <c r="A792" s="5">
        <v>731</v>
      </c>
      <c r="B792" s="138">
        <f>'Expenditures 15-22'!D53</f>
        <v>30624</v>
      </c>
      <c r="C792" s="2" t="s">
        <v>573</v>
      </c>
      <c r="D792" s="2" t="str">
        <f t="shared" si="11"/>
        <v>Error?</v>
      </c>
    </row>
    <row r="793" spans="1:4" x14ac:dyDescent="0.2">
      <c r="A793" s="5">
        <v>732</v>
      </c>
      <c r="B793" s="138">
        <f>'Expenditures 15-22'!D55</f>
        <v>28593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28593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14036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6966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21002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85473</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235197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16285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33467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49752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30253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30253</v>
      </c>
      <c r="C843" s="2" t="s">
        <v>573</v>
      </c>
      <c r="D843" s="2" t="str">
        <f t="shared" si="12"/>
        <v>Error?</v>
      </c>
    </row>
    <row r="844" spans="1:4" x14ac:dyDescent="0.2">
      <c r="A844" s="5">
        <v>783</v>
      </c>
      <c r="B844" s="138">
        <f>'Expenditures 15-22'!E44</f>
        <v>8968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8968</v>
      </c>
      <c r="C847" s="2" t="s">
        <v>573</v>
      </c>
      <c r="D847" s="2" t="str">
        <f t="shared" si="12"/>
        <v>Error?</v>
      </c>
    </row>
    <row r="848" spans="1:4" x14ac:dyDescent="0.2">
      <c r="A848" s="5">
        <v>787</v>
      </c>
      <c r="B848" s="138">
        <f>'Expenditures 15-22'!E49</f>
        <v>47245</v>
      </c>
      <c r="D848" s="2" t="str">
        <f t="shared" si="12"/>
        <v>Error?</v>
      </c>
    </row>
    <row r="849" spans="1:4" x14ac:dyDescent="0.2">
      <c r="A849" s="5">
        <v>788</v>
      </c>
      <c r="B849" s="138">
        <f>'Expenditures 15-22'!E50</f>
        <v>3199</v>
      </c>
      <c r="D849" s="2" t="str">
        <f t="shared" si="12"/>
        <v>Error?</v>
      </c>
    </row>
    <row r="850" spans="1:4" x14ac:dyDescent="0.2">
      <c r="A850" s="5">
        <v>789</v>
      </c>
      <c r="B850" s="138">
        <f>'Expenditures 15-22'!E53</f>
        <v>50444</v>
      </c>
      <c r="C850" s="2" t="s">
        <v>573</v>
      </c>
      <c r="D850" s="2" t="str">
        <f t="shared" si="12"/>
        <v>Error?</v>
      </c>
    </row>
    <row r="851" spans="1:4" x14ac:dyDescent="0.2">
      <c r="A851" s="5">
        <v>790</v>
      </c>
      <c r="B851" s="138">
        <f>'Expenditures 15-22'!E55</f>
        <v>3623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3623</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2807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3363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6170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99458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149210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43890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1018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45684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9741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9741</v>
      </c>
      <c r="C905" s="2" t="s">
        <v>573</v>
      </c>
      <c r="D905" s="2" t="str">
        <f t="shared" si="13"/>
        <v>Error?</v>
      </c>
    </row>
    <row r="906" spans="1:4" x14ac:dyDescent="0.2">
      <c r="A906" s="5">
        <v>845</v>
      </c>
      <c r="B906" s="138">
        <f>'Expenditures 15-22'!F49</f>
        <v>4980</v>
      </c>
      <c r="D906" s="2" t="str">
        <f t="shared" si="13"/>
        <v>Error?</v>
      </c>
    </row>
    <row r="907" spans="1:4" x14ac:dyDescent="0.2">
      <c r="A907" s="5">
        <v>846</v>
      </c>
      <c r="B907" s="138">
        <f>'Expenditures 15-22'!F50</f>
        <v>624</v>
      </c>
      <c r="D907" s="2" t="str">
        <f t="shared" si="13"/>
        <v>Error?</v>
      </c>
    </row>
    <row r="908" spans="1:4" x14ac:dyDescent="0.2">
      <c r="A908" s="5">
        <v>847</v>
      </c>
      <c r="B908" s="138">
        <f>'Expenditures 15-22'!F53</f>
        <v>5604</v>
      </c>
      <c r="C908" s="2" t="s">
        <v>573</v>
      </c>
      <c r="D908" s="2" t="str">
        <f t="shared" si="13"/>
        <v>Error?</v>
      </c>
    </row>
    <row r="909" spans="1:4" x14ac:dyDescent="0.2">
      <c r="A909" s="5">
        <v>848</v>
      </c>
      <c r="B909" s="138">
        <f>'Expenditures 15-22'!F55</f>
        <v>2265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2265</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41346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41346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58965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104649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25814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25814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1324</v>
      </c>
      <c r="D960" s="2" t="str">
        <f t="shared" si="14"/>
        <v>Error?</v>
      </c>
    </row>
    <row r="961" spans="1:4" x14ac:dyDescent="0.2">
      <c r="A961" s="5">
        <v>900</v>
      </c>
      <c r="B961" s="138">
        <f>'Expenditures 15-22'!G45</f>
        <v>17189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18513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3238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3238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21751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47565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2291</v>
      </c>
      <c r="D1022" s="2" t="str">
        <f t="shared" si="14"/>
        <v>Error?</v>
      </c>
    </row>
    <row r="1023" spans="1:4" x14ac:dyDescent="0.2">
      <c r="A1023" s="5">
        <v>962</v>
      </c>
      <c r="B1023" s="138">
        <f>'Expenditures 15-22'!H50</f>
        <v>1330</v>
      </c>
      <c r="D1023" s="2" t="str">
        <f t="shared" ref="D1023:D1086" si="15">IF(ISBLANK(B1023),"OK",IF(A1023-B1023=0,"OK","Error?"))</f>
        <v>Error?</v>
      </c>
    </row>
    <row r="1024" spans="1:4" x14ac:dyDescent="0.2">
      <c r="A1024" s="5">
        <v>963</v>
      </c>
      <c r="B1024" s="138">
        <f>'Expenditures 15-22'!H53</f>
        <v>3621</v>
      </c>
      <c r="C1024" s="2" t="s">
        <v>573</v>
      </c>
      <c r="D1024" s="2" t="str">
        <f t="shared" si="15"/>
        <v>Error?</v>
      </c>
    </row>
    <row r="1025" spans="1:4" x14ac:dyDescent="0.2">
      <c r="A1025" s="5">
        <v>964</v>
      </c>
      <c r="B1025" s="138">
        <f>'Expenditures 15-22'!H55</f>
        <v>654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654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4275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58746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63021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1145100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35660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1326916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1074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61379</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62453</v>
      </c>
      <c r="C1115" s="2" t="s">
        <v>573</v>
      </c>
      <c r="D1115" s="2" t="str">
        <f t="shared" si="16"/>
        <v>Error?</v>
      </c>
    </row>
    <row r="1116" spans="1:4" x14ac:dyDescent="0.2">
      <c r="A1116" s="5">
        <v>1055</v>
      </c>
      <c r="B1116" s="138">
        <f>'Expenditures 15-22'!K44</f>
        <v>15546</v>
      </c>
      <c r="C1116" s="2" t="s">
        <v>573</v>
      </c>
      <c r="D1116" s="2" t="str">
        <f t="shared" si="16"/>
        <v>Error?</v>
      </c>
    </row>
    <row r="1117" spans="1:4" x14ac:dyDescent="0.2">
      <c r="A1117" s="5">
        <v>1056</v>
      </c>
      <c r="B1117" s="138">
        <f>'Expenditures 15-22'!K45</f>
        <v>26930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42476</v>
      </c>
      <c r="C1119" s="2" t="s">
        <v>573</v>
      </c>
      <c r="D1119" s="2" t="str">
        <f t="shared" si="16"/>
        <v>Error?</v>
      </c>
    </row>
    <row r="1120" spans="1:4" x14ac:dyDescent="0.2">
      <c r="A1120" s="5">
        <v>1059</v>
      </c>
      <c r="B1120" s="138">
        <f>'Expenditures 15-22'!K49</f>
        <v>54666</v>
      </c>
      <c r="C1120" s="2" t="s">
        <v>573</v>
      </c>
      <c r="D1120" s="2" t="str">
        <f t="shared" si="16"/>
        <v>Error?</v>
      </c>
    </row>
    <row r="1121" spans="1:4" x14ac:dyDescent="0.2">
      <c r="A1121" s="5">
        <v>1060</v>
      </c>
      <c r="B1121" s="138">
        <f>'Expenditures 15-22'!K50</f>
        <v>159277</v>
      </c>
      <c r="C1121" s="2" t="s">
        <v>573</v>
      </c>
      <c r="D1121" s="2" t="str">
        <f t="shared" si="16"/>
        <v>Error?</v>
      </c>
    </row>
    <row r="1122" spans="1:4" x14ac:dyDescent="0.2">
      <c r="A1122" s="5">
        <v>1061</v>
      </c>
      <c r="B1122" s="138">
        <f>'Expenditures 15-22'!K53</f>
        <v>213943</v>
      </c>
      <c r="C1122" s="2" t="s">
        <v>573</v>
      </c>
      <c r="D1122" s="2" t="str">
        <f t="shared" si="16"/>
        <v>Error?</v>
      </c>
    </row>
    <row r="1123" spans="1:4" x14ac:dyDescent="0.2">
      <c r="A1123" s="5">
        <v>1062</v>
      </c>
      <c r="B1123" s="138">
        <f>'Expenditures 15-22'!K55</f>
        <v>155593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155593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122071</v>
      </c>
      <c r="C1127" s="2" t="s">
        <v>573</v>
      </c>
      <c r="D1127" s="2" t="str">
        <f t="shared" si="16"/>
        <v>Error?</v>
      </c>
    </row>
    <row r="1128" spans="1:4" x14ac:dyDescent="0.2">
      <c r="A1128" s="5">
        <v>1067</v>
      </c>
      <c r="B1128" s="138">
        <f>'Expenditures 15-22'!K61</f>
        <v>2807</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118530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243408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717873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58746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2103535</v>
      </c>
      <c r="C1152" s="2" t="s">
        <v>573</v>
      </c>
      <c r="D1152" s="2" t="str">
        <f t="shared" si="17"/>
        <v>Error?</v>
      </c>
    </row>
    <row r="1153" spans="1:4" x14ac:dyDescent="0.2">
      <c r="A1153" s="5">
        <v>1092</v>
      </c>
      <c r="B1153" s="138">
        <f>'Expenditures 15-22'!K115</f>
        <v>-674505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88100</v>
      </c>
      <c r="D1221" s="2" t="str">
        <f t="shared" si="18"/>
        <v>Error?</v>
      </c>
    </row>
    <row r="1222" spans="1:4" x14ac:dyDescent="0.2">
      <c r="A1222" s="10">
        <v>1161</v>
      </c>
      <c r="D1222" s="2" t="str">
        <f t="shared" si="18"/>
        <v>OK</v>
      </c>
    </row>
    <row r="1223" spans="1:4" x14ac:dyDescent="0.2">
      <c r="A1223" s="5">
        <v>1162</v>
      </c>
      <c r="B1223" s="138">
        <f>'Expenditures 15-22'!C127</f>
        <v>88100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88100</v>
      </c>
      <c r="C1225" s="2" t="s">
        <v>573</v>
      </c>
      <c r="D1225" s="2" t="str">
        <f t="shared" si="18"/>
        <v>Error?</v>
      </c>
    </row>
    <row r="1226" spans="1:4" x14ac:dyDescent="0.2">
      <c r="A1226" s="5">
        <v>1165</v>
      </c>
      <c r="B1226" s="138">
        <f>'Expenditures 15-22'!C151</f>
        <v>88100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12152</v>
      </c>
      <c r="D1229" s="2" t="str">
        <f t="shared" si="18"/>
        <v>Error?</v>
      </c>
    </row>
    <row r="1230" spans="1:4" x14ac:dyDescent="0.2">
      <c r="A1230" s="10">
        <v>1169</v>
      </c>
      <c r="D1230" s="2" t="str">
        <f t="shared" si="18"/>
        <v>OK</v>
      </c>
    </row>
    <row r="1231" spans="1:4" x14ac:dyDescent="0.2">
      <c r="A1231" s="5">
        <v>1170</v>
      </c>
      <c r="B1231" s="138">
        <f>'Expenditures 15-22'!D127</f>
        <v>12152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12152</v>
      </c>
      <c r="C1233" s="2" t="s">
        <v>573</v>
      </c>
      <c r="D1233" s="2" t="str">
        <f t="shared" si="18"/>
        <v>Error?</v>
      </c>
    </row>
    <row r="1234" spans="1:4" x14ac:dyDescent="0.2">
      <c r="A1234" s="5">
        <v>1173</v>
      </c>
      <c r="B1234" s="138">
        <f>'Expenditures 15-22'!D151</f>
        <v>12152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207809</v>
      </c>
      <c r="D1237" s="2" t="str">
        <f t="shared" si="18"/>
        <v>Error?</v>
      </c>
    </row>
    <row r="1238" spans="1:4" x14ac:dyDescent="0.2">
      <c r="A1238" s="10">
        <v>1177</v>
      </c>
      <c r="D1238" s="2" t="str">
        <f t="shared" si="18"/>
        <v>OK</v>
      </c>
    </row>
    <row r="1239" spans="1:4" x14ac:dyDescent="0.2">
      <c r="A1239" s="5">
        <v>1178</v>
      </c>
      <c r="B1239" s="138">
        <f>'Expenditures 15-22'!E127</f>
        <v>207809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207809</v>
      </c>
      <c r="C1241" s="2" t="s">
        <v>573</v>
      </c>
      <c r="D1241" s="2" t="str">
        <f t="shared" si="18"/>
        <v>Error?</v>
      </c>
    </row>
    <row r="1242" spans="1:4" x14ac:dyDescent="0.2">
      <c r="A1242" s="5">
        <v>1181</v>
      </c>
      <c r="B1242" s="138">
        <f>'Expenditures 15-22'!E151</f>
        <v>207809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27399</v>
      </c>
      <c r="D1245" s="2" t="str">
        <f t="shared" si="18"/>
        <v>Error?</v>
      </c>
    </row>
    <row r="1246" spans="1:4" x14ac:dyDescent="0.2">
      <c r="A1246" s="10">
        <v>1185</v>
      </c>
      <c r="D1246" s="2" t="str">
        <f t="shared" si="18"/>
        <v>OK</v>
      </c>
    </row>
    <row r="1247" spans="1:4" x14ac:dyDescent="0.2">
      <c r="A1247" s="5">
        <v>1186</v>
      </c>
      <c r="B1247" s="138">
        <f>'Expenditures 15-22'!F127</f>
        <v>27399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27399</v>
      </c>
      <c r="C1249" s="2" t="s">
        <v>573</v>
      </c>
      <c r="D1249" s="2" t="str">
        <f t="shared" si="18"/>
        <v>Error?</v>
      </c>
    </row>
    <row r="1250" spans="1:4" x14ac:dyDescent="0.2">
      <c r="A1250" s="5">
        <v>1189</v>
      </c>
      <c r="B1250" s="138">
        <f>'Expenditures 15-22'!F151</f>
        <v>27399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32506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32506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32506</v>
      </c>
      <c r="C1258" s="2" t="s">
        <v>573</v>
      </c>
      <c r="D1258" s="2" t="str">
        <f t="shared" si="18"/>
        <v>Error?</v>
      </c>
    </row>
    <row r="1259" spans="1:4" x14ac:dyDescent="0.2">
      <c r="A1259" s="5">
        <v>1198</v>
      </c>
      <c r="B1259" s="138">
        <f>'Expenditures 15-22'!G151</f>
        <v>32506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v>
      </c>
      <c r="D1262" s="2" t="str">
        <f t="shared" si="18"/>
        <v>Error?</v>
      </c>
    </row>
    <row r="1263" spans="1:4" x14ac:dyDescent="0.2">
      <c r="A1263" s="10">
        <v>1202</v>
      </c>
      <c r="D1263" s="2" t="str">
        <f t="shared" si="18"/>
        <v>OK</v>
      </c>
    </row>
    <row r="1264" spans="1:4" x14ac:dyDescent="0.2">
      <c r="A1264" s="5">
        <v>1203</v>
      </c>
      <c r="B1264" s="138">
        <f>'Expenditures 15-22'!H127</f>
        <v>17</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367983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367983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367983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367983</v>
      </c>
      <c r="C1288" s="2" t="s">
        <v>573</v>
      </c>
      <c r="D1288" s="2" t="str">
        <f t="shared" si="19"/>
        <v>Error?</v>
      </c>
    </row>
    <row r="1289" spans="1:4" x14ac:dyDescent="0.2">
      <c r="A1289" s="5">
        <v>1228</v>
      </c>
      <c r="B1289" s="138">
        <f>'Expenditures 15-22'!K152</f>
        <v>-98614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26817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248000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275317</v>
      </c>
      <c r="C1317" s="2" t="s">
        <v>573</v>
      </c>
      <c r="D1317" s="2" t="str">
        <f t="shared" si="19"/>
        <v>Error?</v>
      </c>
    </row>
    <row r="1318" spans="1:4" x14ac:dyDescent="0.2">
      <c r="A1318" s="5">
        <v>1257</v>
      </c>
      <c r="B1318" s="138">
        <f>'Expenditures 15-22'!H174</f>
        <v>275317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26817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248000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275317</v>
      </c>
      <c r="C1331" s="2" t="s">
        <v>573</v>
      </c>
      <c r="D1331" s="2" t="str">
        <f t="shared" si="19"/>
        <v>Error?</v>
      </c>
    </row>
    <row r="1332" spans="1:4" x14ac:dyDescent="0.2">
      <c r="A1332" s="5">
        <v>1271</v>
      </c>
      <c r="B1332" s="138">
        <f>'Expenditures 15-22'!K174</f>
        <v>275317</v>
      </c>
      <c r="C1332" s="2" t="s">
        <v>573</v>
      </c>
      <c r="D1332" s="2" t="str">
        <f t="shared" si="19"/>
        <v>Error?</v>
      </c>
    </row>
    <row r="1333" spans="1:4" x14ac:dyDescent="0.2">
      <c r="A1333" s="5">
        <v>1272</v>
      </c>
      <c r="B1333" s="138">
        <f>'Expenditures 15-22'!K175</f>
        <v>-60148</v>
      </c>
      <c r="C1333" s="2" t="s">
        <v>573</v>
      </c>
      <c r="D1333" s="2" t="str">
        <f t="shared" si="19"/>
        <v>Error?</v>
      </c>
    </row>
    <row r="1334" spans="1:4" x14ac:dyDescent="0.2">
      <c r="A1334" s="10">
        <v>1273</v>
      </c>
      <c r="D1334" s="2" t="str">
        <f t="shared" si="19"/>
        <v>OK</v>
      </c>
    </row>
    <row r="1335" spans="1:4" x14ac:dyDescent="0.2">
      <c r="A1335" s="5">
        <v>1274</v>
      </c>
      <c r="B1335" s="138">
        <f>'Expenditures 15-22'!C182</f>
        <v>118877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118877</v>
      </c>
      <c r="C1339" s="2" t="s">
        <v>573</v>
      </c>
      <c r="D1339" s="2" t="str">
        <f t="shared" si="19"/>
        <v>Error?</v>
      </c>
    </row>
    <row r="1340" spans="1:4" x14ac:dyDescent="0.2">
      <c r="A1340" s="5">
        <v>1279</v>
      </c>
      <c r="B1340" s="138">
        <f>'Expenditures 15-22'!C210</f>
        <v>118877</v>
      </c>
      <c r="C1340" s="2" t="s">
        <v>573</v>
      </c>
      <c r="D1340" s="2" t="str">
        <f t="shared" si="19"/>
        <v>Error?</v>
      </c>
    </row>
    <row r="1341" spans="1:4" x14ac:dyDescent="0.2">
      <c r="A1341" s="5">
        <v>1280</v>
      </c>
      <c r="B1341" s="138">
        <f>'Expenditures 15-22'!D182</f>
        <v>3612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3612</v>
      </c>
      <c r="C1345" s="2" t="s">
        <v>573</v>
      </c>
      <c r="D1345" s="2" t="str">
        <f t="shared" si="20"/>
        <v>Error?</v>
      </c>
    </row>
    <row r="1346" spans="1:4" x14ac:dyDescent="0.2">
      <c r="A1346" s="5">
        <v>1285</v>
      </c>
      <c r="B1346" s="138">
        <f>'Expenditures 15-22'!D210</f>
        <v>3612</v>
      </c>
      <c r="C1346" s="2" t="s">
        <v>573</v>
      </c>
      <c r="D1346" s="2" t="str">
        <f t="shared" si="20"/>
        <v>Error?</v>
      </c>
    </row>
    <row r="1347" spans="1:4" x14ac:dyDescent="0.2">
      <c r="A1347" s="5">
        <v>1286</v>
      </c>
      <c r="B1347" s="138">
        <f>'Expenditures 15-22'!E182</f>
        <v>41074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41074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41074</v>
      </c>
      <c r="C1353" s="2" t="s">
        <v>573</v>
      </c>
      <c r="D1353" s="2" t="str">
        <f t="shared" si="20"/>
        <v>Error?</v>
      </c>
    </row>
    <row r="1354" spans="1:4" x14ac:dyDescent="0.2">
      <c r="A1354" s="5">
        <v>1293</v>
      </c>
      <c r="B1354" s="138">
        <f>'Expenditures 15-22'!F182</f>
        <v>44515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44515</v>
      </c>
      <c r="C1358" s="2" t="s">
        <v>573</v>
      </c>
      <c r="D1358" s="2" t="str">
        <f t="shared" si="20"/>
        <v>Error?</v>
      </c>
    </row>
    <row r="1359" spans="1:4" x14ac:dyDescent="0.2">
      <c r="A1359" s="5">
        <v>1298</v>
      </c>
      <c r="B1359" s="138">
        <f>'Expenditures 15-22'!F210</f>
        <v>44515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208078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208078</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208078</v>
      </c>
      <c r="C1388" s="2" t="s">
        <v>573</v>
      </c>
      <c r="D1388" s="2" t="str">
        <f t="shared" si="20"/>
        <v>Error?</v>
      </c>
    </row>
    <row r="1389" spans="1:4" x14ac:dyDescent="0.2">
      <c r="A1389" s="5">
        <v>1328</v>
      </c>
      <c r="B1389" s="138">
        <f>'Expenditures 15-22'!K211</f>
        <v>5173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69740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451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451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1779</v>
      </c>
      <c r="D1423" s="2" t="str">
        <f t="shared" si="21"/>
        <v>Error?</v>
      </c>
    </row>
    <row r="1424" spans="1:4" x14ac:dyDescent="0.2">
      <c r="A1424" s="5">
        <v>1363</v>
      </c>
      <c r="B1424" s="138">
        <f>'Expenditures 15-22'!D257</f>
        <v>1779</v>
      </c>
      <c r="C1424" s="2" t="s">
        <v>573</v>
      </c>
      <c r="D1424" s="2" t="str">
        <f t="shared" si="21"/>
        <v>Error?</v>
      </c>
    </row>
    <row r="1425" spans="1:4" x14ac:dyDescent="0.2">
      <c r="A1425" s="5">
        <v>1364</v>
      </c>
      <c r="B1425" s="138">
        <f>'Expenditures 15-22'!D259</f>
        <v>1567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1567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7717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6384</v>
      </c>
      <c r="D1431" s="2" t="str">
        <f t="shared" si="21"/>
        <v>Error?</v>
      </c>
    </row>
    <row r="1432" spans="1:4" x14ac:dyDescent="0.2">
      <c r="A1432" s="5">
        <v>1371</v>
      </c>
      <c r="B1432" s="138">
        <f>'Expenditures 15-22'!D267</f>
        <v>8563</v>
      </c>
      <c r="D1432" s="2" t="str">
        <f t="shared" si="21"/>
        <v>Error?</v>
      </c>
    </row>
    <row r="1433" spans="1:4" x14ac:dyDescent="0.2">
      <c r="A1433" s="5">
        <v>1372</v>
      </c>
      <c r="B1433" s="138">
        <f>'Expenditures 15-22'!D268</f>
        <v>4827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27491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31288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101028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90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69740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451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451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1779</v>
      </c>
      <c r="C1487" s="2" t="s">
        <v>573</v>
      </c>
      <c r="D1487" s="2" t="str">
        <f t="shared" si="22"/>
        <v>Error?</v>
      </c>
    </row>
    <row r="1488" spans="1:4" x14ac:dyDescent="0.2">
      <c r="A1488" s="5">
        <v>1427</v>
      </c>
      <c r="B1488" s="138">
        <f>'Expenditures 15-22'!K257</f>
        <v>1779</v>
      </c>
      <c r="C1488" s="2" t="s">
        <v>573</v>
      </c>
      <c r="D1488" s="2" t="str">
        <f t="shared" si="22"/>
        <v>Error?</v>
      </c>
    </row>
    <row r="1489" spans="1:4" x14ac:dyDescent="0.2">
      <c r="A1489" s="5">
        <v>1428</v>
      </c>
      <c r="B1489" s="138">
        <f>'Expenditures 15-22'!K259</f>
        <v>1567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1567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7717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6384</v>
      </c>
      <c r="C1495" s="2" t="s">
        <v>573</v>
      </c>
      <c r="D1495" s="2" t="str">
        <f t="shared" si="22"/>
        <v>Error?</v>
      </c>
    </row>
    <row r="1496" spans="1:4" x14ac:dyDescent="0.2">
      <c r="A1496" s="5">
        <v>1435</v>
      </c>
      <c r="B1496" s="138">
        <f>'Expenditures 15-22'!K267</f>
        <v>8563</v>
      </c>
      <c r="C1496" s="2" t="s">
        <v>573</v>
      </c>
      <c r="D1496" s="2" t="str">
        <f t="shared" si="22"/>
        <v>Error?</v>
      </c>
    </row>
    <row r="1497" spans="1:4" x14ac:dyDescent="0.2">
      <c r="A1497" s="5">
        <v>1436</v>
      </c>
      <c r="B1497" s="138">
        <f>'Expenditures 15-22'!K268</f>
        <v>4827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27491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31288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101028</v>
      </c>
      <c r="C1517" s="2" t="s">
        <v>573</v>
      </c>
      <c r="D1517" s="2" t="str">
        <f t="shared" si="22"/>
        <v>Error?</v>
      </c>
    </row>
    <row r="1518" spans="1:4" x14ac:dyDescent="0.2">
      <c r="A1518" s="5">
        <v>1457</v>
      </c>
      <c r="B1518" s="138">
        <f>'Expenditures 15-22'!K296</f>
        <v>-34765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1715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1715</v>
      </c>
      <c r="C1535" s="2" t="s">
        <v>573</v>
      </c>
      <c r="D1535" s="2" t="str">
        <f t="shared" ref="D1535:D1598" si="23">IF(ISBLANK(B1535),"OK",IF(A1535-B1535=0,"OK","Error?"))</f>
        <v>Error?</v>
      </c>
    </row>
    <row r="1536" spans="1:4" x14ac:dyDescent="0.2">
      <c r="A1536" s="5">
        <v>1475</v>
      </c>
      <c r="B1536" s="138">
        <f>'Expenditures 15-22'!E312</f>
        <v>1715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114215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114215</v>
      </c>
      <c r="C1547" s="2" t="s">
        <v>573</v>
      </c>
      <c r="D1547" s="2" t="str">
        <f t="shared" si="23"/>
        <v>Error?</v>
      </c>
    </row>
    <row r="1548" spans="1:4" x14ac:dyDescent="0.2">
      <c r="A1548" s="5">
        <v>1487</v>
      </c>
      <c r="B1548" s="138">
        <f>'Expenditures 15-22'!G312</f>
        <v>114215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115930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115930</v>
      </c>
      <c r="C1559" s="2" t="s">
        <v>573</v>
      </c>
      <c r="D1559" s="2" t="str">
        <f t="shared" si="23"/>
        <v>Error?</v>
      </c>
    </row>
    <row r="1560" spans="1:4" x14ac:dyDescent="0.2">
      <c r="A1560" s="5">
        <v>1499</v>
      </c>
      <c r="B1560" s="138">
        <f>'Expenditures 15-22'!K312</f>
        <v>115930</v>
      </c>
      <c r="C1560" s="2" t="s">
        <v>573</v>
      </c>
      <c r="D1560" s="2" t="str">
        <f t="shared" si="23"/>
        <v>Error?</v>
      </c>
    </row>
    <row r="1561" spans="1:4" x14ac:dyDescent="0.2">
      <c r="A1561" s="5">
        <v>1500</v>
      </c>
      <c r="B1561" s="138">
        <f>'Expenditures 15-22'!K313</f>
        <v>-8464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1368703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721439</v>
      </c>
      <c r="C1630" s="2" t="s">
        <v>573</v>
      </c>
      <c r="D1630" s="2" t="str">
        <f t="shared" si="24"/>
        <v>Error?</v>
      </c>
    </row>
    <row r="1631" spans="1:4" x14ac:dyDescent="0.2">
      <c r="A1631" s="5">
        <v>1570</v>
      </c>
      <c r="B1631" s="138">
        <f>'Acct Summary 7-8'!D79</f>
        <v>801627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735071</v>
      </c>
      <c r="C1644" s="2" t="s">
        <v>573</v>
      </c>
      <c r="D1644" s="2" t="str">
        <f t="shared" si="24"/>
        <v>Error?</v>
      </c>
    </row>
    <row r="1645" spans="1:4" x14ac:dyDescent="0.2">
      <c r="A1645" s="5">
        <v>1584</v>
      </c>
      <c r="B1645" s="138">
        <f>'Acct Summary 7-8'!E79</f>
        <v>204208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144060</v>
      </c>
      <c r="C1658" s="2" t="s">
        <v>573</v>
      </c>
      <c r="D1658" s="2" t="str">
        <f t="shared" si="24"/>
        <v>Error?</v>
      </c>
    </row>
    <row r="1659" spans="1:4" x14ac:dyDescent="0.2">
      <c r="A1659" s="5">
        <v>1598</v>
      </c>
      <c r="B1659" s="138">
        <f>'Acct Summary 7-8'!F79</f>
        <v>518133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523306</v>
      </c>
      <c r="C1672" s="2" t="s">
        <v>573</v>
      </c>
      <c r="D1672" s="2" t="str">
        <f t="shared" si="25"/>
        <v>Error?</v>
      </c>
    </row>
    <row r="1673" spans="1:4" x14ac:dyDescent="0.2">
      <c r="A1673" s="5">
        <v>1612</v>
      </c>
      <c r="B1673" s="138">
        <f>'Acct Summary 7-8'!G79</f>
        <v>148262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113497</v>
      </c>
      <c r="C1686" s="2" t="s">
        <v>573</v>
      </c>
      <c r="D1686" s="2" t="str">
        <f t="shared" si="25"/>
        <v>Error?</v>
      </c>
    </row>
    <row r="1687" spans="1:4" x14ac:dyDescent="0.2">
      <c r="A1687" s="5">
        <v>1626</v>
      </c>
      <c r="B1687" s="138">
        <f>'Acct Summary 7-8'!H79</f>
        <v>70880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62416</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922052</v>
      </c>
      <c r="C1744" s="2" t="s">
        <v>573</v>
      </c>
      <c r="D1744" s="2" t="str">
        <f t="shared" si="26"/>
        <v>Error?</v>
      </c>
    </row>
    <row r="1745" spans="1:5" x14ac:dyDescent="0.2">
      <c r="A1745" s="5">
        <v>1684</v>
      </c>
      <c r="B1745" s="138">
        <f>'Tax Sched 23'!B5</f>
        <v>215968</v>
      </c>
      <c r="C1745" s="2" t="s">
        <v>573</v>
      </c>
      <c r="D1745" s="2" t="str">
        <f t="shared" si="26"/>
        <v>Error?</v>
      </c>
    </row>
    <row r="1746" spans="1:5" x14ac:dyDescent="0.2">
      <c r="A1746" s="5">
        <v>1685</v>
      </c>
      <c r="B1746" s="138">
        <f>'Tax Sched 23'!B6</f>
        <v>108587</v>
      </c>
      <c r="C1746" s="2" t="s">
        <v>573</v>
      </c>
      <c r="D1746" s="2" t="str">
        <f t="shared" si="26"/>
        <v>Error?</v>
      </c>
    </row>
    <row r="1747" spans="1:5" x14ac:dyDescent="0.2">
      <c r="A1747" s="5">
        <v>1686</v>
      </c>
      <c r="B1747" s="138">
        <f>'Tax Sched 23'!B7</f>
        <v>57560</v>
      </c>
      <c r="C1747" s="2" t="s">
        <v>573</v>
      </c>
      <c r="D1747" s="2" t="str">
        <f t="shared" si="26"/>
        <v>Error?</v>
      </c>
    </row>
    <row r="1748" spans="1:5" x14ac:dyDescent="0.2">
      <c r="A1748" s="5">
        <v>1687</v>
      </c>
      <c r="B1748" s="138">
        <f>'Tax Sched 23'!B8</f>
        <v>31022</v>
      </c>
      <c r="C1748" s="2" t="s">
        <v>573</v>
      </c>
      <c r="D1748" s="2" t="str">
        <f t="shared" si="26"/>
        <v>Error?</v>
      </c>
    </row>
    <row r="1749" spans="1:5" x14ac:dyDescent="0.2">
      <c r="A1749" s="5">
        <v>1688</v>
      </c>
      <c r="B1749" s="138">
        <f>'Tax Sched 23'!B10</f>
        <v>24007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48918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9641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1461793</v>
      </c>
      <c r="C1759" s="2" t="s">
        <v>573</v>
      </c>
      <c r="D1759" s="2" t="str">
        <f t="shared" si="26"/>
        <v>Error?</v>
      </c>
    </row>
    <row r="1760" spans="1:5" x14ac:dyDescent="0.2">
      <c r="A1760" s="5">
        <v>1699</v>
      </c>
      <c r="B1760" s="138">
        <f>'Tax Sched 23'!D4</f>
        <v>650309.92999999993</v>
      </c>
      <c r="C1760" s="2" t="s">
        <v>573</v>
      </c>
      <c r="D1760" s="2" t="str">
        <f t="shared" si="26"/>
        <v>Error?</v>
      </c>
    </row>
    <row r="1761" spans="1:5" x14ac:dyDescent="0.2">
      <c r="A1761" s="5">
        <v>1700</v>
      </c>
      <c r="B1761" s="138">
        <f>'Tax Sched 23'!D5</f>
        <v>152278.35999999999</v>
      </c>
      <c r="C1761" s="2" t="s">
        <v>573</v>
      </c>
      <c r="D1761" s="2" t="str">
        <f t="shared" si="26"/>
        <v>Error?</v>
      </c>
    </row>
    <row r="1762" spans="1:5" s="8" customFormat="1" x14ac:dyDescent="0.2">
      <c r="A1762" s="5">
        <v>1701</v>
      </c>
      <c r="B1762" s="138">
        <f>'Tax Sched 23'!D6</f>
        <v>76048.53</v>
      </c>
      <c r="C1762" s="2" t="s">
        <v>573</v>
      </c>
      <c r="D1762" s="2" t="str">
        <f t="shared" si="26"/>
        <v>Error?</v>
      </c>
      <c r="E1762" s="9"/>
    </row>
    <row r="1763" spans="1:5" x14ac:dyDescent="0.2">
      <c r="A1763" s="5">
        <v>1702</v>
      </c>
      <c r="B1763" s="138">
        <f>'Tax Sched 23'!D7</f>
        <v>40576.119999999995</v>
      </c>
      <c r="C1763" s="2" t="s">
        <v>573</v>
      </c>
      <c r="D1763" s="2" t="str">
        <f t="shared" si="26"/>
        <v>Error?</v>
      </c>
    </row>
    <row r="1764" spans="1:5" x14ac:dyDescent="0.2">
      <c r="A1764" s="5">
        <v>1703</v>
      </c>
      <c r="B1764" s="138">
        <f>'Tax Sched 23'!D8</f>
        <v>22303.5</v>
      </c>
      <c r="C1764" s="2" t="s">
        <v>573</v>
      </c>
      <c r="D1764" s="2" t="str">
        <f t="shared" si="26"/>
        <v>Error?</v>
      </c>
    </row>
    <row r="1765" spans="1:5" x14ac:dyDescent="0.2">
      <c r="A1765" s="5">
        <v>1704</v>
      </c>
      <c r="B1765" s="138">
        <f>'Tax Sched 23'!D10</f>
        <v>16930.419999999998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34793.129999999997</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6810.2800000000007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1033091.22</v>
      </c>
      <c r="C1775" s="2" t="s">
        <v>573</v>
      </c>
      <c r="D1775" s="2" t="str">
        <f t="shared" si="26"/>
        <v>Error?</v>
      </c>
    </row>
    <row r="1776" spans="1:5" x14ac:dyDescent="0.2">
      <c r="A1776" s="5">
        <v>1715</v>
      </c>
      <c r="B1776" s="138">
        <f>'Tax Sched 23'!C4</f>
        <v>271742.07</v>
      </c>
      <c r="D1776" s="2" t="str">
        <f t="shared" si="26"/>
        <v>Error?</v>
      </c>
    </row>
    <row r="1777" spans="1:4" x14ac:dyDescent="0.2">
      <c r="A1777" s="5">
        <v>1716</v>
      </c>
      <c r="B1777" s="138">
        <f>'Tax Sched 23'!C5</f>
        <v>63689.64</v>
      </c>
      <c r="D1777" s="2" t="str">
        <f t="shared" si="26"/>
        <v>Error?</v>
      </c>
    </row>
    <row r="1778" spans="1:4" x14ac:dyDescent="0.2">
      <c r="A1778" s="5">
        <v>1717</v>
      </c>
      <c r="B1778" s="138">
        <f>'Tax Sched 23'!C6</f>
        <v>32538.47</v>
      </c>
      <c r="D1778" s="2" t="str">
        <f t="shared" si="26"/>
        <v>Error?</v>
      </c>
    </row>
    <row r="1779" spans="1:4" x14ac:dyDescent="0.2">
      <c r="A1779" s="5">
        <v>1718</v>
      </c>
      <c r="B1779" s="138">
        <f>'Tax Sched 23'!C7</f>
        <v>16983.88</v>
      </c>
      <c r="D1779" s="2" t="str">
        <f t="shared" si="26"/>
        <v>Error?</v>
      </c>
    </row>
    <row r="1780" spans="1:4" x14ac:dyDescent="0.2">
      <c r="A1780" s="5">
        <v>1719</v>
      </c>
      <c r="B1780" s="138">
        <f>'Tax Sched 23'!C8</f>
        <v>8718.5</v>
      </c>
      <c r="D1780" s="2" t="str">
        <f t="shared" si="26"/>
        <v>Error?</v>
      </c>
    </row>
    <row r="1781" spans="1:4" x14ac:dyDescent="0.2">
      <c r="A1781" s="5">
        <v>1720</v>
      </c>
      <c r="B1781" s="138">
        <f>'Tax Sched 23'!C10</f>
        <v>7076.58</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14124.87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2830.72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428701.78</v>
      </c>
      <c r="C1791" s="2" t="s">
        <v>573</v>
      </c>
      <c r="D1791" s="2" t="str">
        <f t="shared" ref="D1791:D1854" si="27">IF(ISBLANK(B1791),"OK",IF(A1791-B1791=0,"OK","Error?"))</f>
        <v>Error?</v>
      </c>
    </row>
    <row r="1792" spans="1:4" x14ac:dyDescent="0.2">
      <c r="A1792" s="5">
        <v>1731</v>
      </c>
      <c r="B1792" s="138">
        <f>'Tax Sched 23'!F4</f>
        <v>1286757.93</v>
      </c>
      <c r="C1792" s="2" t="s">
        <v>573</v>
      </c>
      <c r="D1792" s="2" t="str">
        <f t="shared" si="27"/>
        <v>Error?</v>
      </c>
    </row>
    <row r="1793" spans="1:4" x14ac:dyDescent="0.2">
      <c r="A1793" s="5">
        <v>1732</v>
      </c>
      <c r="B1793" s="138">
        <f>'Tax Sched 23'!F5</f>
        <v>301583.35999999999</v>
      </c>
      <c r="C1793" s="2" t="s">
        <v>573</v>
      </c>
      <c r="D1793" s="2" t="str">
        <f t="shared" si="27"/>
        <v>Error?</v>
      </c>
    </row>
    <row r="1794" spans="1:4" x14ac:dyDescent="0.2">
      <c r="A1794" s="5">
        <v>1733</v>
      </c>
      <c r="B1794" s="138">
        <f>'Tax Sched 23'!F6</f>
        <v>154075.53</v>
      </c>
      <c r="C1794" s="2" t="s">
        <v>573</v>
      </c>
      <c r="D1794" s="2" t="str">
        <f t="shared" si="27"/>
        <v>Error?</v>
      </c>
    </row>
    <row r="1795" spans="1:4" x14ac:dyDescent="0.2">
      <c r="A1795" s="5">
        <v>1734</v>
      </c>
      <c r="B1795" s="138">
        <f>'Tax Sched 23'!F7</f>
        <v>80422.12</v>
      </c>
      <c r="C1795" s="2" t="s">
        <v>573</v>
      </c>
      <c r="D1795" s="2" t="str">
        <f t="shared" si="27"/>
        <v>Error?</v>
      </c>
    </row>
    <row r="1796" spans="1:4" x14ac:dyDescent="0.2">
      <c r="A1796" s="5">
        <v>1735</v>
      </c>
      <c r="B1796" s="138">
        <f>'Tax Sched 23'!F8</f>
        <v>41283.5</v>
      </c>
      <c r="C1796" s="2" t="s">
        <v>573</v>
      </c>
      <c r="D1796" s="2" t="str">
        <f t="shared" si="27"/>
        <v>Error?</v>
      </c>
    </row>
    <row r="1797" spans="1:4" x14ac:dyDescent="0.2">
      <c r="A1797" s="5">
        <v>1736</v>
      </c>
      <c r="B1797" s="138">
        <f>'Tax Sched 23'!F10</f>
        <v>33509.42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66885.13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13403.28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2029994.2199999997</v>
      </c>
      <c r="C1807" s="2" t="s">
        <v>573</v>
      </c>
      <c r="D1807" s="2" t="str">
        <f t="shared" si="27"/>
        <v>Error?</v>
      </c>
    </row>
    <row r="1808" spans="1:4" x14ac:dyDescent="0.2">
      <c r="A1808" s="5">
        <v>1747</v>
      </c>
      <c r="B1808" s="138">
        <f>'Tax Sched 23'!E4</f>
        <v>1558500</v>
      </c>
      <c r="D1808" s="2" t="str">
        <f t="shared" si="27"/>
        <v>Error?</v>
      </c>
    </row>
    <row r="1809" spans="1:4" x14ac:dyDescent="0.2">
      <c r="A1809" s="5">
        <v>1748</v>
      </c>
      <c r="B1809" s="138">
        <f>'Tax Sched 23'!E5</f>
        <v>365273</v>
      </c>
      <c r="D1809" s="2" t="str">
        <f t="shared" si="27"/>
        <v>Error?</v>
      </c>
    </row>
    <row r="1810" spans="1:4" x14ac:dyDescent="0.2">
      <c r="A1810" s="5">
        <v>1749</v>
      </c>
      <c r="B1810" s="138">
        <f>'Tax Sched 23'!E6</f>
        <v>186614</v>
      </c>
      <c r="D1810" s="2" t="str">
        <f t="shared" si="27"/>
        <v>Error?</v>
      </c>
    </row>
    <row r="1811" spans="1:4" x14ac:dyDescent="0.2">
      <c r="A1811" s="5">
        <v>1750</v>
      </c>
      <c r="B1811" s="138">
        <f>'Tax Sched 23'!E7</f>
        <v>97406</v>
      </c>
      <c r="D1811" s="2" t="str">
        <f t="shared" si="27"/>
        <v>Error?</v>
      </c>
    </row>
    <row r="1812" spans="1:4" x14ac:dyDescent="0.2">
      <c r="A1812" s="5">
        <v>1751</v>
      </c>
      <c r="B1812" s="138">
        <f>'Tax Sched 23'!E8</f>
        <v>50002</v>
      </c>
      <c r="D1812" s="2" t="str">
        <f t="shared" si="27"/>
        <v>Error?</v>
      </c>
    </row>
    <row r="1813" spans="1:4" x14ac:dyDescent="0.2">
      <c r="A1813" s="5">
        <v>1752</v>
      </c>
      <c r="B1813" s="138">
        <f>'Tax Sched 23'!E10</f>
        <v>40586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81010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16234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2458696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1263000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9641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9641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9641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14449</v>
      </c>
      <c r="D2008" s="2" t="str">
        <f t="shared" si="30"/>
        <v>Error?</v>
      </c>
    </row>
    <row r="2009" spans="1:4" x14ac:dyDescent="0.2">
      <c r="A2009" s="5">
        <v>1948</v>
      </c>
      <c r="B2009" s="138">
        <f>'Cap Outlay Deprec 26'!C8</f>
        <v>2241334</v>
      </c>
      <c r="D2009" s="2" t="str">
        <f t="shared" si="30"/>
        <v>Error?</v>
      </c>
    </row>
    <row r="2010" spans="1:4" x14ac:dyDescent="0.2">
      <c r="A2010" s="5">
        <v>1949</v>
      </c>
      <c r="B2010" s="138">
        <f>'Cap Outlay Deprec 26'!C10</f>
        <v>3171358</v>
      </c>
      <c r="D2010" s="2" t="str">
        <f t="shared" si="30"/>
        <v>Error?</v>
      </c>
    </row>
    <row r="2011" spans="1:4" x14ac:dyDescent="0.2">
      <c r="A2011" s="5">
        <v>1950</v>
      </c>
      <c r="B2011" s="138">
        <f>'Cap Outlay Deprec 26'!C12</f>
        <v>1123320</v>
      </c>
      <c r="D2011" s="2" t="str">
        <f t="shared" si="30"/>
        <v>Error?</v>
      </c>
    </row>
    <row r="2012" spans="1:4" x14ac:dyDescent="0.2">
      <c r="A2012" s="5">
        <v>1951</v>
      </c>
      <c r="B2012" s="138">
        <f>'Cap Outlay Deprec 26'!C13</f>
        <v>694632</v>
      </c>
      <c r="D2012" s="2" t="str">
        <f t="shared" si="30"/>
        <v>Error?</v>
      </c>
    </row>
    <row r="2013" spans="1:4" x14ac:dyDescent="0.2">
      <c r="A2013" s="5">
        <v>1952</v>
      </c>
      <c r="B2013" s="138">
        <f>'Cap Outlay Deprec 26'!C16</f>
        <v>7245093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114215</v>
      </c>
      <c r="D2016" s="2" t="str">
        <f t="shared" si="30"/>
        <v>Error?</v>
      </c>
    </row>
    <row r="2017" spans="1:4" x14ac:dyDescent="0.2">
      <c r="A2017" s="5">
        <v>1956</v>
      </c>
      <c r="B2017" s="138">
        <f>'Cap Outlay Deprec 26'!D12</f>
        <v>80071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194286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54200</v>
      </c>
      <c r="D2022" s="2" t="str">
        <f t="shared" si="30"/>
        <v>Error?</v>
      </c>
    </row>
    <row r="2023" spans="1:4" x14ac:dyDescent="0.2">
      <c r="A2023" s="5">
        <v>1962</v>
      </c>
      <c r="B2023" s="138">
        <f>'Cap Outlay Deprec 26'!E12</f>
        <v>23148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77348</v>
      </c>
      <c r="C2025" s="2" t="s">
        <v>573</v>
      </c>
      <c r="D2025" s="2" t="str">
        <f t="shared" si="30"/>
        <v>Error?</v>
      </c>
    </row>
    <row r="2026" spans="1:4" x14ac:dyDescent="0.2">
      <c r="A2026" s="5">
        <v>1965</v>
      </c>
      <c r="B2026" s="138">
        <f>'Cap Outlay Deprec 26'!F5</f>
        <v>14449</v>
      </c>
      <c r="C2026" s="2" t="s">
        <v>573</v>
      </c>
      <c r="D2026" s="2" t="str">
        <f t="shared" si="30"/>
        <v>Error?</v>
      </c>
    </row>
    <row r="2027" spans="1:4" x14ac:dyDescent="0.2">
      <c r="A2027" s="5">
        <v>1966</v>
      </c>
      <c r="B2027" s="138">
        <f>'Cap Outlay Deprec 26'!F8</f>
        <v>2241334</v>
      </c>
      <c r="C2027" s="2" t="s">
        <v>573</v>
      </c>
      <c r="D2027" s="2" t="str">
        <f t="shared" si="30"/>
        <v>Error?</v>
      </c>
    </row>
    <row r="2028" spans="1:4" x14ac:dyDescent="0.2">
      <c r="A2028" s="5">
        <v>1967</v>
      </c>
      <c r="B2028" s="138">
        <f>'Cap Outlay Deprec 26'!F10</f>
        <v>3231373</v>
      </c>
      <c r="C2028" s="2" t="s">
        <v>573</v>
      </c>
      <c r="D2028" s="2" t="str">
        <f t="shared" si="30"/>
        <v>Error?</v>
      </c>
    </row>
    <row r="2029" spans="1:4" x14ac:dyDescent="0.2">
      <c r="A2029" s="5">
        <v>1968</v>
      </c>
      <c r="B2029" s="138">
        <f>'Cap Outlay Deprec 26'!F12</f>
        <v>1180243</v>
      </c>
      <c r="C2029" s="2" t="s">
        <v>573</v>
      </c>
      <c r="D2029" s="2" t="str">
        <f t="shared" si="30"/>
        <v>Error?</v>
      </c>
    </row>
    <row r="2030" spans="1:4" x14ac:dyDescent="0.2">
      <c r="A2030" s="5">
        <v>1969</v>
      </c>
      <c r="B2030" s="138">
        <f>'Cap Outlay Deprec 26'!F13</f>
        <v>694632</v>
      </c>
      <c r="C2030" s="2" t="s">
        <v>573</v>
      </c>
      <c r="D2030" s="2" t="str">
        <f t="shared" si="30"/>
        <v>Error?</v>
      </c>
    </row>
    <row r="2031" spans="1:4" x14ac:dyDescent="0.2">
      <c r="A2031" s="5">
        <v>1970</v>
      </c>
      <c r="B2031" s="138">
        <f>'Cap Outlay Deprec 26'!F16</f>
        <v>7362031</v>
      </c>
      <c r="C2031" s="2" t="s">
        <v>573</v>
      </c>
      <c r="D2031" s="2" t="str">
        <f t="shared" si="30"/>
        <v>Error?</v>
      </c>
    </row>
    <row r="2032" spans="1:4" x14ac:dyDescent="0.2">
      <c r="A2032" s="10">
        <v>1971</v>
      </c>
      <c r="D2032" s="2" t="str">
        <f t="shared" si="30"/>
        <v>OK</v>
      </c>
    </row>
    <row r="2033" spans="1:4" x14ac:dyDescent="0.2">
      <c r="A2033" s="5">
        <v>1972</v>
      </c>
      <c r="B2033" s="138">
        <f>'Cap Outlay Deprec 26'!H8</f>
        <v>1506141</v>
      </c>
      <c r="D2033" s="2" t="str">
        <f t="shared" si="30"/>
        <v>Error?</v>
      </c>
    </row>
    <row r="2034" spans="1:4" x14ac:dyDescent="0.2">
      <c r="A2034" s="5">
        <v>1973</v>
      </c>
      <c r="B2034" s="138">
        <f>'Cap Outlay Deprec 26'!H10</f>
        <v>1791270</v>
      </c>
      <c r="D2034" s="2" t="str">
        <f t="shared" si="30"/>
        <v>Error?</v>
      </c>
    </row>
    <row r="2035" spans="1:4" x14ac:dyDescent="0.2">
      <c r="A2035" s="5">
        <v>1974</v>
      </c>
      <c r="B2035" s="138">
        <f>'Cap Outlay Deprec 26'!H12</f>
        <v>936996</v>
      </c>
      <c r="D2035" s="2" t="str">
        <f t="shared" si="30"/>
        <v>Error?</v>
      </c>
    </row>
    <row r="2036" spans="1:4" x14ac:dyDescent="0.2">
      <c r="A2036" s="5">
        <v>1975</v>
      </c>
      <c r="B2036" s="138">
        <f>'Cap Outlay Deprec 26'!H13</f>
        <v>578097</v>
      </c>
      <c r="D2036" s="2" t="str">
        <f t="shared" si="30"/>
        <v>Error?</v>
      </c>
    </row>
    <row r="2037" spans="1:4" x14ac:dyDescent="0.2">
      <c r="A2037" s="5">
        <v>1976</v>
      </c>
      <c r="B2037" s="138">
        <f>'Cap Outlay Deprec 26'!H16</f>
        <v>4812504</v>
      </c>
      <c r="C2037" s="2" t="s">
        <v>573</v>
      </c>
      <c r="D2037" s="2" t="str">
        <f t="shared" si="30"/>
        <v>Error?</v>
      </c>
    </row>
    <row r="2038" spans="1:4" x14ac:dyDescent="0.2">
      <c r="A2038" s="10">
        <v>1977</v>
      </c>
      <c r="D2038" s="2" t="str">
        <f t="shared" si="30"/>
        <v>OK</v>
      </c>
    </row>
    <row r="2039" spans="1:4" x14ac:dyDescent="0.2">
      <c r="A2039" s="5">
        <v>1978</v>
      </c>
      <c r="B2039" s="138">
        <f>'Cap Outlay Deprec 26'!I8</f>
        <v>35102</v>
      </c>
      <c r="D2039" s="2" t="str">
        <f t="shared" si="30"/>
        <v>Error?</v>
      </c>
    </row>
    <row r="2040" spans="1:4" x14ac:dyDescent="0.2">
      <c r="A2040" s="5">
        <v>1979</v>
      </c>
      <c r="B2040" s="138">
        <f>'Cap Outlay Deprec 26'!I10</f>
        <v>117318</v>
      </c>
      <c r="D2040" s="2" t="str">
        <f t="shared" si="30"/>
        <v>Error?</v>
      </c>
    </row>
    <row r="2041" spans="1:4" x14ac:dyDescent="0.2">
      <c r="A2041" s="5">
        <v>1980</v>
      </c>
      <c r="B2041" s="138">
        <f>'Cap Outlay Deprec 26'!I12</f>
        <v>37244</v>
      </c>
      <c r="D2041" s="2" t="str">
        <f t="shared" si="30"/>
        <v>Error?</v>
      </c>
    </row>
    <row r="2042" spans="1:4" x14ac:dyDescent="0.2">
      <c r="A2042" s="5">
        <v>1981</v>
      </c>
      <c r="B2042" s="138">
        <f>'Cap Outlay Deprec 26'!I13</f>
        <v>37217</v>
      </c>
      <c r="D2042" s="2" t="str">
        <f t="shared" si="30"/>
        <v>Error?</v>
      </c>
    </row>
    <row r="2043" spans="1:4" x14ac:dyDescent="0.2">
      <c r="A2043" s="5">
        <v>1982</v>
      </c>
      <c r="B2043" s="138">
        <f>'Cap Outlay Deprec 26'!I16</f>
        <v>226881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1541243</v>
      </c>
      <c r="C2051" s="2" t="s">
        <v>573</v>
      </c>
      <c r="D2051" s="2" t="str">
        <f t="shared" si="31"/>
        <v>Error?</v>
      </c>
    </row>
    <row r="2052" spans="1:4" x14ac:dyDescent="0.2">
      <c r="A2052" s="5">
        <v>1991</v>
      </c>
      <c r="B2052" s="138">
        <f>'Cap Outlay Deprec 26'!K10</f>
        <v>1908588</v>
      </c>
      <c r="C2052" s="2" t="s">
        <v>573</v>
      </c>
      <c r="D2052" s="2" t="str">
        <f t="shared" si="31"/>
        <v>Error?</v>
      </c>
    </row>
    <row r="2053" spans="1:4" x14ac:dyDescent="0.2">
      <c r="A2053" s="5">
        <v>1992</v>
      </c>
      <c r="B2053" s="138">
        <f>'Cap Outlay Deprec 26'!K12</f>
        <v>974240</v>
      </c>
      <c r="C2053" s="2" t="s">
        <v>573</v>
      </c>
      <c r="D2053" s="2" t="str">
        <f t="shared" si="31"/>
        <v>Error?</v>
      </c>
    </row>
    <row r="2054" spans="1:4" x14ac:dyDescent="0.2">
      <c r="A2054" s="5">
        <v>1993</v>
      </c>
      <c r="B2054" s="138">
        <f>'Cap Outlay Deprec 26'!K13</f>
        <v>615314</v>
      </c>
      <c r="C2054" s="2" t="s">
        <v>573</v>
      </c>
      <c r="D2054" s="2" t="str">
        <f t="shared" si="31"/>
        <v>Error?</v>
      </c>
    </row>
    <row r="2055" spans="1:4" x14ac:dyDescent="0.2">
      <c r="A2055" s="5">
        <v>1994</v>
      </c>
      <c r="B2055" s="138">
        <f>'Cap Outlay Deprec 26'!K16</f>
        <v>5039385</v>
      </c>
      <c r="C2055" s="2" t="s">
        <v>573</v>
      </c>
      <c r="D2055" s="2" t="str">
        <f t="shared" si="31"/>
        <v>Error?</v>
      </c>
    </row>
    <row r="2056" spans="1:4" x14ac:dyDescent="0.2">
      <c r="A2056" s="5">
        <v>1995</v>
      </c>
      <c r="B2056" s="138">
        <f>'Cap Outlay Deprec 26'!L5</f>
        <v>14449</v>
      </c>
      <c r="C2056" s="2" t="s">
        <v>573</v>
      </c>
      <c r="D2056" s="2" t="str">
        <f t="shared" si="31"/>
        <v>Error?</v>
      </c>
    </row>
    <row r="2057" spans="1:4" x14ac:dyDescent="0.2">
      <c r="A2057" s="5">
        <v>1996</v>
      </c>
      <c r="B2057" s="138">
        <f>'Cap Outlay Deprec 26'!L8</f>
        <v>700091</v>
      </c>
      <c r="C2057" s="2" t="s">
        <v>573</v>
      </c>
      <c r="D2057" s="2" t="str">
        <f t="shared" si="31"/>
        <v>Error?</v>
      </c>
    </row>
    <row r="2058" spans="1:4" x14ac:dyDescent="0.2">
      <c r="A2058" s="5">
        <v>1997</v>
      </c>
      <c r="B2058" s="138">
        <f>'Cap Outlay Deprec 26'!L10</f>
        <v>1322785</v>
      </c>
      <c r="C2058" s="2" t="s">
        <v>573</v>
      </c>
      <c r="D2058" s="2" t="str">
        <f t="shared" si="31"/>
        <v>Error?</v>
      </c>
    </row>
    <row r="2059" spans="1:4" x14ac:dyDescent="0.2">
      <c r="A2059" s="5">
        <v>1998</v>
      </c>
      <c r="B2059" s="138">
        <f>'Cap Outlay Deprec 26'!L12</f>
        <v>206003</v>
      </c>
      <c r="C2059" s="2" t="s">
        <v>573</v>
      </c>
      <c r="D2059" s="2" t="str">
        <f t="shared" si="31"/>
        <v>Error?</v>
      </c>
    </row>
    <row r="2060" spans="1:4" x14ac:dyDescent="0.2">
      <c r="A2060" s="5">
        <v>1999</v>
      </c>
      <c r="B2060" s="138">
        <f>'Cap Outlay Deprec 26'!L13</f>
        <v>79318</v>
      </c>
      <c r="C2060" s="2" t="s">
        <v>573</v>
      </c>
      <c r="D2060" s="2" t="str">
        <f t="shared" si="31"/>
        <v>Error?</v>
      </c>
    </row>
    <row r="2061" spans="1:4" x14ac:dyDescent="0.2">
      <c r="A2061" s="5">
        <v>2000</v>
      </c>
      <c r="B2061" s="138">
        <f>'Cap Outlay Deprec 26'!L16</f>
        <v>2322646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58746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58746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27241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30000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113497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50786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1124849</v>
      </c>
      <c r="C2551" s="2" t="s">
        <v>573</v>
      </c>
      <c r="D2551" s="2" t="str">
        <f t="shared" si="38"/>
        <v>Error?</v>
      </c>
    </row>
    <row r="2552" spans="1:4" x14ac:dyDescent="0.2">
      <c r="A2552" s="10">
        <v>2491</v>
      </c>
      <c r="D2552" s="2" t="str">
        <f t="shared" si="38"/>
        <v>OK</v>
      </c>
    </row>
    <row r="2553" spans="1:4" x14ac:dyDescent="0.2">
      <c r="A2553" s="5">
        <v>2492</v>
      </c>
      <c r="B2553" s="138">
        <f>'Acct Summary 7-8'!C6</f>
        <v>185898</v>
      </c>
      <c r="C2553" s="2" t="s">
        <v>573</v>
      </c>
      <c r="D2553" s="2" t="str">
        <f t="shared" si="38"/>
        <v>Error?</v>
      </c>
    </row>
    <row r="2554" spans="1:4" x14ac:dyDescent="0.2">
      <c r="A2554" s="5">
        <v>2493</v>
      </c>
      <c r="B2554" s="138">
        <f>'Acct Summary 7-8'!C7</f>
        <v>118283</v>
      </c>
      <c r="C2554" s="2" t="s">
        <v>573</v>
      </c>
      <c r="D2554" s="2" t="str">
        <f t="shared" si="38"/>
        <v>Error?</v>
      </c>
    </row>
    <row r="2555" spans="1:4" x14ac:dyDescent="0.2">
      <c r="A2555" s="5">
        <v>2494</v>
      </c>
      <c r="B2555" s="138">
        <f>'Acct Summary 7-8'!C8</f>
        <v>1429030</v>
      </c>
      <c r="C2555" s="2" t="s">
        <v>573</v>
      </c>
      <c r="D2555" s="2" t="str">
        <f t="shared" si="38"/>
        <v>Error?</v>
      </c>
    </row>
    <row r="2556" spans="1:4" x14ac:dyDescent="0.2">
      <c r="A2556" s="5">
        <v>2495</v>
      </c>
      <c r="B2556" s="138">
        <f>'Acct Summary 7-8'!C12</f>
        <v>1326916</v>
      </c>
      <c r="C2556" s="2" t="s">
        <v>573</v>
      </c>
      <c r="D2556" s="2" t="str">
        <f t="shared" si="38"/>
        <v>Error?</v>
      </c>
    </row>
    <row r="2557" spans="1:4" x14ac:dyDescent="0.2">
      <c r="A2557" s="5">
        <v>2496</v>
      </c>
      <c r="B2557" s="138">
        <f>'Acct Summary 7-8'!C13</f>
        <v>717873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58746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2103535</v>
      </c>
      <c r="C2561" s="2" t="s">
        <v>573</v>
      </c>
      <c r="D2561" s="2" t="str">
        <f t="shared" si="39"/>
        <v>Error?</v>
      </c>
    </row>
    <row r="2562" spans="1:4" x14ac:dyDescent="0.2">
      <c r="A2562" s="5">
        <v>2501</v>
      </c>
      <c r="B2562" s="138">
        <f>'Acct Summary 7-8'!C20</f>
        <v>-674505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239369</v>
      </c>
      <c r="C2564" s="2" t="s">
        <v>573</v>
      </c>
      <c r="D2564" s="2" t="str">
        <f t="shared" si="39"/>
        <v>Error?</v>
      </c>
    </row>
    <row r="2565" spans="1:4" x14ac:dyDescent="0.2">
      <c r="A2565" s="10">
        <v>2504</v>
      </c>
      <c r="D2565" s="2" t="str">
        <f t="shared" si="39"/>
        <v>OK</v>
      </c>
    </row>
    <row r="2566" spans="1:4" x14ac:dyDescent="0.2">
      <c r="A2566" s="5">
        <v>2505</v>
      </c>
      <c r="B2566" s="138">
        <f>'Acct Summary 7-8'!D6</f>
        <v>30000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269369</v>
      </c>
      <c r="C2568" s="2" t="s">
        <v>573</v>
      </c>
      <c r="D2568" s="2" t="str">
        <f t="shared" si="39"/>
        <v>Error?</v>
      </c>
    </row>
    <row r="2569" spans="1:4" x14ac:dyDescent="0.2">
      <c r="A2569" s="5">
        <v>2508</v>
      </c>
      <c r="B2569" s="138">
        <f>'Acct Summary 7-8'!D13</f>
        <v>367983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367983</v>
      </c>
      <c r="C2573" s="2" t="s">
        <v>573</v>
      </c>
      <c r="D2573" s="2" t="str">
        <f t="shared" si="39"/>
        <v>Error?</v>
      </c>
    </row>
    <row r="2574" spans="1:4" x14ac:dyDescent="0.2">
      <c r="A2574" s="5">
        <v>2513</v>
      </c>
      <c r="B2574" s="138">
        <f>'Acct Summary 7-8'!D20</f>
        <v>-98614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73172</v>
      </c>
      <c r="C2591" s="2" t="s">
        <v>573</v>
      </c>
      <c r="D2591" s="2" t="str">
        <f t="shared" si="39"/>
        <v>Error?</v>
      </c>
    </row>
    <row r="2592" spans="1:4" x14ac:dyDescent="0.2">
      <c r="A2592" s="10">
        <v>2531</v>
      </c>
      <c r="D2592" s="2" t="str">
        <f t="shared" si="39"/>
        <v>OK</v>
      </c>
    </row>
    <row r="2593" spans="1:4" x14ac:dyDescent="0.2">
      <c r="A2593" s="5">
        <v>2532</v>
      </c>
      <c r="B2593" s="138">
        <f>'Acct Summary 7-8'!F6</f>
        <v>140079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213251</v>
      </c>
      <c r="C2595" s="2" t="s">
        <v>573</v>
      </c>
      <c r="D2595" s="2" t="str">
        <f t="shared" si="39"/>
        <v>Error?</v>
      </c>
    </row>
    <row r="2596" spans="1:4" x14ac:dyDescent="0.2">
      <c r="A2596" s="5">
        <v>2535</v>
      </c>
      <c r="B2596" s="138">
        <f>'Acct Summary 7-8'!F13</f>
        <v>208078</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208078</v>
      </c>
      <c r="C2600" s="2" t="s">
        <v>573</v>
      </c>
      <c r="D2600" s="2" t="str">
        <f t="shared" si="39"/>
        <v>Error?</v>
      </c>
    </row>
    <row r="2601" spans="1:4" x14ac:dyDescent="0.2">
      <c r="A2601" s="5">
        <v>2540</v>
      </c>
      <c r="B2601" s="138">
        <f>'Acct Summary 7-8'!F20</f>
        <v>5173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66263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66263</v>
      </c>
      <c r="C2606" s="2" t="s">
        <v>573</v>
      </c>
      <c r="D2606" s="2" t="str">
        <f t="shared" si="39"/>
        <v>Error?</v>
      </c>
    </row>
    <row r="2607" spans="1:4" x14ac:dyDescent="0.2">
      <c r="A2607" s="5">
        <v>2546</v>
      </c>
      <c r="B2607" s="138">
        <f>'Acct Summary 7-8'!G12</f>
        <v>69740</v>
      </c>
      <c r="C2607" s="2" t="s">
        <v>573</v>
      </c>
      <c r="D2607" s="2" t="str">
        <f t="shared" si="39"/>
        <v>Error?</v>
      </c>
    </row>
    <row r="2608" spans="1:4" x14ac:dyDescent="0.2">
      <c r="A2608" s="5">
        <v>2547</v>
      </c>
      <c r="B2608" s="138">
        <f>'Acct Summary 7-8'!G13</f>
        <v>31288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101028</v>
      </c>
      <c r="C2612" s="2" t="s">
        <v>573</v>
      </c>
      <c r="D2612" s="2" t="str">
        <f t="shared" si="39"/>
        <v>Error?</v>
      </c>
    </row>
    <row r="2613" spans="1:4" x14ac:dyDescent="0.2">
      <c r="A2613" s="5">
        <v>2552</v>
      </c>
      <c r="B2613" s="138">
        <f>'Acct Summary 7-8'!G20</f>
        <v>-34765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215169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215169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275317</v>
      </c>
      <c r="C2634" s="2" t="s">
        <v>573</v>
      </c>
      <c r="D2634" s="2" t="str">
        <f t="shared" si="40"/>
        <v>Error?</v>
      </c>
    </row>
    <row r="2635" spans="1:4" x14ac:dyDescent="0.2">
      <c r="A2635" s="5">
        <v>2574</v>
      </c>
      <c r="B2635" s="138">
        <f>'Acct Summary 7-8'!E17</f>
        <v>275317</v>
      </c>
      <c r="C2635" s="2" t="s">
        <v>573</v>
      </c>
      <c r="D2635" s="2" t="str">
        <f t="shared" si="40"/>
        <v>Error?</v>
      </c>
    </row>
    <row r="2636" spans="1:4" x14ac:dyDescent="0.2">
      <c r="A2636" s="5">
        <v>2575</v>
      </c>
      <c r="B2636" s="138">
        <f>'Acct Summary 7-8'!E20</f>
        <v>-60148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107466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107466</v>
      </c>
      <c r="C2658" s="2" t="s">
        <v>573</v>
      </c>
      <c r="D2658" s="2" t="str">
        <f t="shared" si="40"/>
        <v>Error?</v>
      </c>
    </row>
    <row r="2659" spans="1:4" x14ac:dyDescent="0.2">
      <c r="A2659" s="5">
        <v>2598</v>
      </c>
      <c r="B2659" s="138">
        <f>'Acct Summary 7-8'!H13</f>
        <v>115930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115930</v>
      </c>
      <c r="C2661" s="2" t="s">
        <v>573</v>
      </c>
      <c r="D2661" s="2" t="str">
        <f t="shared" si="40"/>
        <v>Error?</v>
      </c>
    </row>
    <row r="2662" spans="1:4" x14ac:dyDescent="0.2">
      <c r="A2662" s="5">
        <v>2601</v>
      </c>
      <c r="B2662" s="138">
        <f>'Acct Summary 7-8'!H20</f>
        <v>-8464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1264000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1298934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10972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1298934</v>
      </c>
      <c r="D2912" s="2" t="str">
        <f t="shared" si="44"/>
        <v>Error?</v>
      </c>
    </row>
    <row r="2913" spans="1:4" x14ac:dyDescent="0.2">
      <c r="A2913" s="5">
        <v>2852</v>
      </c>
      <c r="B2913" s="138">
        <f>'Assets-Liab 5-6'!I41</f>
        <v>1298934</v>
      </c>
      <c r="C2913" s="2" t="s">
        <v>573</v>
      </c>
      <c r="D2913" s="2" t="str">
        <f t="shared" si="44"/>
        <v>Error?</v>
      </c>
    </row>
    <row r="2914" spans="1:4" x14ac:dyDescent="0.2">
      <c r="A2914" s="5">
        <v>2853</v>
      </c>
      <c r="B2914" s="138">
        <f>'Assets-Liab 5-6'!L33</f>
        <v>10972</v>
      </c>
      <c r="D2914" s="2" t="str">
        <f t="shared" si="44"/>
        <v>Error?</v>
      </c>
    </row>
    <row r="2915" spans="1:4" x14ac:dyDescent="0.2">
      <c r="A2915" s="10">
        <v>2854</v>
      </c>
      <c r="D2915" s="2" t="str">
        <f t="shared" si="44"/>
        <v>OK</v>
      </c>
    </row>
    <row r="2916" spans="1:4" x14ac:dyDescent="0.2">
      <c r="A2916" s="5">
        <v>2855</v>
      </c>
      <c r="B2916" s="138">
        <f>'Assets-Liab 5-6'!L34</f>
        <v>10972</v>
      </c>
      <c r="C2916" s="2" t="s">
        <v>573</v>
      </c>
      <c r="D2916" s="2" t="str">
        <f t="shared" si="44"/>
        <v>Error?</v>
      </c>
    </row>
    <row r="2917" spans="1:4" x14ac:dyDescent="0.2">
      <c r="A2917" s="5">
        <v>2856</v>
      </c>
      <c r="B2917" s="138">
        <f>'Assets-Liab 5-6'!L41</f>
        <v>10972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58746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58746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40144</v>
      </c>
      <c r="D3055" s="2" t="str">
        <f t="shared" si="46"/>
        <v>Error?</v>
      </c>
    </row>
    <row r="3056" spans="1:4" x14ac:dyDescent="0.2">
      <c r="A3056" s="5">
        <v>2995</v>
      </c>
      <c r="B3056" s="138">
        <f>'Expenditures 15-22'!D10</f>
        <v>4318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58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44520</v>
      </c>
      <c r="C3062" s="2" t="s">
        <v>573</v>
      </c>
      <c r="D3062" s="2" t="str">
        <f t="shared" si="46"/>
        <v>Error?</v>
      </c>
    </row>
    <row r="3063" spans="1:4" x14ac:dyDescent="0.2">
      <c r="A3063" s="10">
        <v>3002</v>
      </c>
      <c r="D3063" s="2" t="str">
        <f t="shared" si="46"/>
        <v>OK</v>
      </c>
    </row>
    <row r="3064" spans="1:4" x14ac:dyDescent="0.2">
      <c r="A3064" s="5">
        <v>3003</v>
      </c>
      <c r="B3064" s="138">
        <f>'Expenditures 15-22'!D219</f>
        <v>3063</v>
      </c>
      <c r="D3064" s="2" t="str">
        <f t="shared" si="46"/>
        <v>Error?</v>
      </c>
    </row>
    <row r="3065" spans="1:4" x14ac:dyDescent="0.2">
      <c r="A3065" s="5">
        <v>3004</v>
      </c>
      <c r="B3065" s="138">
        <f>'Expenditures 15-22'!K219</f>
        <v>3063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51251</v>
      </c>
      <c r="C3225" s="2" t="s">
        <v>573</v>
      </c>
      <c r="D3225" s="2" t="str">
        <f t="shared" si="49"/>
        <v>Error?</v>
      </c>
    </row>
    <row r="3226" spans="1:4" x14ac:dyDescent="0.2">
      <c r="A3226" s="5">
        <v>3165</v>
      </c>
      <c r="B3226" s="138">
        <f>'Acct Summary 7-8'!I8</f>
        <v>51251</v>
      </c>
      <c r="C3226" s="2" t="s">
        <v>573</v>
      </c>
      <c r="D3226" s="2" t="str">
        <f t="shared" si="49"/>
        <v>Error?</v>
      </c>
    </row>
    <row r="3227" spans="1:4" x14ac:dyDescent="0.2">
      <c r="A3227" s="5">
        <v>3166</v>
      </c>
      <c r="B3227" s="138">
        <f>'Acct Summary 7-8'!I20</f>
        <v>51251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27241</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27241</v>
      </c>
      <c r="C3232" s="2" t="s">
        <v>573</v>
      </c>
      <c r="D3232" s="2" t="str">
        <f t="shared" si="49"/>
        <v>Error?</v>
      </c>
    </row>
    <row r="3233" spans="1:4" x14ac:dyDescent="0.2">
      <c r="A3233" s="5">
        <v>3172</v>
      </c>
      <c r="B3233" s="138">
        <f>'Acct Summary 7-8'!C78</f>
        <v>-647264</v>
      </c>
      <c r="C3233" s="2" t="s">
        <v>573</v>
      </c>
      <c r="D3233" s="2" t="str">
        <f t="shared" si="49"/>
        <v>Error?</v>
      </c>
    </row>
    <row r="3234" spans="1:4" x14ac:dyDescent="0.2">
      <c r="A3234" s="5">
        <v>3173</v>
      </c>
      <c r="B3234" s="138">
        <f>'Acct Summary 7-8'!D43</f>
        <v>32058</v>
      </c>
      <c r="D3234" s="2" t="str">
        <f t="shared" si="49"/>
        <v>Error?</v>
      </c>
    </row>
    <row r="3235" spans="1:4" x14ac:dyDescent="0.2">
      <c r="A3235" s="5">
        <v>3174</v>
      </c>
      <c r="B3235" s="138">
        <f>'Acct Summary 7-8'!D44</f>
        <v>32058</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32058</v>
      </c>
      <c r="C3238" s="2" t="s">
        <v>573</v>
      </c>
      <c r="D3238" s="2" t="str">
        <f t="shared" si="49"/>
        <v>Error?</v>
      </c>
    </row>
    <row r="3239" spans="1:4" x14ac:dyDescent="0.2">
      <c r="A3239" s="5">
        <v>3178</v>
      </c>
      <c r="B3239" s="138">
        <f>'Acct Summary 7-8'!D78</f>
        <v>-66556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5173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-34765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-60148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-8464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27241</v>
      </c>
      <c r="C3318" s="2" t="s">
        <v>573</v>
      </c>
      <c r="D3318" s="2" t="str">
        <f t="shared" si="50"/>
        <v>Error?</v>
      </c>
    </row>
    <row r="3319" spans="1:4" x14ac:dyDescent="0.2">
      <c r="A3319" s="5">
        <v>3258</v>
      </c>
      <c r="B3319" s="138">
        <f>'Acct Summary 7-8'!I77</f>
        <v>-27241</v>
      </c>
      <c r="C3319" s="2" t="s">
        <v>573</v>
      </c>
      <c r="D3319" s="2" t="str">
        <f t="shared" si="50"/>
        <v>Error?</v>
      </c>
    </row>
    <row r="3320" spans="1:4" x14ac:dyDescent="0.2">
      <c r="A3320" s="5">
        <v>3259</v>
      </c>
      <c r="B3320" s="138">
        <f>'Acct Summary 7-8'!I78</f>
        <v>24010</v>
      </c>
      <c r="C3320" s="2" t="s">
        <v>573</v>
      </c>
      <c r="D3320" s="2" t="str">
        <f t="shared" si="50"/>
        <v>Error?</v>
      </c>
    </row>
    <row r="3321" spans="1:4" x14ac:dyDescent="0.2">
      <c r="A3321" s="5">
        <v>3260</v>
      </c>
      <c r="B3321" s="138">
        <f>'Acct Summary 7-8'!I79</f>
        <v>1274924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1298934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90638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10280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101636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65291</v>
      </c>
      <c r="D3387" s="2" t="str">
        <f t="shared" si="51"/>
        <v>Error?</v>
      </c>
    </row>
    <row r="3388" spans="1:4" x14ac:dyDescent="0.2">
      <c r="A3388" s="5">
        <v>3327</v>
      </c>
      <c r="B3388" s="138">
        <f>'Expenditures 15-22'!D217</f>
        <v>1296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65291</v>
      </c>
      <c r="C3390" s="2" t="s">
        <v>573</v>
      </c>
      <c r="D3390" s="2" t="str">
        <f t="shared" si="51"/>
        <v>Error?</v>
      </c>
    </row>
    <row r="3391" spans="1:4" x14ac:dyDescent="0.2">
      <c r="A3391" s="5">
        <v>3330</v>
      </c>
      <c r="B3391" s="138">
        <f>'Expenditures 15-22'!K217</f>
        <v>1296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366439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95071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34060</v>
      </c>
      <c r="D3417" s="2" t="str">
        <f t="shared" si="52"/>
        <v>Error?</v>
      </c>
    </row>
    <row r="3418" spans="1:4" x14ac:dyDescent="0.2">
      <c r="A3418" s="10">
        <v>3357</v>
      </c>
      <c r="D3418" s="2" t="str">
        <f t="shared" si="52"/>
        <v>OK</v>
      </c>
    </row>
    <row r="3419" spans="1:4" x14ac:dyDescent="0.2">
      <c r="A3419" s="5">
        <v>3358</v>
      </c>
      <c r="B3419" s="138">
        <f>'Assets-Liab 5-6'!F4</f>
        <v>28306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25497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42416</v>
      </c>
      <c r="D3425" s="2" t="str">
        <f t="shared" si="52"/>
        <v>Error?</v>
      </c>
    </row>
    <row r="3426" spans="1:4" x14ac:dyDescent="0.2">
      <c r="A3426" s="10">
        <v>3365</v>
      </c>
      <c r="D3426" s="2" t="str">
        <f t="shared" si="52"/>
        <v>OK</v>
      </c>
    </row>
    <row r="3427" spans="1:4" x14ac:dyDescent="0.2">
      <c r="A3427" s="5">
        <v>3366</v>
      </c>
      <c r="B3427" s="138">
        <f>'Assets-Liab 5-6'!I4</f>
        <v>34934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31022</v>
      </c>
      <c r="C3446" s="2" t="s">
        <v>573</v>
      </c>
      <c r="D3446" s="2" t="str">
        <f t="shared" si="52"/>
        <v>Error?</v>
      </c>
    </row>
    <row r="3447" spans="1:4" x14ac:dyDescent="0.2">
      <c r="A3447" s="5">
        <v>3386</v>
      </c>
      <c r="B3447" s="138">
        <f>'Tax Sched 23'!D16</f>
        <v>22303.5</v>
      </c>
      <c r="C3447" s="2" t="s">
        <v>573</v>
      </c>
      <c r="D3447" s="2" t="str">
        <f t="shared" si="52"/>
        <v>Error?</v>
      </c>
    </row>
    <row r="3448" spans="1:4" x14ac:dyDescent="0.2">
      <c r="A3448" s="5">
        <v>3387</v>
      </c>
      <c r="B3448" s="138">
        <f>'Tax Sched 23'!C16</f>
        <v>8718.5</v>
      </c>
      <c r="D3448" s="2" t="str">
        <f t="shared" si="52"/>
        <v>Error?</v>
      </c>
    </row>
    <row r="3449" spans="1:4" x14ac:dyDescent="0.2">
      <c r="A3449" s="5">
        <v>3388</v>
      </c>
      <c r="B3449" s="138">
        <f>'Tax Sched 23'!F16</f>
        <v>41283.5</v>
      </c>
      <c r="C3449" s="2" t="s">
        <v>573</v>
      </c>
      <c r="D3449" s="2" t="str">
        <f t="shared" si="52"/>
        <v>Error?</v>
      </c>
    </row>
    <row r="3450" spans="1:4" x14ac:dyDescent="0.2">
      <c r="A3450" s="5">
        <v>3389</v>
      </c>
      <c r="B3450" s="138">
        <f>'Tax Sched 23'!E16</f>
        <v>50002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219</v>
      </c>
      <c r="D3567" s="2" t="str">
        <f t="shared" si="54"/>
        <v>Error?</v>
      </c>
    </row>
    <row r="3568" spans="1:4" x14ac:dyDescent="0.2">
      <c r="A3568" s="5">
        <v>3507</v>
      </c>
      <c r="B3568" s="138">
        <f>'Assets-Liab 5-6'!K41</f>
        <v>219</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219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13016</v>
      </c>
      <c r="C3725" s="2" t="s">
        <v>573</v>
      </c>
      <c r="D3725" s="2" t="str">
        <f t="shared" si="57"/>
        <v>Error?</v>
      </c>
    </row>
    <row r="3726" spans="1:4" x14ac:dyDescent="0.2">
      <c r="A3726" s="5">
        <v>3665</v>
      </c>
      <c r="B3726" s="138">
        <f>'Tax Sched 23'!D13</f>
        <v>10737.45</v>
      </c>
      <c r="C3726" s="2" t="s">
        <v>573</v>
      </c>
      <c r="D3726" s="2" t="str">
        <f t="shared" si="57"/>
        <v>Error?</v>
      </c>
    </row>
    <row r="3727" spans="1:4" x14ac:dyDescent="0.2">
      <c r="A3727" s="5">
        <v>3666</v>
      </c>
      <c r="B3727" s="138">
        <f>'Tax Sched 23'!C13</f>
        <v>2278.5500000000002</v>
      </c>
      <c r="D3727" s="2" t="str">
        <f t="shared" si="57"/>
        <v>Error?</v>
      </c>
    </row>
    <row r="3728" spans="1:4" x14ac:dyDescent="0.2">
      <c r="A3728" s="5">
        <v>3667</v>
      </c>
      <c r="B3728" s="138">
        <f>'Tax Sched 23'!F13</f>
        <v>10790.45</v>
      </c>
      <c r="C3728" s="2" t="s">
        <v>573</v>
      </c>
      <c r="D3728" s="2" t="str">
        <f t="shared" si="57"/>
        <v>Error?</v>
      </c>
    </row>
    <row r="3729" spans="1:4" x14ac:dyDescent="0.2">
      <c r="A3729" s="5">
        <v>3668</v>
      </c>
      <c r="B3729" s="138">
        <f>'Tax Sched 23'!E13</f>
        <v>13069</v>
      </c>
      <c r="D3729" s="2" t="str">
        <f t="shared" si="57"/>
        <v>Error?</v>
      </c>
    </row>
    <row r="3730" spans="1:4" x14ac:dyDescent="0.2">
      <c r="A3730" s="5">
        <v>3669</v>
      </c>
      <c r="B3730" s="138">
        <f>'ICR Computation 30'!E10</f>
        <v>44709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914534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2343564</v>
      </c>
      <c r="C4122" s="2" t="s">
        <v>573</v>
      </c>
      <c r="D4122" s="2" t="str">
        <f t="shared" si="63"/>
        <v>Error?</v>
      </c>
    </row>
    <row r="4123" spans="1:4" x14ac:dyDescent="0.2">
      <c r="A4123" s="5">
        <v>4062</v>
      </c>
      <c r="B4123" s="138">
        <f>'Acct Summary 7-8'!D10</f>
        <v>269369</v>
      </c>
      <c r="C4123" s="2" t="s">
        <v>573</v>
      </c>
      <c r="D4123" s="2" t="str">
        <f t="shared" si="63"/>
        <v>Error?</v>
      </c>
    </row>
    <row r="4124" spans="1:4" x14ac:dyDescent="0.2">
      <c r="A4124" s="5">
        <v>4063</v>
      </c>
      <c r="B4124" s="138">
        <f>'Acct Summary 7-8'!E10</f>
        <v>215169</v>
      </c>
      <c r="C4124" s="2" t="s">
        <v>573</v>
      </c>
      <c r="D4124" s="2" t="str">
        <f t="shared" si="63"/>
        <v>Error?</v>
      </c>
    </row>
    <row r="4125" spans="1:4" x14ac:dyDescent="0.2">
      <c r="A4125" s="5">
        <v>4064</v>
      </c>
      <c r="B4125" s="138">
        <f>'Acct Summary 7-8'!F10</f>
        <v>213251</v>
      </c>
      <c r="C4125" s="2" t="s">
        <v>573</v>
      </c>
      <c r="D4125" s="2" t="str">
        <f t="shared" si="63"/>
        <v>Error?</v>
      </c>
    </row>
    <row r="4126" spans="1:4" x14ac:dyDescent="0.2">
      <c r="A4126" s="5">
        <v>4065</v>
      </c>
      <c r="B4126" s="138">
        <f>'Acct Summary 7-8'!G10</f>
        <v>66263</v>
      </c>
      <c r="C4126" s="2" t="s">
        <v>573</v>
      </c>
      <c r="D4126" s="2" t="str">
        <f t="shared" si="63"/>
        <v>Error?</v>
      </c>
    </row>
    <row r="4127" spans="1:4" x14ac:dyDescent="0.2">
      <c r="A4127" s="5">
        <v>4066</v>
      </c>
      <c r="B4127" s="138">
        <f>'Acct Summary 7-8'!H10</f>
        <v>107466</v>
      </c>
      <c r="C4127" s="2" t="s">
        <v>573</v>
      </c>
      <c r="D4127" s="2" t="str">
        <f t="shared" si="63"/>
        <v>Error?</v>
      </c>
    </row>
    <row r="4128" spans="1:4" x14ac:dyDescent="0.2">
      <c r="A4128" s="5">
        <v>4067</v>
      </c>
      <c r="B4128" s="138">
        <f>'Acct Summary 7-8'!I10</f>
        <v>51251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914534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3018069</v>
      </c>
      <c r="C4136" s="2" t="s">
        <v>573</v>
      </c>
      <c r="D4136" s="2" t="str">
        <f t="shared" si="63"/>
        <v>Error?</v>
      </c>
    </row>
    <row r="4137" spans="1:4" x14ac:dyDescent="0.2">
      <c r="A4137" s="5">
        <v>4076</v>
      </c>
      <c r="B4137" s="138">
        <f>'Acct Summary 7-8'!D19</f>
        <v>367983</v>
      </c>
      <c r="C4137" s="2" t="s">
        <v>573</v>
      </c>
      <c r="D4137" s="2" t="str">
        <f t="shared" si="63"/>
        <v>Error?</v>
      </c>
    </row>
    <row r="4138" spans="1:4" x14ac:dyDescent="0.2">
      <c r="A4138" s="5">
        <v>4077</v>
      </c>
      <c r="B4138" s="138">
        <f>'Acct Summary 7-8'!E19</f>
        <v>275317</v>
      </c>
      <c r="C4138" s="2" t="s">
        <v>573</v>
      </c>
      <c r="D4138" s="2" t="str">
        <f t="shared" si="63"/>
        <v>Error?</v>
      </c>
    </row>
    <row r="4139" spans="1:4" x14ac:dyDescent="0.2">
      <c r="A4139" s="5">
        <v>4078</v>
      </c>
      <c r="B4139" s="138">
        <f>'Acct Summary 7-8'!F19</f>
        <v>208078</v>
      </c>
      <c r="C4139" s="2" t="s">
        <v>573</v>
      </c>
      <c r="D4139" s="2" t="str">
        <f t="shared" si="63"/>
        <v>Error?</v>
      </c>
    </row>
    <row r="4140" spans="1:4" x14ac:dyDescent="0.2">
      <c r="A4140" s="5">
        <v>4079</v>
      </c>
      <c r="B4140" s="138">
        <f>'Acct Summary 7-8'!G19</f>
        <v>101028</v>
      </c>
      <c r="C4140" s="2" t="s">
        <v>573</v>
      </c>
      <c r="D4140" s="2" t="str">
        <f t="shared" si="63"/>
        <v>Error?</v>
      </c>
    </row>
    <row r="4141" spans="1:4" x14ac:dyDescent="0.2">
      <c r="A4141" s="5">
        <v>4080</v>
      </c>
      <c r="B4141" s="138">
        <f>'Acct Summary 7-8'!H19</f>
        <v>115930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1015000</v>
      </c>
      <c r="C4171" s="2" t="s">
        <v>573</v>
      </c>
      <c r="D4171" s="2" t="str">
        <f t="shared" si="64"/>
        <v>Error?</v>
      </c>
    </row>
    <row r="4172" spans="1:4" x14ac:dyDescent="0.2">
      <c r="A4172" s="5">
        <v>4111</v>
      </c>
      <c r="B4172" s="138">
        <f>'Short-Term Long-Term Debt 24'!J49</f>
        <v>870940</v>
      </c>
      <c r="C4172" s="2" t="s">
        <v>573</v>
      </c>
      <c r="D4172" s="2" t="str">
        <f t="shared" si="64"/>
        <v>Error?</v>
      </c>
    </row>
    <row r="4173" spans="1:4" x14ac:dyDescent="0.2">
      <c r="A4173" s="5">
        <v>4112</v>
      </c>
      <c r="B4173" s="138">
        <f>'Short-Term Long-Term Debt 24'!H49</f>
        <v>248000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1919.9999999999998</v>
      </c>
      <c r="C4265" s="2" t="s">
        <v>573</v>
      </c>
      <c r="D4265" s="2" t="str">
        <f t="shared" si="65"/>
        <v>Error?</v>
      </c>
      <c r="E4265" s="128"/>
    </row>
    <row r="4266" spans="1:5" x14ac:dyDescent="0.2">
      <c r="A4266" s="12">
        <v>4205</v>
      </c>
      <c r="B4266" s="138">
        <f>('FP Info 3'!F10)*100000</f>
        <v>449.99999999999994</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2490</v>
      </c>
      <c r="C4268" s="2" t="s">
        <v>573</v>
      </c>
      <c r="D4268" s="2" t="str">
        <f t="shared" si="65"/>
        <v>Error?</v>
      </c>
    </row>
    <row r="4269" spans="1:5" x14ac:dyDescent="0.2">
      <c r="A4269" s="12">
        <v>4208</v>
      </c>
      <c r="B4269" s="138">
        <f>'FP Info 3'!J16</f>
        <v>3278750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3280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17255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30000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34518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81171865</v>
      </c>
      <c r="D4995" s="2" t="str">
        <f t="shared" si="77"/>
        <v>Error?</v>
      </c>
    </row>
    <row r="4996" spans="1:4" x14ac:dyDescent="0.2">
      <c r="A4996" s="12">
        <v>4935</v>
      </c>
      <c r="B4996" s="138">
        <f>'FP Info 3'!H31</f>
        <v>5600858.6850000005</v>
      </c>
      <c r="D4996" s="2" t="str">
        <f t="shared" si="77"/>
        <v>Error?</v>
      </c>
    </row>
    <row r="4997" spans="1:4" x14ac:dyDescent="0.2">
      <c r="A4997" s="12">
        <v>4936</v>
      </c>
      <c r="B4997" s="138">
        <f>'FP Info 3'!H37</f>
        <v>1015000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13016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922052</v>
      </c>
      <c r="D5061" s="2" t="str">
        <f t="shared" si="78"/>
        <v>Error?</v>
      </c>
    </row>
    <row r="5062" spans="1:4" x14ac:dyDescent="0.2">
      <c r="A5062" s="10">
        <v>5001</v>
      </c>
      <c r="D5062" s="2" t="str">
        <f t="shared" si="78"/>
        <v>OK</v>
      </c>
    </row>
    <row r="5063" spans="1:4" x14ac:dyDescent="0.2">
      <c r="A5063" s="5">
        <v>5002</v>
      </c>
      <c r="B5063" s="138">
        <f>'Revenues 9-14'!C7</f>
        <v>9641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944709</v>
      </c>
      <c r="C5066" s="2" t="s">
        <v>573</v>
      </c>
      <c r="D5066" s="2" t="str">
        <f t="shared" si="78"/>
        <v>Error?</v>
      </c>
    </row>
    <row r="5067" spans="1:4" x14ac:dyDescent="0.2">
      <c r="A5067" s="5">
        <v>5006</v>
      </c>
      <c r="B5067" s="138">
        <f>'Revenues 9-14'!C14</f>
        <v>127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50144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50271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18986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18986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2567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62766</v>
      </c>
      <c r="C5096" s="2" t="s">
        <v>573</v>
      </c>
      <c r="D5096" s="2" t="str">
        <f t="shared" si="78"/>
        <v>Error?</v>
      </c>
    </row>
    <row r="5097" spans="1:4" x14ac:dyDescent="0.2">
      <c r="A5097" s="5">
        <v>5036</v>
      </c>
      <c r="B5097" s="138">
        <f>'Revenues 9-14'!C77</f>
        <v>14782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14782</v>
      </c>
      <c r="C5102" s="2" t="s">
        <v>573</v>
      </c>
      <c r="D5102" s="2" t="str">
        <f t="shared" si="78"/>
        <v>Error?</v>
      </c>
    </row>
    <row r="5103" spans="1:4" x14ac:dyDescent="0.2">
      <c r="A5103" s="5">
        <v>5042</v>
      </c>
      <c r="B5103" s="138">
        <f>'Revenues 9-14'!C84</f>
        <v>22565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22565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197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10573</v>
      </c>
      <c r="D5119" s="2" t="str">
        <f t="shared" ref="D5119:D5182" si="79">IF(ISBLANK(B5119),"OK",IF(A5119-B5119=0,"OK","Error?"))</f>
        <v>Error?</v>
      </c>
    </row>
    <row r="5120" spans="1:4" x14ac:dyDescent="0.2">
      <c r="A5120" s="5">
        <v>5059</v>
      </c>
      <c r="B5120" s="138">
        <f>'Revenues 9-14'!C108</f>
        <v>10770</v>
      </c>
      <c r="C5120" s="2" t="s">
        <v>573</v>
      </c>
      <c r="D5120" s="2" t="str">
        <f t="shared" si="79"/>
        <v>Error?</v>
      </c>
    </row>
    <row r="5121" spans="1:4" x14ac:dyDescent="0.2">
      <c r="A5121" s="5">
        <v>5060</v>
      </c>
      <c r="B5121" s="138">
        <f>'Revenues 9-14'!C109</f>
        <v>1124849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185500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185500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398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185898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29747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29747</v>
      </c>
      <c r="C5246" s="2" t="s">
        <v>573</v>
      </c>
      <c r="D5246" s="2" t="str">
        <f t="shared" si="80"/>
        <v>Error?</v>
      </c>
    </row>
    <row r="5247" spans="1:4" x14ac:dyDescent="0.2">
      <c r="A5247" s="5">
        <v>5186</v>
      </c>
      <c r="B5247" s="138">
        <f>'Revenues 9-14'!C200</f>
        <v>31331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31331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2152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2152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118283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118283</v>
      </c>
      <c r="C5326" s="2" t="s">
        <v>573</v>
      </c>
      <c r="D5326" s="2" t="str">
        <f t="shared" si="82"/>
        <v>Error?</v>
      </c>
    </row>
    <row r="5327" spans="1:5" x14ac:dyDescent="0.2">
      <c r="A5327" s="5">
        <v>5266</v>
      </c>
      <c r="B5327" s="138">
        <f>'Revenues 9-14'!C268</f>
        <v>1429030</v>
      </c>
      <c r="C5327" s="2" t="s">
        <v>573</v>
      </c>
      <c r="D5327" s="2" t="str">
        <f t="shared" si="82"/>
        <v>Error?</v>
      </c>
    </row>
    <row r="5328" spans="1:5" x14ac:dyDescent="0.2">
      <c r="A5328" s="5">
        <v>5267</v>
      </c>
      <c r="B5328" s="138">
        <f>'Revenues 9-14'!D5</f>
        <v>215968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215968</v>
      </c>
      <c r="C5334" s="2" t="s">
        <v>573</v>
      </c>
      <c r="D5334" s="2" t="str">
        <f t="shared" si="82"/>
        <v>Error?</v>
      </c>
    </row>
    <row r="5335" spans="1:4" x14ac:dyDescent="0.2">
      <c r="A5335" s="5">
        <v>5274</v>
      </c>
      <c r="B5335" s="138">
        <f>'Revenues 9-14'!D14</f>
        <v>29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29</v>
      </c>
      <c r="C5339" s="2" t="s">
        <v>573</v>
      </c>
      <c r="D5339" s="2" t="str">
        <f t="shared" si="82"/>
        <v>Error?</v>
      </c>
    </row>
    <row r="5340" spans="1:4" x14ac:dyDescent="0.2">
      <c r="A5340" s="5">
        <v>5279</v>
      </c>
      <c r="B5340" s="138">
        <f>'Revenues 9-14'!D65</f>
        <v>14798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14798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8574</v>
      </c>
      <c r="D5354" s="2" t="str">
        <f t="shared" si="82"/>
        <v>Error?</v>
      </c>
    </row>
    <row r="5355" spans="1:4" x14ac:dyDescent="0.2">
      <c r="A5355" s="5">
        <v>5294</v>
      </c>
      <c r="B5355" s="138">
        <f>'Revenues 9-14'!D108</f>
        <v>8574</v>
      </c>
      <c r="C5355" s="2" t="s">
        <v>573</v>
      </c>
      <c r="D5355" s="2" t="str">
        <f t="shared" si="82"/>
        <v>Error?</v>
      </c>
    </row>
    <row r="5356" spans="1:4" x14ac:dyDescent="0.2">
      <c r="A5356" s="5">
        <v>5295</v>
      </c>
      <c r="B5356" s="138">
        <f>'Revenues 9-14'!D109</f>
        <v>239369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30000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269369</v>
      </c>
      <c r="C5508" s="2" t="s">
        <v>573</v>
      </c>
      <c r="D5508" s="2" t="str">
        <f t="shared" si="85"/>
        <v>Error?</v>
      </c>
    </row>
    <row r="5509" spans="1:4" x14ac:dyDescent="0.2">
      <c r="A5509" s="5">
        <v>5448</v>
      </c>
      <c r="B5509" s="138">
        <f>'Revenues 9-14'!E5</f>
        <v>108587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108587</v>
      </c>
      <c r="C5513" s="2" t="s">
        <v>573</v>
      </c>
      <c r="D5513" s="2" t="str">
        <f t="shared" si="85"/>
        <v>Error?</v>
      </c>
    </row>
    <row r="5514" spans="1:4" x14ac:dyDescent="0.2">
      <c r="A5514" s="5">
        <v>5453</v>
      </c>
      <c r="B5514" s="138">
        <f>'Revenues 9-14'!E14</f>
        <v>15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15</v>
      </c>
      <c r="C5518" s="2" t="s">
        <v>573</v>
      </c>
      <c r="D5518" s="2" t="str">
        <f t="shared" si="85"/>
        <v>Error?</v>
      </c>
    </row>
    <row r="5519" spans="1:4" x14ac:dyDescent="0.2">
      <c r="A5519" s="5">
        <v>5458</v>
      </c>
      <c r="B5519" s="138">
        <f>'Revenues 9-14'!E65</f>
        <v>2105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2105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104462</v>
      </c>
      <c r="C5526" s="2" t="s">
        <v>573</v>
      </c>
      <c r="D5526" s="2" t="str">
        <f t="shared" si="85"/>
        <v>Error?</v>
      </c>
    </row>
    <row r="5527" spans="1:4" x14ac:dyDescent="0.2">
      <c r="A5527" s="5">
        <v>5466</v>
      </c>
      <c r="B5527" s="138">
        <f>'Revenues 9-14'!E109</f>
        <v>215169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215169</v>
      </c>
      <c r="C5552" s="2" t="s">
        <v>573</v>
      </c>
      <c r="D5552" s="2" t="str">
        <f t="shared" si="85"/>
        <v>Error?</v>
      </c>
    </row>
    <row r="5553" spans="1:4" x14ac:dyDescent="0.2">
      <c r="A5553" s="5">
        <v>5492</v>
      </c>
      <c r="B5553" s="138">
        <f>'Revenues 9-14'!F5</f>
        <v>57560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57560</v>
      </c>
      <c r="C5557" s="2" t="s">
        <v>573</v>
      </c>
      <c r="D5557" s="2" t="str">
        <f t="shared" si="85"/>
        <v>Error?</v>
      </c>
    </row>
    <row r="5558" spans="1:4" x14ac:dyDescent="0.2">
      <c r="A5558" s="5">
        <v>5497</v>
      </c>
      <c r="B5558" s="138">
        <f>'Revenues 9-14'!F14</f>
        <v>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10055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10055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5549</v>
      </c>
      <c r="D5586" s="2" t="str">
        <f t="shared" si="86"/>
        <v>Error?</v>
      </c>
    </row>
    <row r="5587" spans="1:4" x14ac:dyDescent="0.2">
      <c r="A5587" s="5">
        <v>5526</v>
      </c>
      <c r="B5587" s="138">
        <f>'Revenues 9-14'!F108</f>
        <v>5549</v>
      </c>
      <c r="C5587" s="2" t="s">
        <v>573</v>
      </c>
      <c r="D5587" s="2" t="str">
        <f t="shared" si="86"/>
        <v>Error?</v>
      </c>
    </row>
    <row r="5588" spans="1:4" x14ac:dyDescent="0.2">
      <c r="A5588" s="5">
        <v>5527</v>
      </c>
      <c r="B5588" s="138">
        <f>'Revenues 9-14'!F109</f>
        <v>73172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137022</v>
      </c>
      <c r="D5615" s="2" t="str">
        <f t="shared" si="86"/>
        <v>Error?</v>
      </c>
    </row>
    <row r="5616" spans="1:4" x14ac:dyDescent="0.2">
      <c r="A5616" s="10">
        <v>5555</v>
      </c>
      <c r="D5616" s="2" t="str">
        <f t="shared" si="86"/>
        <v>OK</v>
      </c>
    </row>
    <row r="5617" spans="1:5" x14ac:dyDescent="0.2">
      <c r="A5617" s="5">
        <v>5556</v>
      </c>
      <c r="B5617" s="138">
        <f>'Revenues 9-14'!F153</f>
        <v>3057</v>
      </c>
      <c r="D5617" s="2" t="str">
        <f t="shared" si="86"/>
        <v>Error?</v>
      </c>
    </row>
    <row r="5618" spans="1:5" x14ac:dyDescent="0.2">
      <c r="A5618" s="5">
        <v>5557</v>
      </c>
      <c r="B5618" s="138">
        <f>'Revenues 9-14'!F155</f>
        <v>140079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140079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140079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213251</v>
      </c>
      <c r="C5720" s="2" t="s">
        <v>573</v>
      </c>
      <c r="D5720" s="2" t="str">
        <f t="shared" si="88"/>
        <v>Error?</v>
      </c>
    </row>
    <row r="5721" spans="1:4" x14ac:dyDescent="0.2">
      <c r="A5721" s="5">
        <v>5660</v>
      </c>
      <c r="B5721" s="138">
        <f>'Revenues 9-14'!G5</f>
        <v>31022</v>
      </c>
      <c r="D5721" s="2" t="str">
        <f t="shared" si="88"/>
        <v>Error?</v>
      </c>
    </row>
    <row r="5722" spans="1:4" x14ac:dyDescent="0.2">
      <c r="A5722" s="5">
        <v>5661</v>
      </c>
      <c r="B5722" s="138">
        <f>'Revenues 9-14'!G7</f>
        <v>0</v>
      </c>
      <c r="D5722" s="2" t="str">
        <f t="shared" si="88"/>
        <v>Error?</v>
      </c>
    </row>
    <row r="5723" spans="1:4" x14ac:dyDescent="0.2">
      <c r="A5723" s="5">
        <v>5662</v>
      </c>
      <c r="B5723" s="138">
        <f>'Revenues 9-14'!G8</f>
        <v>31022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62044</v>
      </c>
      <c r="C5725" s="2" t="s">
        <v>573</v>
      </c>
      <c r="D5725" s="2" t="str">
        <f t="shared" si="88"/>
        <v>Error?</v>
      </c>
    </row>
    <row r="5726" spans="1:4" x14ac:dyDescent="0.2">
      <c r="A5726" s="5">
        <v>5665</v>
      </c>
      <c r="B5726" s="138">
        <f>'Revenues 9-14'!G14</f>
        <v>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1782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1791</v>
      </c>
      <c r="C5730" s="2" t="s">
        <v>573</v>
      </c>
      <c r="D5730" s="2" t="str">
        <f t="shared" si="88"/>
        <v>Error?</v>
      </c>
    </row>
    <row r="5731" spans="1:4" x14ac:dyDescent="0.2">
      <c r="A5731" s="5">
        <v>5670</v>
      </c>
      <c r="B5731" s="138">
        <f>'Revenues 9-14'!G65</f>
        <v>2428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2428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66263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1159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1159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106307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107466</v>
      </c>
      <c r="C5915" s="2" t="s">
        <v>573</v>
      </c>
      <c r="D5915" s="2" t="str">
        <f t="shared" si="91"/>
        <v>Error?</v>
      </c>
    </row>
    <row r="5916" spans="1:4" x14ac:dyDescent="0.2">
      <c r="A5916" s="5">
        <v>5855</v>
      </c>
      <c r="B5916" s="138">
        <f>'Revenues 9-14'!I5</f>
        <v>24007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24007</v>
      </c>
      <c r="C5918" s="2" t="s">
        <v>573</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573</v>
      </c>
      <c r="D5923" s="2" t="str">
        <f t="shared" si="91"/>
        <v>Error?</v>
      </c>
    </row>
    <row r="5924" spans="1:4" x14ac:dyDescent="0.2">
      <c r="A5924" s="5">
        <v>5863</v>
      </c>
      <c r="B5924" s="138">
        <f>'Revenues 9-14'!I65</f>
        <v>27241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27241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51251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66263</v>
      </c>
      <c r="C6024" s="2" t="s">
        <v>573</v>
      </c>
      <c r="D6024" s="2" t="str">
        <f t="shared" si="93"/>
        <v>Error?</v>
      </c>
    </row>
    <row r="6025" spans="1:5" x14ac:dyDescent="0.2">
      <c r="A6025" s="5">
        <v>5964</v>
      </c>
      <c r="B6025" s="138">
        <f>'Revenues 9-14'!H109</f>
        <v>107466</v>
      </c>
      <c r="C6025" s="2" t="s">
        <v>573</v>
      </c>
      <c r="D6025" s="2" t="str">
        <f t="shared" si="93"/>
        <v>Error?</v>
      </c>
    </row>
    <row r="6026" spans="1:5" x14ac:dyDescent="0.2">
      <c r="A6026" s="5">
        <v>5965</v>
      </c>
      <c r="B6026" s="138">
        <f>'Revenues 9-14'!I109</f>
        <v>51251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60199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246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64320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64320</v>
      </c>
      <c r="D6215" s="2" t="str">
        <f t="shared" si="96"/>
        <v>Error?</v>
      </c>
      <c r="E6215" s="2" t="s">
        <v>190</v>
      </c>
    </row>
    <row r="6216" spans="1:5" x14ac:dyDescent="0.2">
      <c r="A6216">
        <v>6155</v>
      </c>
      <c r="B6216" s="138">
        <f>'Assets-Liab 5-6'!J41</f>
        <v>64320</v>
      </c>
      <c r="D6216" s="2" t="str">
        <f t="shared" si="96"/>
        <v>Error?</v>
      </c>
      <c r="E6216" s="2" t="s">
        <v>190</v>
      </c>
    </row>
    <row r="6217" spans="1:5" x14ac:dyDescent="0.2">
      <c r="A6217">
        <v>6156</v>
      </c>
      <c r="B6217" s="138">
        <f>'Assets-Liab 5-6'!J4</f>
        <v>16320</v>
      </c>
      <c r="D6217" s="2" t="str">
        <f t="shared" si="96"/>
        <v>Error?</v>
      </c>
      <c r="E6217" s="2" t="s">
        <v>190</v>
      </c>
    </row>
    <row r="6218" spans="1:5" x14ac:dyDescent="0.2">
      <c r="A6218">
        <v>6157</v>
      </c>
      <c r="B6218" s="138">
        <f>'Assets-Liab 5-6'!J5</f>
        <v>48000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49978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49978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49978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49613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49613</v>
      </c>
      <c r="D6229" s="2" t="str">
        <f t="shared" si="96"/>
        <v>Error?</v>
      </c>
      <c r="E6229" s="2" t="s">
        <v>190</v>
      </c>
    </row>
    <row r="6230" spans="1:5" x14ac:dyDescent="0.2">
      <c r="A6230">
        <v>6169</v>
      </c>
      <c r="B6230" s="138">
        <f>'Acct Summary 7-8'!J20</f>
        <v>365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32058</v>
      </c>
      <c r="D6260" s="2" t="str">
        <f t="shared" si="96"/>
        <v>Error?</v>
      </c>
      <c r="E6260" s="2" t="s">
        <v>190</v>
      </c>
    </row>
    <row r="6261" spans="1:5" x14ac:dyDescent="0.2">
      <c r="A6261">
        <v>6200</v>
      </c>
      <c r="B6261" s="138">
        <f>'Acct Summary 7-8'!J76</f>
        <v>32058</v>
      </c>
      <c r="D6261" s="2" t="str">
        <f t="shared" si="96"/>
        <v>Error?</v>
      </c>
      <c r="E6261" s="2" t="s">
        <v>190</v>
      </c>
    </row>
    <row r="6262" spans="1:5" x14ac:dyDescent="0.2">
      <c r="A6262">
        <v>6201</v>
      </c>
      <c r="B6262" s="138">
        <f>'Acct Summary 7-8'!J77</f>
        <v>-32058</v>
      </c>
      <c r="D6262" s="2" t="str">
        <f t="shared" si="96"/>
        <v>Error?</v>
      </c>
      <c r="E6262" s="2" t="s">
        <v>190</v>
      </c>
    </row>
    <row r="6263" spans="1:5" x14ac:dyDescent="0.2">
      <c r="A6263">
        <v>6202</v>
      </c>
      <c r="B6263" s="138">
        <f>'Acct Summary 7-8'!J78</f>
        <v>-31693</v>
      </c>
      <c r="D6263" s="2" t="str">
        <f t="shared" si="96"/>
        <v>Error?</v>
      </c>
      <c r="E6263" s="2" t="s">
        <v>190</v>
      </c>
    </row>
    <row r="6264" spans="1:5" x14ac:dyDescent="0.2">
      <c r="A6264">
        <v>6203</v>
      </c>
      <c r="B6264" s="138">
        <f>'Acct Summary 7-8'!J79</f>
        <v>96013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64320</v>
      </c>
      <c r="D6266" s="2" t="str">
        <f t="shared" si="96"/>
        <v>Error?</v>
      </c>
      <c r="E6266" s="2" t="s">
        <v>190</v>
      </c>
    </row>
    <row r="6267" spans="1:5" x14ac:dyDescent="0.2">
      <c r="A6267">
        <v>6206</v>
      </c>
      <c r="B6267" s="138">
        <f>'Acct Summary 7-8'!C82</f>
        <v>-647264</v>
      </c>
      <c r="D6267" s="2" t="str">
        <f t="shared" si="96"/>
        <v>Error?</v>
      </c>
      <c r="E6267" s="2" t="s">
        <v>190</v>
      </c>
    </row>
    <row r="6268" spans="1:5" x14ac:dyDescent="0.2">
      <c r="A6268">
        <v>6207</v>
      </c>
      <c r="B6268" s="138">
        <f>'Acct Summary 7-8'!D82</f>
        <v>-66556</v>
      </c>
      <c r="D6268" s="2" t="str">
        <f t="shared" si="96"/>
        <v>Error?</v>
      </c>
      <c r="E6268" s="2" t="s">
        <v>190</v>
      </c>
    </row>
    <row r="6269" spans="1:5" x14ac:dyDescent="0.2">
      <c r="A6269">
        <v>6208</v>
      </c>
      <c r="B6269" s="138">
        <f>'Acct Summary 7-8'!E82</f>
        <v>-60148</v>
      </c>
      <c r="D6269" s="2" t="str">
        <f t="shared" si="96"/>
        <v>Error?</v>
      </c>
      <c r="E6269" s="2" t="s">
        <v>190</v>
      </c>
    </row>
    <row r="6270" spans="1:5" x14ac:dyDescent="0.2">
      <c r="A6270">
        <v>6209</v>
      </c>
      <c r="B6270" s="138">
        <f>'Acct Summary 7-8'!F82</f>
        <v>5173</v>
      </c>
      <c r="D6270" s="2" t="str">
        <f t="shared" si="96"/>
        <v>Error?</v>
      </c>
      <c r="E6270" s="2" t="s">
        <v>190</v>
      </c>
    </row>
    <row r="6271" spans="1:5" x14ac:dyDescent="0.2">
      <c r="A6271">
        <v>6210</v>
      </c>
      <c r="B6271" s="138">
        <f>'Acct Summary 7-8'!G82</f>
        <v>-34765</v>
      </c>
      <c r="D6271" s="2" t="str">
        <f t="shared" ref="D6271:D6334" si="97">IF(ISBLANK(B6271),"OK",IF(A6271-B6271=0,"OK","Error?"))</f>
        <v>Error?</v>
      </c>
      <c r="E6271" s="2" t="s">
        <v>190</v>
      </c>
    </row>
    <row r="6272" spans="1:5" x14ac:dyDescent="0.2">
      <c r="A6272">
        <v>6211</v>
      </c>
      <c r="B6272" s="138">
        <f>'Acct Summary 7-8'!H82</f>
        <v>-8464</v>
      </c>
      <c r="D6272" s="2" t="str">
        <f t="shared" si="97"/>
        <v>Error?</v>
      </c>
      <c r="E6272" s="2" t="s">
        <v>190</v>
      </c>
    </row>
    <row r="6273" spans="1:5" x14ac:dyDescent="0.2">
      <c r="A6273">
        <v>6212</v>
      </c>
      <c r="B6273" s="138">
        <f>'Acct Summary 7-8'!I82</f>
        <v>24010</v>
      </c>
      <c r="D6273" s="2" t="str">
        <f t="shared" si="97"/>
        <v>Error?</v>
      </c>
      <c r="E6273" s="2" t="s">
        <v>190</v>
      </c>
    </row>
    <row r="6274" spans="1:5" x14ac:dyDescent="0.2">
      <c r="A6274">
        <v>6213</v>
      </c>
      <c r="B6274" s="138">
        <f>'Acct Summary 7-8'!J82</f>
        <v>-31693</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-0.89718465455845886</v>
      </c>
      <c r="D6276" s="2" t="str">
        <f t="shared" si="97"/>
        <v>Error?</v>
      </c>
      <c r="E6276" s="2" t="s">
        <v>190</v>
      </c>
    </row>
    <row r="6277" spans="1:5" x14ac:dyDescent="0.2">
      <c r="A6277">
        <v>6216</v>
      </c>
      <c r="B6277" s="138">
        <f>'Acct Summary 7-8'!D83</f>
        <v>-9.0543634560471029E-2</v>
      </c>
      <c r="D6277" s="2" t="str">
        <f t="shared" si="97"/>
        <v>Error?</v>
      </c>
      <c r="E6277" s="2" t="s">
        <v>190</v>
      </c>
    </row>
    <row r="6278" spans="1:5" x14ac:dyDescent="0.2">
      <c r="A6278">
        <v>6217</v>
      </c>
      <c r="B6278" s="138">
        <f>'Acct Summary 7-8'!E83</f>
        <v>-0.41752047757878663</v>
      </c>
      <c r="D6278" s="2" t="str">
        <f t="shared" si="97"/>
        <v>Error?</v>
      </c>
      <c r="E6278" s="2" t="s">
        <v>190</v>
      </c>
    </row>
    <row r="6279" spans="1:5" x14ac:dyDescent="0.2">
      <c r="A6279">
        <v>6218</v>
      </c>
      <c r="B6279" s="138">
        <f>'Acct Summary 7-8'!F83</f>
        <v>9.8852296744161156E-3</v>
      </c>
      <c r="D6279" s="2" t="str">
        <f t="shared" si="97"/>
        <v>Error?</v>
      </c>
      <c r="E6279" s="2" t="s">
        <v>190</v>
      </c>
    </row>
    <row r="6280" spans="1:5" x14ac:dyDescent="0.2">
      <c r="A6280">
        <v>6219</v>
      </c>
      <c r="B6280" s="138">
        <f>'Acct Summary 7-8'!G83</f>
        <v>-0.30630765570896146</v>
      </c>
      <c r="D6280" s="2" t="str">
        <f t="shared" si="97"/>
        <v>Error?</v>
      </c>
      <c r="E6280" s="2" t="s">
        <v>190</v>
      </c>
    </row>
    <row r="6281" spans="1:5" x14ac:dyDescent="0.2">
      <c r="A6281">
        <v>6220</v>
      </c>
      <c r="B6281" s="138">
        <f>'Acct Summary 7-8'!H83</f>
        <v>-0.13560625480645988</v>
      </c>
      <c r="D6281" s="2" t="str">
        <f t="shared" si="97"/>
        <v>Error?</v>
      </c>
      <c r="E6281" s="2" t="s">
        <v>190</v>
      </c>
    </row>
    <row r="6282" spans="1:5" x14ac:dyDescent="0.2">
      <c r="A6282">
        <v>6221</v>
      </c>
      <c r="B6282" s="138">
        <f>'Acct Summary 7-8'!I83</f>
        <v>1.8484387967364006E-2</v>
      </c>
      <c r="D6282" s="2" t="str">
        <f t="shared" si="97"/>
        <v>Error?</v>
      </c>
      <c r="E6282" s="2" t="s">
        <v>190</v>
      </c>
    </row>
    <row r="6283" spans="1:5" x14ac:dyDescent="0.2">
      <c r="A6283">
        <v>6222</v>
      </c>
      <c r="B6283" s="138">
        <f>'Acct Summary 7-8'!J83</f>
        <v>-0.49273942786069652</v>
      </c>
      <c r="D6283" s="2" t="str">
        <f t="shared" si="97"/>
        <v>Error?</v>
      </c>
      <c r="E6283" s="2" t="s">
        <v>190</v>
      </c>
    </row>
    <row r="6284" spans="1:5" x14ac:dyDescent="0.2">
      <c r="A6284">
        <v>6223</v>
      </c>
      <c r="B6284" s="138">
        <f>'Acct Summary 7-8'!K83</f>
        <v>0</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48918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48918</v>
      </c>
      <c r="D6301" s="2" t="str">
        <f t="shared" si="97"/>
        <v>Error?</v>
      </c>
      <c r="E6301" s="2" t="s">
        <v>190</v>
      </c>
    </row>
    <row r="6302" spans="1:5" x14ac:dyDescent="0.2">
      <c r="A6302">
        <v>6241</v>
      </c>
      <c r="B6302" s="138">
        <f>'Revenues 9-14'!J14</f>
        <v>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1053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1053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49978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49613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49978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12976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12976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3239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3239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24780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24780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8618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8618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49613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49613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49613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49613</v>
      </c>
      <c r="D7224" s="2" t="str">
        <f t="shared" si="111"/>
        <v>Error?</v>
      </c>
    </row>
    <row r="7225" spans="1:4" x14ac:dyDescent="0.2">
      <c r="A7225">
        <v>7164</v>
      </c>
      <c r="B7225" s="138">
        <f>'Expenditures 15-22'!K343</f>
        <v>365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226881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45221</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210769</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210769</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9641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106307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23897</v>
      </c>
      <c r="D7724" s="2" t="str">
        <f t="shared" si="126"/>
        <v>Error?</v>
      </c>
      <c r="E7724" s="2" t="s">
        <v>827</v>
      </c>
      <c r="F7724" s="2"/>
    </row>
    <row r="7725" spans="1:6" x14ac:dyDescent="0.2">
      <c r="A7725">
        <v>7664</v>
      </c>
      <c r="B7725" s="138">
        <f>'Rest Tax Levies-Tort Im 25'!J19</f>
        <v>75000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98897</v>
      </c>
      <c r="D7727" s="2" t="str">
        <f t="shared" si="126"/>
        <v>Error?</v>
      </c>
      <c r="E7727" s="2" t="s">
        <v>827</v>
      </c>
    </row>
    <row r="7728" spans="1:6" x14ac:dyDescent="0.2">
      <c r="A7728">
        <v>7667</v>
      </c>
      <c r="B7728" s="138">
        <f>'Revenues 9-14'!E103</f>
        <v>104462</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205204</v>
      </c>
      <c r="D7730" s="2" t="str">
        <f t="shared" si="126"/>
        <v>Error?</v>
      </c>
      <c r="E7730" s="2" t="s">
        <v>827</v>
      </c>
    </row>
    <row r="7731" spans="1:6" x14ac:dyDescent="0.2">
      <c r="A7731">
        <v>7670</v>
      </c>
      <c r="B7731" s="138">
        <f>'Revenues 9-14'!H103</f>
        <v>106307</v>
      </c>
      <c r="D7731" s="2" t="str">
        <f t="shared" si="126"/>
        <v>Error?</v>
      </c>
      <c r="E7731" s="2" t="s">
        <v>827</v>
      </c>
    </row>
    <row r="7732" spans="1:6" x14ac:dyDescent="0.2">
      <c r="A7732">
        <v>7671</v>
      </c>
      <c r="B7732" s="138">
        <f>'Rest Tax Levies-Tort Im 25'!J24</f>
        <v>50786</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50786</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Prairieview Ogden CCSD 197</v>
      </c>
      <c r="B7" s="2387"/>
      <c r="C7" s="2387"/>
      <c r="D7" s="2424"/>
      <c r="E7" s="2425">
        <f>COVER!A13</f>
        <v>9010197004</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VICTOR WHITE III</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106 N VINE ST, PO BOX 27</v>
      </c>
      <c r="B14" s="2412"/>
      <c r="C14" s="2412"/>
      <c r="D14" s="2412"/>
      <c r="E14" s="2412"/>
      <c r="F14" s="2413"/>
      <c r="G14" s="1195" t="s">
        <v>1185</v>
      </c>
      <c r="H14" s="1193"/>
      <c r="I14" s="1193"/>
      <c r="J14" s="1193"/>
      <c r="K14" s="1193"/>
      <c r="L14" s="1194"/>
    </row>
    <row r="15" spans="1:29" ht="13.5" customHeight="1" x14ac:dyDescent="0.2">
      <c r="A15" s="2399" t="str">
        <f>COVER!A21</f>
        <v>ROYAL</v>
      </c>
      <c r="B15" s="2412"/>
      <c r="C15" s="2412"/>
      <c r="D15" s="2412"/>
      <c r="E15" s="2412"/>
      <c r="F15" s="2413"/>
      <c r="G15" s="2409" t="str">
        <f>COVER!T15</f>
        <v>RUSS LEIGH</v>
      </c>
      <c r="H15" s="2410"/>
      <c r="I15" s="2410"/>
      <c r="J15" s="2410"/>
      <c r="K15" s="2410"/>
      <c r="L15" s="2411"/>
    </row>
    <row r="16" spans="1:29" ht="12.2" customHeight="1" x14ac:dyDescent="0.2">
      <c r="A16" s="2389">
        <f>COVER!A25</f>
        <v>61871</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Prairieview Ogden CCSD 197</v>
      </c>
      <c r="B1" s="2423"/>
      <c r="C1" s="2423"/>
      <c r="D1" s="2423"/>
    </row>
    <row r="2" spans="1:11" s="1212" customFormat="1" ht="12.75" x14ac:dyDescent="0.2">
      <c r="A2" s="2428">
        <f>'Single Audit Cover'!E7</f>
        <v>9010197004</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Prairieview Ogden CCSD 197</v>
      </c>
      <c r="B1" s="2431"/>
      <c r="C1" s="2431"/>
      <c r="D1" s="2431"/>
      <c r="E1" s="2431"/>
    </row>
    <row r="2" spans="1:5" x14ac:dyDescent="0.2">
      <c r="A2" s="2432">
        <f>'Single Audit Cover'!E7</f>
        <v>9010197004</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118283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118283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118283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118283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Prairieview Ogden CCSD 197</v>
      </c>
      <c r="C1" s="2435"/>
      <c r="D1" s="2435"/>
      <c r="E1" s="2435"/>
      <c r="F1" s="2435"/>
      <c r="G1" s="2435"/>
      <c r="H1" s="2435"/>
      <c r="I1" s="2435"/>
      <c r="J1" s="2435"/>
      <c r="K1" s="2435"/>
      <c r="L1" s="2435"/>
      <c r="M1" s="2435"/>
    </row>
    <row r="2" spans="2:14" ht="15" x14ac:dyDescent="0.2">
      <c r="B2" s="2436">
        <f>'Single Audit Cover'!E7</f>
        <v>9010197004</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Prairieview Ogden CCSD 197</v>
      </c>
      <c r="B1" s="2440"/>
      <c r="C1" s="2440"/>
      <c r="D1" s="2440"/>
      <c r="E1" s="2440"/>
      <c r="F1" s="2440"/>
    </row>
    <row r="2" spans="1:7" ht="13.5" customHeight="1" x14ac:dyDescent="0.2">
      <c r="A2" s="2436">
        <f>'Single Audit Cover'!E7</f>
        <v>9010197004</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Prairieview Ogden CCSD 197</v>
      </c>
      <c r="C1" s="2456"/>
      <c r="D1" s="2456"/>
      <c r="E1" s="2456"/>
      <c r="F1" s="2456"/>
      <c r="G1" s="2456"/>
      <c r="H1" s="2456"/>
      <c r="I1" s="2456"/>
      <c r="J1" s="1406"/>
    </row>
    <row r="2" spans="2:10" s="317" customFormat="1" ht="12.75" customHeight="1" x14ac:dyDescent="0.2">
      <c r="B2" s="2457">
        <f>'Single Audit Cover'!E7</f>
        <v>9010197004</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Prairieview Ogden CCSD 197</v>
      </c>
      <c r="C1" s="2455"/>
      <c r="D1" s="2455"/>
      <c r="E1" s="2455"/>
      <c r="F1" s="2455"/>
      <c r="G1" s="2455"/>
      <c r="H1" s="2455"/>
      <c r="I1" s="2455"/>
      <c r="J1" s="2455"/>
      <c r="K1" s="2455"/>
      <c r="L1" s="1371"/>
      <c r="M1" s="1371"/>
    </row>
    <row r="2" spans="1:13" ht="12" customHeight="1" x14ac:dyDescent="0.2">
      <c r="B2" s="2457">
        <f>'Single Audit Cover'!E7</f>
        <v>9010197004</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Prairieview Ogden CCSD 197</v>
      </c>
      <c r="C1" s="2482"/>
      <c r="D1" s="2482"/>
      <c r="E1" s="2482"/>
      <c r="F1" s="2482"/>
      <c r="G1" s="2482"/>
      <c r="H1" s="2482"/>
      <c r="I1" s="2482"/>
      <c r="J1" s="2482"/>
      <c r="K1" s="2482"/>
      <c r="L1" s="1449"/>
    </row>
    <row r="2" spans="1:12" ht="12.75" customHeight="1" x14ac:dyDescent="0.2">
      <c r="B2" s="2483">
        <f>'Single Audit Cover'!E7</f>
        <v>9010197004</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Prairieview Ogden CCSD 197</v>
      </c>
      <c r="C1" s="2455"/>
      <c r="D1" s="2455"/>
      <c r="E1" s="1469"/>
    </row>
    <row r="2" spans="2:5" s="1279" customFormat="1" ht="12.75" customHeight="1" x14ac:dyDescent="0.2">
      <c r="B2" s="2457">
        <f>'Single Audit Cover'!E7</f>
        <v>9010197004</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www.w3.org/XML/1998/namespace"/>
    <ds:schemaRef ds:uri="http://schemas.microsoft.com/office/infopath/2007/PartnerControls"/>
    <ds:schemaRef ds:uri="http://schemas.microsoft.com/sharepoint/v3"/>
    <ds:schemaRef ds:uri="d21dc803-237d-4c68-8692-8d731fd29118"/>
    <ds:schemaRef ds:uri="http://purl.org/dc/elements/1.1/"/>
    <ds:schemaRef ds:uri="http://schemas.openxmlformats.org/package/2006/metadata/core-properties"/>
    <ds:schemaRef ds:uri="http://schemas.microsoft.com/office/2006/documentManagement/types"/>
    <ds:schemaRef ds:uri="http://purl.org/dc/terms/"/>
    <ds:schemaRef ds:uri="6ce3111e-7420-4802-b50a-75d4e9a0b980"/>
    <ds:schemaRef ds:uri="4d435f69-8686-490b-bd6d-b153bf22ab50"/>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2019-09-05T13:59:34Z</cp:lastPrinted>
  <dcterms:created xsi:type="dcterms:W3CDTF">2003-10-29T19:06:34Z</dcterms:created>
  <dcterms:modified xsi:type="dcterms:W3CDTF">2019-12-18T21:25:33Z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